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 firstSheet="8" activeTab="30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10" r:id="rId8"/>
    <sheet name="9" sheetId="11" r:id="rId9"/>
    <sheet name="10" sheetId="13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30" r:id="rId26"/>
    <sheet name="27" sheetId="31" r:id="rId27"/>
    <sheet name="28" sheetId="32" r:id="rId28"/>
    <sheet name="29" sheetId="33" r:id="rId29"/>
    <sheet name="30" sheetId="34" r:id="rId30"/>
    <sheet name="31" sheetId="35" r:id="rId31"/>
    <sheet name="sample" sheetId="1" r:id="rId32"/>
    <sheet name="Spill Energy" sheetId="9" r:id="rId33"/>
    <sheet name="IEX" sheetId="29" r:id="rId34"/>
  </sheet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1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1">#REF!</definedName>
    <definedName name="ippp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0">#REF!</definedName>
    <definedName name="sdasdf" localSheetId="6">#REF!</definedName>
    <definedName name="sdasdf" localSheetId="7">#REF!</definedName>
    <definedName name="sdasdf" localSheetId="8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F84" i="35" l="1"/>
  <c r="AE84" i="35"/>
  <c r="AD84" i="35"/>
  <c r="N84" i="35"/>
  <c r="M84" i="35"/>
  <c r="L84" i="35"/>
  <c r="M49" i="35" l="1"/>
  <c r="H47" i="35"/>
  <c r="L82" i="31"/>
  <c r="Q82" i="34"/>
  <c r="L30" i="34"/>
  <c r="AH87" i="35"/>
  <c r="AI87" i="35" s="1"/>
  <c r="B42" i="35"/>
  <c r="AF218" i="35"/>
  <c r="AE218" i="35"/>
  <c r="AD218" i="35"/>
  <c r="AC218" i="35"/>
  <c r="AB218" i="35"/>
  <c r="AA218" i="35"/>
  <c r="Z218" i="35"/>
  <c r="Y218" i="35"/>
  <c r="X218" i="35"/>
  <c r="W218" i="35"/>
  <c r="V218" i="35"/>
  <c r="U218" i="35"/>
  <c r="T218" i="35"/>
  <c r="S218" i="35"/>
  <c r="R218" i="35"/>
  <c r="Q218" i="35"/>
  <c r="P218" i="35"/>
  <c r="O218" i="35"/>
  <c r="N218" i="35"/>
  <c r="M218" i="35"/>
  <c r="L218" i="35"/>
  <c r="K218" i="35"/>
  <c r="J218" i="35"/>
  <c r="I218" i="35"/>
  <c r="H218" i="35"/>
  <c r="G218" i="35"/>
  <c r="F218" i="35"/>
  <c r="E218" i="35"/>
  <c r="D218" i="35"/>
  <c r="C218" i="35"/>
  <c r="B218" i="35"/>
  <c r="A218" i="35"/>
  <c r="AF217" i="35"/>
  <c r="AE217" i="35"/>
  <c r="AD217" i="35"/>
  <c r="AC217" i="35"/>
  <c r="AB217" i="35"/>
  <c r="AA217" i="35"/>
  <c r="Z217" i="35"/>
  <c r="Y217" i="35"/>
  <c r="X217" i="35"/>
  <c r="W217" i="35"/>
  <c r="V217" i="35"/>
  <c r="U217" i="35"/>
  <c r="T217" i="35"/>
  <c r="S217" i="35"/>
  <c r="R217" i="35"/>
  <c r="Q217" i="35"/>
  <c r="P217" i="35"/>
  <c r="O217" i="35"/>
  <c r="N217" i="35"/>
  <c r="M217" i="35"/>
  <c r="L217" i="35"/>
  <c r="K217" i="35"/>
  <c r="J217" i="35"/>
  <c r="I217" i="35"/>
  <c r="H217" i="35"/>
  <c r="G217" i="35"/>
  <c r="F217" i="35"/>
  <c r="E217" i="35"/>
  <c r="D217" i="35"/>
  <c r="C217" i="35"/>
  <c r="B217" i="35"/>
  <c r="A217" i="35"/>
  <c r="AF216" i="35"/>
  <c r="AE216" i="35"/>
  <c r="AD216" i="35"/>
  <c r="AC216" i="35"/>
  <c r="AB216" i="35"/>
  <c r="AA216" i="35"/>
  <c r="Z216" i="35"/>
  <c r="Y216" i="35"/>
  <c r="X216" i="35"/>
  <c r="W216" i="35"/>
  <c r="V216" i="35"/>
  <c r="U216" i="35"/>
  <c r="T216" i="35"/>
  <c r="S216" i="35"/>
  <c r="R216" i="35"/>
  <c r="Q216" i="35"/>
  <c r="P216" i="35"/>
  <c r="O216" i="35"/>
  <c r="N216" i="35"/>
  <c r="M216" i="35"/>
  <c r="L216" i="35"/>
  <c r="K216" i="35"/>
  <c r="J216" i="35"/>
  <c r="I216" i="35"/>
  <c r="H216" i="35"/>
  <c r="G216" i="35"/>
  <c r="F216" i="35"/>
  <c r="E216" i="35"/>
  <c r="D216" i="35"/>
  <c r="C216" i="35"/>
  <c r="B216" i="35"/>
  <c r="A216" i="35"/>
  <c r="AF215" i="35"/>
  <c r="AE215" i="35"/>
  <c r="AD215" i="35"/>
  <c r="AC215" i="35"/>
  <c r="AB215" i="35"/>
  <c r="AA215" i="35"/>
  <c r="Z215" i="35"/>
  <c r="Y215" i="35"/>
  <c r="X215" i="35"/>
  <c r="W215" i="35"/>
  <c r="V215" i="35"/>
  <c r="U215" i="35"/>
  <c r="T215" i="35"/>
  <c r="S215" i="35"/>
  <c r="R215" i="35"/>
  <c r="Q215" i="35"/>
  <c r="P215" i="35"/>
  <c r="O215" i="35"/>
  <c r="N215" i="35"/>
  <c r="M215" i="35"/>
  <c r="L215" i="35"/>
  <c r="K215" i="35"/>
  <c r="J215" i="35"/>
  <c r="I215" i="35"/>
  <c r="H215" i="35"/>
  <c r="G215" i="35"/>
  <c r="F215" i="35"/>
  <c r="E215" i="35"/>
  <c r="D215" i="35"/>
  <c r="C215" i="35"/>
  <c r="B215" i="35"/>
  <c r="A215" i="35"/>
  <c r="B214" i="35"/>
  <c r="S189" i="35"/>
  <c r="AG179" i="35"/>
  <c r="B179" i="35"/>
  <c r="E178" i="35"/>
  <c r="C178" i="35"/>
  <c r="D178" i="35" s="1"/>
  <c r="D214" i="35" s="1"/>
  <c r="D177" i="35"/>
  <c r="E177" i="35" s="1"/>
  <c r="F177" i="35" s="1"/>
  <c r="G177" i="35" s="1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C177" i="35"/>
  <c r="D176" i="35"/>
  <c r="E176" i="35" s="1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C176" i="35"/>
  <c r="L175" i="35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C175" i="35"/>
  <c r="D175" i="35" s="1"/>
  <c r="E175" i="35" s="1"/>
  <c r="F175" i="35" s="1"/>
  <c r="G175" i="35" s="1"/>
  <c r="H175" i="35" s="1"/>
  <c r="I175" i="35" s="1"/>
  <c r="J175" i="35" s="1"/>
  <c r="K175" i="35" s="1"/>
  <c r="F174" i="35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E174" i="35"/>
  <c r="C174" i="35"/>
  <c r="D174" i="35" s="1"/>
  <c r="C173" i="35"/>
  <c r="D173" i="35" s="1"/>
  <c r="AG171" i="35"/>
  <c r="B171" i="35"/>
  <c r="F170" i="35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D170" i="35"/>
  <c r="E170" i="35" s="1"/>
  <c r="C170" i="35"/>
  <c r="I169" i="35"/>
  <c r="J169" i="35" s="1"/>
  <c r="K169" i="35" s="1"/>
  <c r="L169" i="35" s="1"/>
  <c r="M169" i="35" s="1"/>
  <c r="N169" i="35" s="1"/>
  <c r="O169" i="35" s="1"/>
  <c r="P169" i="35" s="1"/>
  <c r="Q169" i="35" s="1"/>
  <c r="R169" i="35" s="1"/>
  <c r="S169" i="35" s="1"/>
  <c r="T169" i="35" s="1"/>
  <c r="U169" i="35" s="1"/>
  <c r="V169" i="35" s="1"/>
  <c r="W169" i="35" s="1"/>
  <c r="X169" i="35" s="1"/>
  <c r="Y169" i="35" s="1"/>
  <c r="Z169" i="35" s="1"/>
  <c r="AA169" i="35" s="1"/>
  <c r="AB169" i="35" s="1"/>
  <c r="AC169" i="35" s="1"/>
  <c r="AD169" i="35" s="1"/>
  <c r="AE169" i="35" s="1"/>
  <c r="AF169" i="35" s="1"/>
  <c r="D169" i="35"/>
  <c r="E169" i="35" s="1"/>
  <c r="F169" i="35" s="1"/>
  <c r="G169" i="35" s="1"/>
  <c r="H169" i="35" s="1"/>
  <c r="C169" i="35"/>
  <c r="K168" i="35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C168" i="35"/>
  <c r="D168" i="35" s="1"/>
  <c r="E168" i="35" s="1"/>
  <c r="F168" i="35" s="1"/>
  <c r="G168" i="35" s="1"/>
  <c r="H168" i="35" s="1"/>
  <c r="I168" i="35" s="1"/>
  <c r="J168" i="35" s="1"/>
  <c r="E167" i="35"/>
  <c r="F167" i="35" s="1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C167" i="35"/>
  <c r="D167" i="35" s="1"/>
  <c r="C166" i="35"/>
  <c r="D166" i="35" s="1"/>
  <c r="E166" i="35" s="1"/>
  <c r="F166" i="35" s="1"/>
  <c r="G166" i="35" s="1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C165" i="35"/>
  <c r="D165" i="35" s="1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H164" i="35"/>
  <c r="I164" i="35" s="1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E164" i="35"/>
  <c r="F164" i="35" s="1"/>
  <c r="G164" i="35" s="1"/>
  <c r="C164" i="35"/>
  <c r="D164" i="35" s="1"/>
  <c r="C163" i="35"/>
  <c r="D163" i="35" s="1"/>
  <c r="E163" i="35" s="1"/>
  <c r="F163" i="35" s="1"/>
  <c r="G163" i="35" s="1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E162" i="35"/>
  <c r="F162" i="35" s="1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D162" i="35"/>
  <c r="C162" i="35"/>
  <c r="T161" i="35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C161" i="35"/>
  <c r="D161" i="35" s="1"/>
  <c r="E161" i="35" s="1"/>
  <c r="F161" i="35" s="1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E160" i="35"/>
  <c r="F160" i="35" s="1"/>
  <c r="G160" i="35" s="1"/>
  <c r="H160" i="35" s="1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C160" i="35"/>
  <c r="D160" i="35" s="1"/>
  <c r="C159" i="35"/>
  <c r="D159" i="35" s="1"/>
  <c r="E159" i="35" s="1"/>
  <c r="F159" i="35" s="1"/>
  <c r="G159" i="35" s="1"/>
  <c r="H159" i="35" s="1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C158" i="35"/>
  <c r="D158" i="35" s="1"/>
  <c r="E158" i="35" s="1"/>
  <c r="F158" i="35" s="1"/>
  <c r="G158" i="35" s="1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F157" i="35"/>
  <c r="G157" i="35" s="1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E157" i="35"/>
  <c r="D157" i="35"/>
  <c r="C157" i="35"/>
  <c r="K156" i="35"/>
  <c r="L156" i="35" s="1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F156" i="35"/>
  <c r="G156" i="35" s="1"/>
  <c r="H156" i="35" s="1"/>
  <c r="I156" i="35" s="1"/>
  <c r="J156" i="35" s="1"/>
  <c r="D156" i="35"/>
  <c r="E156" i="35" s="1"/>
  <c r="C156" i="35"/>
  <c r="E155" i="35"/>
  <c r="F155" i="35" s="1"/>
  <c r="G155" i="35" s="1"/>
  <c r="H155" i="35" s="1"/>
  <c r="I155" i="35" s="1"/>
  <c r="J155" i="35" s="1"/>
  <c r="K155" i="35" s="1"/>
  <c r="L155" i="35" s="1"/>
  <c r="M155" i="35" s="1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X155" i="35" s="1"/>
  <c r="Y155" i="35" s="1"/>
  <c r="Z155" i="35" s="1"/>
  <c r="AA155" i="35" s="1"/>
  <c r="AB155" i="35" s="1"/>
  <c r="AC155" i="35" s="1"/>
  <c r="AD155" i="35" s="1"/>
  <c r="AE155" i="35" s="1"/>
  <c r="AF155" i="35" s="1"/>
  <c r="D155" i="35"/>
  <c r="C155" i="35"/>
  <c r="C154" i="35"/>
  <c r="D154" i="35" s="1"/>
  <c r="E154" i="35" s="1"/>
  <c r="F154" i="35" s="1"/>
  <c r="G154" i="35" s="1"/>
  <c r="H154" i="35" s="1"/>
  <c r="I154" i="35" s="1"/>
  <c r="J154" i="35" s="1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E153" i="35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D153" i="35"/>
  <c r="C153" i="35"/>
  <c r="G152" i="35"/>
  <c r="H152" i="35" s="1"/>
  <c r="I152" i="35" s="1"/>
  <c r="J152" i="35" s="1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C152" i="35"/>
  <c r="D152" i="35" s="1"/>
  <c r="E152" i="35" s="1"/>
  <c r="F152" i="35" s="1"/>
  <c r="E151" i="35"/>
  <c r="F151" i="35" s="1"/>
  <c r="G151" i="35" s="1"/>
  <c r="H151" i="35" s="1"/>
  <c r="I151" i="35" s="1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D151" i="35"/>
  <c r="C151" i="35"/>
  <c r="C150" i="35"/>
  <c r="D150" i="35" s="1"/>
  <c r="E150" i="35" s="1"/>
  <c r="F150" i="35" s="1"/>
  <c r="G150" i="35" s="1"/>
  <c r="H150" i="35" s="1"/>
  <c r="I150" i="35" s="1"/>
  <c r="J150" i="35" s="1"/>
  <c r="K150" i="35" s="1"/>
  <c r="L150" i="35" s="1"/>
  <c r="M150" i="35" s="1"/>
  <c r="N150" i="35" s="1"/>
  <c r="O150" i="35" s="1"/>
  <c r="P150" i="35" s="1"/>
  <c r="Q150" i="35" s="1"/>
  <c r="R150" i="35" s="1"/>
  <c r="S150" i="35" s="1"/>
  <c r="T150" i="35" s="1"/>
  <c r="U150" i="35" s="1"/>
  <c r="V150" i="35" s="1"/>
  <c r="W150" i="35" s="1"/>
  <c r="X150" i="35" s="1"/>
  <c r="Y150" i="35" s="1"/>
  <c r="Z150" i="35" s="1"/>
  <c r="AA150" i="35" s="1"/>
  <c r="AB150" i="35" s="1"/>
  <c r="AC150" i="35" s="1"/>
  <c r="AD150" i="35" s="1"/>
  <c r="AE150" i="35" s="1"/>
  <c r="AF150" i="35" s="1"/>
  <c r="C149" i="35"/>
  <c r="D149" i="35" s="1"/>
  <c r="E149" i="35" s="1"/>
  <c r="F149" i="35" s="1"/>
  <c r="G149" i="35" s="1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K148" i="35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C148" i="35"/>
  <c r="D148" i="35" s="1"/>
  <c r="E148" i="35" s="1"/>
  <c r="F148" i="35" s="1"/>
  <c r="G148" i="35" s="1"/>
  <c r="H148" i="35" s="1"/>
  <c r="I148" i="35" s="1"/>
  <c r="J148" i="35" s="1"/>
  <c r="I147" i="35"/>
  <c r="J147" i="35" s="1"/>
  <c r="K147" i="35" s="1"/>
  <c r="L147" i="35" s="1"/>
  <c r="M147" i="35" s="1"/>
  <c r="N147" i="35" s="1"/>
  <c r="O147" i="35" s="1"/>
  <c r="P147" i="35" s="1"/>
  <c r="Q147" i="35" s="1"/>
  <c r="R147" i="35" s="1"/>
  <c r="S147" i="35" s="1"/>
  <c r="T147" i="35" s="1"/>
  <c r="U147" i="35" s="1"/>
  <c r="V147" i="35" s="1"/>
  <c r="W147" i="35" s="1"/>
  <c r="X147" i="35" s="1"/>
  <c r="Y147" i="35" s="1"/>
  <c r="Z147" i="35" s="1"/>
  <c r="AA147" i="35" s="1"/>
  <c r="AB147" i="35" s="1"/>
  <c r="AC147" i="35" s="1"/>
  <c r="AD147" i="35" s="1"/>
  <c r="AE147" i="35" s="1"/>
  <c r="AF147" i="35" s="1"/>
  <c r="E147" i="35"/>
  <c r="F147" i="35" s="1"/>
  <c r="G147" i="35" s="1"/>
  <c r="H147" i="35" s="1"/>
  <c r="D147" i="35"/>
  <c r="C147" i="35"/>
  <c r="G146" i="35"/>
  <c r="H146" i="35" s="1"/>
  <c r="I146" i="35" s="1"/>
  <c r="J146" i="35" s="1"/>
  <c r="K146" i="35" s="1"/>
  <c r="L146" i="35" s="1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C146" i="35"/>
  <c r="D146" i="35" s="1"/>
  <c r="E146" i="35" s="1"/>
  <c r="F146" i="35" s="1"/>
  <c r="F145" i="35"/>
  <c r="G145" i="35" s="1"/>
  <c r="H145" i="35" s="1"/>
  <c r="I145" i="35" s="1"/>
  <c r="J145" i="35" s="1"/>
  <c r="K145" i="35" s="1"/>
  <c r="L145" i="35" s="1"/>
  <c r="M145" i="35" s="1"/>
  <c r="N145" i="35" s="1"/>
  <c r="O145" i="35" s="1"/>
  <c r="P145" i="35" s="1"/>
  <c r="Q145" i="35" s="1"/>
  <c r="R145" i="35" s="1"/>
  <c r="S145" i="35" s="1"/>
  <c r="T145" i="35" s="1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E145" i="35"/>
  <c r="D145" i="35"/>
  <c r="C145" i="35"/>
  <c r="C144" i="35"/>
  <c r="D144" i="35" s="1"/>
  <c r="E144" i="35" s="1"/>
  <c r="F144" i="35" s="1"/>
  <c r="G144" i="35" s="1"/>
  <c r="H144" i="35" s="1"/>
  <c r="I144" i="35" s="1"/>
  <c r="J144" i="35" s="1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M143" i="35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E143" i="35"/>
  <c r="F143" i="35" s="1"/>
  <c r="G143" i="35" s="1"/>
  <c r="H143" i="35" s="1"/>
  <c r="I143" i="35" s="1"/>
  <c r="J143" i="35" s="1"/>
  <c r="K143" i="35" s="1"/>
  <c r="L143" i="35" s="1"/>
  <c r="D143" i="35"/>
  <c r="C143" i="35"/>
  <c r="P142" i="35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G142" i="35"/>
  <c r="H142" i="35" s="1"/>
  <c r="I142" i="35" s="1"/>
  <c r="J142" i="35" s="1"/>
  <c r="K142" i="35" s="1"/>
  <c r="L142" i="35" s="1"/>
  <c r="M142" i="35" s="1"/>
  <c r="N142" i="35" s="1"/>
  <c r="O142" i="35" s="1"/>
  <c r="C142" i="35"/>
  <c r="D142" i="35" s="1"/>
  <c r="E142" i="35" s="1"/>
  <c r="F142" i="35" s="1"/>
  <c r="F141" i="35"/>
  <c r="G141" i="35" s="1"/>
  <c r="H141" i="35" s="1"/>
  <c r="I141" i="35" s="1"/>
  <c r="J141" i="35" s="1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E141" i="35"/>
  <c r="D141" i="35"/>
  <c r="C141" i="35"/>
  <c r="L140" i="35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C140" i="35"/>
  <c r="D140" i="35" s="1"/>
  <c r="E140" i="35" s="1"/>
  <c r="F140" i="35" s="1"/>
  <c r="G140" i="35" s="1"/>
  <c r="H140" i="35" s="1"/>
  <c r="I140" i="35" s="1"/>
  <c r="J140" i="35" s="1"/>
  <c r="K140" i="35" s="1"/>
  <c r="H139" i="35"/>
  <c r="I139" i="35" s="1"/>
  <c r="J139" i="35" s="1"/>
  <c r="K139" i="35" s="1"/>
  <c r="L139" i="35" s="1"/>
  <c r="M139" i="35" s="1"/>
  <c r="N139" i="35" s="1"/>
  <c r="O139" i="35" s="1"/>
  <c r="P139" i="35" s="1"/>
  <c r="Q139" i="35" s="1"/>
  <c r="R139" i="35" s="1"/>
  <c r="S139" i="35" s="1"/>
  <c r="T139" i="35" s="1"/>
  <c r="U139" i="35" s="1"/>
  <c r="V139" i="35" s="1"/>
  <c r="W139" i="35" s="1"/>
  <c r="X139" i="35" s="1"/>
  <c r="Y139" i="35" s="1"/>
  <c r="Z139" i="35" s="1"/>
  <c r="AA139" i="35" s="1"/>
  <c r="AB139" i="35" s="1"/>
  <c r="AC139" i="35" s="1"/>
  <c r="AD139" i="35" s="1"/>
  <c r="AE139" i="35" s="1"/>
  <c r="AF139" i="35" s="1"/>
  <c r="D139" i="35"/>
  <c r="E139" i="35" s="1"/>
  <c r="F139" i="35" s="1"/>
  <c r="G139" i="35" s="1"/>
  <c r="C139" i="35"/>
  <c r="N138" i="35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D138" i="35"/>
  <c r="E138" i="35" s="1"/>
  <c r="F138" i="35" s="1"/>
  <c r="G138" i="35" s="1"/>
  <c r="H138" i="35" s="1"/>
  <c r="I138" i="35" s="1"/>
  <c r="J138" i="35" s="1"/>
  <c r="K138" i="35" s="1"/>
  <c r="L138" i="35" s="1"/>
  <c r="M138" i="35" s="1"/>
  <c r="C138" i="35"/>
  <c r="P137" i="35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E137" i="35"/>
  <c r="F137" i="35" s="1"/>
  <c r="G137" i="35" s="1"/>
  <c r="H137" i="35" s="1"/>
  <c r="I137" i="35" s="1"/>
  <c r="J137" i="35" s="1"/>
  <c r="K137" i="35" s="1"/>
  <c r="L137" i="35" s="1"/>
  <c r="M137" i="35" s="1"/>
  <c r="N137" i="35" s="1"/>
  <c r="O137" i="35" s="1"/>
  <c r="D137" i="35"/>
  <c r="C137" i="35"/>
  <c r="F136" i="35"/>
  <c r="G136" i="35" s="1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C136" i="35"/>
  <c r="D136" i="35" s="1"/>
  <c r="E136" i="35" s="1"/>
  <c r="Y135" i="35"/>
  <c r="Z135" i="35" s="1"/>
  <c r="AA135" i="35" s="1"/>
  <c r="AB135" i="35" s="1"/>
  <c r="AC135" i="35" s="1"/>
  <c r="AD135" i="35" s="1"/>
  <c r="AE135" i="35" s="1"/>
  <c r="AF135" i="35" s="1"/>
  <c r="D135" i="35"/>
  <c r="E135" i="35" s="1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C135" i="35"/>
  <c r="D134" i="35"/>
  <c r="E134" i="35" s="1"/>
  <c r="F134" i="35" s="1"/>
  <c r="G134" i="35" s="1"/>
  <c r="H134" i="35" s="1"/>
  <c r="I134" i="35" s="1"/>
  <c r="J134" i="35" s="1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C134" i="35"/>
  <c r="E133" i="35"/>
  <c r="F133" i="35" s="1"/>
  <c r="G133" i="35" s="1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D133" i="35"/>
  <c r="C133" i="35"/>
  <c r="U132" i="35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C132" i="35"/>
  <c r="D132" i="35" s="1"/>
  <c r="E132" i="35" s="1"/>
  <c r="F132" i="35" s="1"/>
  <c r="G132" i="35" s="1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K131" i="35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C131" i="35"/>
  <c r="D131" i="35" s="1"/>
  <c r="E131" i="35" s="1"/>
  <c r="F131" i="35" s="1"/>
  <c r="G131" i="35" s="1"/>
  <c r="H131" i="35" s="1"/>
  <c r="I131" i="35" s="1"/>
  <c r="J131" i="35" s="1"/>
  <c r="I130" i="35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G130" i="35"/>
  <c r="H130" i="35" s="1"/>
  <c r="F130" i="35"/>
  <c r="D130" i="35"/>
  <c r="E130" i="35" s="1"/>
  <c r="C130" i="35"/>
  <c r="D129" i="35"/>
  <c r="E129" i="35" s="1"/>
  <c r="F129" i="35" s="1"/>
  <c r="G129" i="35" s="1"/>
  <c r="H129" i="35" s="1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C129" i="35"/>
  <c r="C128" i="35"/>
  <c r="D128" i="35" s="1"/>
  <c r="E128" i="35" s="1"/>
  <c r="F128" i="35" s="1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Y127" i="35"/>
  <c r="Z127" i="35" s="1"/>
  <c r="AA127" i="35" s="1"/>
  <c r="AB127" i="35" s="1"/>
  <c r="AC127" i="35" s="1"/>
  <c r="AD127" i="35" s="1"/>
  <c r="AE127" i="35" s="1"/>
  <c r="AF127" i="35" s="1"/>
  <c r="C127" i="35"/>
  <c r="D127" i="35" s="1"/>
  <c r="E127" i="35" s="1"/>
  <c r="F127" i="35" s="1"/>
  <c r="G127" i="35" s="1"/>
  <c r="H127" i="35" s="1"/>
  <c r="I127" i="35" s="1"/>
  <c r="J127" i="35" s="1"/>
  <c r="K127" i="35" s="1"/>
  <c r="L127" i="35" s="1"/>
  <c r="M127" i="35" s="1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X127" i="35" s="1"/>
  <c r="D126" i="35"/>
  <c r="E126" i="35" s="1"/>
  <c r="F126" i="35" s="1"/>
  <c r="G126" i="35" s="1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C126" i="35"/>
  <c r="D125" i="35"/>
  <c r="E125" i="35" s="1"/>
  <c r="F125" i="35" s="1"/>
  <c r="G125" i="35" s="1"/>
  <c r="H125" i="35" s="1"/>
  <c r="I125" i="35" s="1"/>
  <c r="J125" i="35" s="1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C125" i="35"/>
  <c r="H124" i="35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C124" i="35"/>
  <c r="D124" i="35" s="1"/>
  <c r="E124" i="35" s="1"/>
  <c r="F124" i="35" s="1"/>
  <c r="G124" i="35" s="1"/>
  <c r="G123" i="35"/>
  <c r="H123" i="35" s="1"/>
  <c r="I123" i="35" s="1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C123" i="35"/>
  <c r="D123" i="35" s="1"/>
  <c r="E123" i="35" s="1"/>
  <c r="F123" i="35" s="1"/>
  <c r="W122" i="35"/>
  <c r="X122" i="35" s="1"/>
  <c r="Y122" i="35" s="1"/>
  <c r="Z122" i="35" s="1"/>
  <c r="AA122" i="35" s="1"/>
  <c r="AB122" i="35" s="1"/>
  <c r="AC122" i="35" s="1"/>
  <c r="AD122" i="35" s="1"/>
  <c r="AE122" i="35" s="1"/>
  <c r="AF122" i="35" s="1"/>
  <c r="E122" i="35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D122" i="35"/>
  <c r="C122" i="35"/>
  <c r="U121" i="35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D121" i="35"/>
  <c r="E121" i="35" s="1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C121" i="35"/>
  <c r="C120" i="35"/>
  <c r="D120" i="35" s="1"/>
  <c r="E120" i="35" s="1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E119" i="35"/>
  <c r="F119" i="35" s="1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D119" i="35"/>
  <c r="C119" i="35"/>
  <c r="C118" i="35"/>
  <c r="D118" i="35" s="1"/>
  <c r="E118" i="35" s="1"/>
  <c r="F118" i="35" s="1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I117" i="35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C117" i="35"/>
  <c r="D117" i="35" s="1"/>
  <c r="E117" i="35" s="1"/>
  <c r="F117" i="35" s="1"/>
  <c r="G117" i="35" s="1"/>
  <c r="H117" i="35" s="1"/>
  <c r="C116" i="35"/>
  <c r="D116" i="35" s="1"/>
  <c r="E116" i="35" s="1"/>
  <c r="F116" i="35" s="1"/>
  <c r="G116" i="35" s="1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AE115" i="35"/>
  <c r="AF115" i="35" s="1"/>
  <c r="I115" i="35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E115" i="35"/>
  <c r="F115" i="35" s="1"/>
  <c r="G115" i="35" s="1"/>
  <c r="H115" i="35" s="1"/>
  <c r="D115" i="35"/>
  <c r="C115" i="35"/>
  <c r="J114" i="35"/>
  <c r="K114" i="35" s="1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D114" i="35"/>
  <c r="E114" i="35" s="1"/>
  <c r="F114" i="35" s="1"/>
  <c r="G114" i="35" s="1"/>
  <c r="H114" i="35" s="1"/>
  <c r="I114" i="35" s="1"/>
  <c r="C114" i="35"/>
  <c r="C113" i="35"/>
  <c r="D113" i="35" s="1"/>
  <c r="E113" i="35" s="1"/>
  <c r="F113" i="35" s="1"/>
  <c r="G113" i="35" s="1"/>
  <c r="H113" i="35" s="1"/>
  <c r="I113" i="35" s="1"/>
  <c r="J113" i="35" s="1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P112" i="35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J112" i="35"/>
  <c r="K112" i="35" s="1"/>
  <c r="L112" i="35" s="1"/>
  <c r="M112" i="35" s="1"/>
  <c r="N112" i="35" s="1"/>
  <c r="O112" i="35" s="1"/>
  <c r="F112" i="35"/>
  <c r="G112" i="35" s="1"/>
  <c r="H112" i="35" s="1"/>
  <c r="I112" i="35" s="1"/>
  <c r="C112" i="35"/>
  <c r="D112" i="35" s="1"/>
  <c r="E112" i="35" s="1"/>
  <c r="H111" i="35"/>
  <c r="I111" i="35" s="1"/>
  <c r="J111" i="35" s="1"/>
  <c r="K111" i="35" s="1"/>
  <c r="L111" i="35" s="1"/>
  <c r="M111" i="35" s="1"/>
  <c r="N111" i="35" s="1"/>
  <c r="O111" i="35" s="1"/>
  <c r="P111" i="35" s="1"/>
  <c r="Q111" i="35" s="1"/>
  <c r="R111" i="35" s="1"/>
  <c r="S111" i="35" s="1"/>
  <c r="T111" i="35" s="1"/>
  <c r="U111" i="35" s="1"/>
  <c r="V111" i="35" s="1"/>
  <c r="W111" i="35" s="1"/>
  <c r="X111" i="35" s="1"/>
  <c r="Y111" i="35" s="1"/>
  <c r="Z111" i="35" s="1"/>
  <c r="AA111" i="35" s="1"/>
  <c r="AB111" i="35" s="1"/>
  <c r="AC111" i="35" s="1"/>
  <c r="AD111" i="35" s="1"/>
  <c r="AE111" i="35" s="1"/>
  <c r="AF111" i="35" s="1"/>
  <c r="D111" i="35"/>
  <c r="E111" i="35" s="1"/>
  <c r="F111" i="35" s="1"/>
  <c r="G111" i="35" s="1"/>
  <c r="C111" i="35"/>
  <c r="E110" i="35"/>
  <c r="F110" i="35" s="1"/>
  <c r="G110" i="35" s="1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C110" i="35"/>
  <c r="D110" i="35" s="1"/>
  <c r="K109" i="35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C109" i="35"/>
  <c r="D109" i="35" s="1"/>
  <c r="E109" i="35" s="1"/>
  <c r="F109" i="35" s="1"/>
  <c r="G109" i="35" s="1"/>
  <c r="H109" i="35" s="1"/>
  <c r="I109" i="35" s="1"/>
  <c r="J109" i="35" s="1"/>
  <c r="I108" i="35"/>
  <c r="J108" i="35" s="1"/>
  <c r="K108" i="35" s="1"/>
  <c r="L108" i="35" s="1"/>
  <c r="M108" i="35" s="1"/>
  <c r="N108" i="35" s="1"/>
  <c r="O108" i="35" s="1"/>
  <c r="P108" i="35" s="1"/>
  <c r="Q108" i="35" s="1"/>
  <c r="R108" i="35" s="1"/>
  <c r="S108" i="35" s="1"/>
  <c r="T108" i="35" s="1"/>
  <c r="U108" i="35" s="1"/>
  <c r="V108" i="35" s="1"/>
  <c r="W108" i="35" s="1"/>
  <c r="X108" i="35" s="1"/>
  <c r="Y108" i="35" s="1"/>
  <c r="Z108" i="35" s="1"/>
  <c r="AA108" i="35" s="1"/>
  <c r="AB108" i="35" s="1"/>
  <c r="AC108" i="35" s="1"/>
  <c r="AD108" i="35" s="1"/>
  <c r="AE108" i="35" s="1"/>
  <c r="AF108" i="35" s="1"/>
  <c r="F108" i="35"/>
  <c r="G108" i="35" s="1"/>
  <c r="H108" i="35" s="1"/>
  <c r="E108" i="35"/>
  <c r="D108" i="35"/>
  <c r="C108" i="35"/>
  <c r="L107" i="35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C107" i="35"/>
  <c r="D107" i="35" s="1"/>
  <c r="E107" i="35" s="1"/>
  <c r="F107" i="35" s="1"/>
  <c r="G107" i="35" s="1"/>
  <c r="H107" i="35" s="1"/>
  <c r="I107" i="35" s="1"/>
  <c r="J107" i="35" s="1"/>
  <c r="K107" i="35" s="1"/>
  <c r="C106" i="35"/>
  <c r="D106" i="35" s="1"/>
  <c r="E106" i="35" s="1"/>
  <c r="F106" i="35" s="1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C105" i="35"/>
  <c r="D105" i="35" s="1"/>
  <c r="E105" i="35" s="1"/>
  <c r="F105" i="35" s="1"/>
  <c r="G105" i="35" s="1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U104" i="35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I104" i="35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F104" i="35"/>
  <c r="G104" i="35" s="1"/>
  <c r="H104" i="35" s="1"/>
  <c r="E104" i="35"/>
  <c r="D104" i="35"/>
  <c r="C104" i="35"/>
  <c r="C103" i="35"/>
  <c r="D103" i="35" s="1"/>
  <c r="E103" i="35" s="1"/>
  <c r="F103" i="35" s="1"/>
  <c r="G103" i="35" s="1"/>
  <c r="H103" i="35" s="1"/>
  <c r="I103" i="35" s="1"/>
  <c r="J103" i="35" s="1"/>
  <c r="K103" i="35" s="1"/>
  <c r="L103" i="35" s="1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Z103" i="35" s="1"/>
  <c r="AA103" i="35" s="1"/>
  <c r="AB103" i="35" s="1"/>
  <c r="AC103" i="35" s="1"/>
  <c r="AD103" i="35" s="1"/>
  <c r="AE103" i="35" s="1"/>
  <c r="AF103" i="35" s="1"/>
  <c r="U102" i="35"/>
  <c r="V102" i="35" s="1"/>
  <c r="W102" i="35" s="1"/>
  <c r="X102" i="35" s="1"/>
  <c r="Y102" i="35" s="1"/>
  <c r="Z102" i="35" s="1"/>
  <c r="AA102" i="35" s="1"/>
  <c r="AB102" i="35" s="1"/>
  <c r="AC102" i="35" s="1"/>
  <c r="AD102" i="35" s="1"/>
  <c r="AE102" i="35" s="1"/>
  <c r="AF102" i="35" s="1"/>
  <c r="C102" i="35"/>
  <c r="D102" i="35" s="1"/>
  <c r="E102" i="35" s="1"/>
  <c r="F102" i="35" s="1"/>
  <c r="G102" i="35" s="1"/>
  <c r="H102" i="35" s="1"/>
  <c r="I102" i="35" s="1"/>
  <c r="J102" i="35" s="1"/>
  <c r="K102" i="35" s="1"/>
  <c r="L102" i="35" s="1"/>
  <c r="M102" i="35" s="1"/>
  <c r="N102" i="35" s="1"/>
  <c r="O102" i="35" s="1"/>
  <c r="P102" i="35" s="1"/>
  <c r="Q102" i="35" s="1"/>
  <c r="R102" i="35" s="1"/>
  <c r="S102" i="35" s="1"/>
  <c r="T102" i="35" s="1"/>
  <c r="C101" i="35"/>
  <c r="D101" i="35" s="1"/>
  <c r="E101" i="35" s="1"/>
  <c r="F101" i="35" s="1"/>
  <c r="G101" i="35" s="1"/>
  <c r="H101" i="35" s="1"/>
  <c r="I101" i="35" s="1"/>
  <c r="J101" i="35" s="1"/>
  <c r="K101" i="35" s="1"/>
  <c r="L101" i="35" s="1"/>
  <c r="M101" i="35" s="1"/>
  <c r="N101" i="35" s="1"/>
  <c r="O101" i="35" s="1"/>
  <c r="P101" i="35" s="1"/>
  <c r="Q101" i="35" s="1"/>
  <c r="R101" i="35" s="1"/>
  <c r="S101" i="35" s="1"/>
  <c r="T101" i="35" s="1"/>
  <c r="U101" i="35" s="1"/>
  <c r="V101" i="35" s="1"/>
  <c r="W101" i="35" s="1"/>
  <c r="X101" i="35" s="1"/>
  <c r="Y101" i="35" s="1"/>
  <c r="Z101" i="35" s="1"/>
  <c r="AA101" i="35" s="1"/>
  <c r="AB101" i="35" s="1"/>
  <c r="AC101" i="35" s="1"/>
  <c r="AD101" i="35" s="1"/>
  <c r="AE101" i="35" s="1"/>
  <c r="AF101" i="35" s="1"/>
  <c r="U100" i="35"/>
  <c r="V100" i="35" s="1"/>
  <c r="W100" i="35" s="1"/>
  <c r="X100" i="35" s="1"/>
  <c r="Y100" i="35" s="1"/>
  <c r="Z100" i="35" s="1"/>
  <c r="AA100" i="35" s="1"/>
  <c r="AB100" i="35" s="1"/>
  <c r="AC100" i="35" s="1"/>
  <c r="AD100" i="35" s="1"/>
  <c r="AE100" i="35" s="1"/>
  <c r="AF100" i="35" s="1"/>
  <c r="I100" i="35"/>
  <c r="J100" i="35" s="1"/>
  <c r="K100" i="35" s="1"/>
  <c r="L100" i="35" s="1"/>
  <c r="M100" i="35" s="1"/>
  <c r="N100" i="35" s="1"/>
  <c r="O100" i="35" s="1"/>
  <c r="P100" i="35" s="1"/>
  <c r="Q100" i="35" s="1"/>
  <c r="R100" i="35" s="1"/>
  <c r="S100" i="35" s="1"/>
  <c r="T100" i="35" s="1"/>
  <c r="F100" i="35"/>
  <c r="G100" i="35" s="1"/>
  <c r="H100" i="35" s="1"/>
  <c r="E100" i="35"/>
  <c r="D100" i="35"/>
  <c r="C100" i="35"/>
  <c r="K99" i="35"/>
  <c r="L99" i="35" s="1"/>
  <c r="M99" i="35" s="1"/>
  <c r="N99" i="35" s="1"/>
  <c r="O99" i="35" s="1"/>
  <c r="P99" i="35" s="1"/>
  <c r="Q99" i="35" s="1"/>
  <c r="R99" i="35" s="1"/>
  <c r="S99" i="35" s="1"/>
  <c r="T99" i="35" s="1"/>
  <c r="U99" i="35" s="1"/>
  <c r="V99" i="35" s="1"/>
  <c r="W99" i="35" s="1"/>
  <c r="X99" i="35" s="1"/>
  <c r="Y99" i="35" s="1"/>
  <c r="Z99" i="35" s="1"/>
  <c r="AA99" i="35" s="1"/>
  <c r="AB99" i="35" s="1"/>
  <c r="AC99" i="35" s="1"/>
  <c r="AD99" i="35" s="1"/>
  <c r="AE99" i="35" s="1"/>
  <c r="AF99" i="35" s="1"/>
  <c r="J99" i="35"/>
  <c r="C99" i="35"/>
  <c r="D99" i="35" s="1"/>
  <c r="E99" i="35" s="1"/>
  <c r="F99" i="35" s="1"/>
  <c r="G99" i="35" s="1"/>
  <c r="H99" i="35" s="1"/>
  <c r="I98" i="35"/>
  <c r="J98" i="35" s="1"/>
  <c r="K98" i="35" s="1"/>
  <c r="L98" i="35" s="1"/>
  <c r="M98" i="35" s="1"/>
  <c r="N98" i="35" s="1"/>
  <c r="O98" i="35" s="1"/>
  <c r="P98" i="35" s="1"/>
  <c r="Q98" i="35" s="1"/>
  <c r="R98" i="35" s="1"/>
  <c r="S98" i="35" s="1"/>
  <c r="T98" i="35" s="1"/>
  <c r="U98" i="35" s="1"/>
  <c r="V98" i="35" s="1"/>
  <c r="W98" i="35" s="1"/>
  <c r="X98" i="35" s="1"/>
  <c r="Y98" i="35" s="1"/>
  <c r="Z98" i="35" s="1"/>
  <c r="AA98" i="35" s="1"/>
  <c r="AB98" i="35" s="1"/>
  <c r="AC98" i="35" s="1"/>
  <c r="AD98" i="35" s="1"/>
  <c r="AE98" i="35" s="1"/>
  <c r="AF98" i="35" s="1"/>
  <c r="C98" i="35"/>
  <c r="D98" i="35" s="1"/>
  <c r="E98" i="35" s="1"/>
  <c r="F98" i="35" s="1"/>
  <c r="G98" i="35" s="1"/>
  <c r="H98" i="35" s="1"/>
  <c r="G97" i="35"/>
  <c r="H97" i="35" s="1"/>
  <c r="I97" i="35" s="1"/>
  <c r="J97" i="35" s="1"/>
  <c r="K97" i="35" s="1"/>
  <c r="L97" i="35" s="1"/>
  <c r="M97" i="35" s="1"/>
  <c r="N97" i="35" s="1"/>
  <c r="O97" i="35" s="1"/>
  <c r="P97" i="35" s="1"/>
  <c r="Q97" i="35" s="1"/>
  <c r="R97" i="35" s="1"/>
  <c r="S97" i="35" s="1"/>
  <c r="T97" i="35" s="1"/>
  <c r="U97" i="35" s="1"/>
  <c r="V97" i="35" s="1"/>
  <c r="W97" i="35" s="1"/>
  <c r="X97" i="35" s="1"/>
  <c r="Y97" i="35" s="1"/>
  <c r="Z97" i="35" s="1"/>
  <c r="AA97" i="35" s="1"/>
  <c r="AB97" i="35" s="1"/>
  <c r="AC97" i="35" s="1"/>
  <c r="AD97" i="35" s="1"/>
  <c r="AE97" i="35" s="1"/>
  <c r="AF97" i="35" s="1"/>
  <c r="F97" i="35"/>
  <c r="E97" i="35"/>
  <c r="D97" i="35"/>
  <c r="C97" i="35"/>
  <c r="C96" i="35"/>
  <c r="D96" i="35" s="1"/>
  <c r="E96" i="35" s="1"/>
  <c r="F96" i="35" s="1"/>
  <c r="G96" i="35" s="1"/>
  <c r="H96" i="35" s="1"/>
  <c r="I96" i="35" s="1"/>
  <c r="J96" i="35" s="1"/>
  <c r="K96" i="35" s="1"/>
  <c r="L96" i="35" s="1"/>
  <c r="M96" i="35" s="1"/>
  <c r="N96" i="35" s="1"/>
  <c r="O96" i="35" s="1"/>
  <c r="P96" i="35" s="1"/>
  <c r="Q96" i="35" s="1"/>
  <c r="R96" i="35" s="1"/>
  <c r="S96" i="35" s="1"/>
  <c r="T96" i="35" s="1"/>
  <c r="U96" i="35" s="1"/>
  <c r="V96" i="35" s="1"/>
  <c r="W96" i="35" s="1"/>
  <c r="X96" i="35" s="1"/>
  <c r="Y96" i="35" s="1"/>
  <c r="Z96" i="35" s="1"/>
  <c r="AA96" i="35" s="1"/>
  <c r="AB96" i="35" s="1"/>
  <c r="AC96" i="35" s="1"/>
  <c r="AD96" i="35" s="1"/>
  <c r="AE96" i="35" s="1"/>
  <c r="AF96" i="35" s="1"/>
  <c r="E95" i="35"/>
  <c r="F95" i="35" s="1"/>
  <c r="G95" i="35" s="1"/>
  <c r="H95" i="35" s="1"/>
  <c r="I95" i="35" s="1"/>
  <c r="J95" i="35" s="1"/>
  <c r="K95" i="35" s="1"/>
  <c r="L95" i="35" s="1"/>
  <c r="M95" i="35" s="1"/>
  <c r="N95" i="35" s="1"/>
  <c r="O95" i="35" s="1"/>
  <c r="P95" i="35" s="1"/>
  <c r="Q95" i="35" s="1"/>
  <c r="R95" i="35" s="1"/>
  <c r="S95" i="35" s="1"/>
  <c r="T95" i="35" s="1"/>
  <c r="U95" i="35" s="1"/>
  <c r="V95" i="35" s="1"/>
  <c r="W95" i="35" s="1"/>
  <c r="X95" i="35" s="1"/>
  <c r="Y95" i="35" s="1"/>
  <c r="Z95" i="35" s="1"/>
  <c r="AA95" i="35" s="1"/>
  <c r="AB95" i="35" s="1"/>
  <c r="AC95" i="35" s="1"/>
  <c r="AD95" i="35" s="1"/>
  <c r="AE95" i="35" s="1"/>
  <c r="AF95" i="35" s="1"/>
  <c r="D95" i="35"/>
  <c r="C95" i="35"/>
  <c r="C94" i="35"/>
  <c r="D93" i="35"/>
  <c r="E93" i="35" s="1"/>
  <c r="F93" i="35" s="1"/>
  <c r="G93" i="35" s="1"/>
  <c r="H93" i="35" s="1"/>
  <c r="I93" i="35" s="1"/>
  <c r="J93" i="35" s="1"/>
  <c r="K93" i="35" s="1"/>
  <c r="L93" i="35" s="1"/>
  <c r="M93" i="35" s="1"/>
  <c r="N93" i="35" s="1"/>
  <c r="O93" i="35" s="1"/>
  <c r="P93" i="35" s="1"/>
  <c r="Q93" i="35" s="1"/>
  <c r="R93" i="35" s="1"/>
  <c r="S93" i="35" s="1"/>
  <c r="T93" i="35" s="1"/>
  <c r="U93" i="35" s="1"/>
  <c r="V93" i="35" s="1"/>
  <c r="W93" i="35" s="1"/>
  <c r="X93" i="35" s="1"/>
  <c r="Y93" i="35" s="1"/>
  <c r="Z93" i="35" s="1"/>
  <c r="AA93" i="35" s="1"/>
  <c r="AB93" i="35" s="1"/>
  <c r="AC93" i="35" s="1"/>
  <c r="AD93" i="35" s="1"/>
  <c r="AE93" i="35" s="1"/>
  <c r="AF93" i="35" s="1"/>
  <c r="C93" i="35"/>
  <c r="C92" i="35"/>
  <c r="D92" i="35" s="1"/>
  <c r="E92" i="35" s="1"/>
  <c r="F92" i="35" s="1"/>
  <c r="G92" i="35" s="1"/>
  <c r="H92" i="35" s="1"/>
  <c r="I92" i="35" s="1"/>
  <c r="J92" i="35" s="1"/>
  <c r="K92" i="35" s="1"/>
  <c r="L92" i="35" s="1"/>
  <c r="M92" i="35" s="1"/>
  <c r="N92" i="35" s="1"/>
  <c r="O92" i="35" s="1"/>
  <c r="P92" i="35" s="1"/>
  <c r="Q92" i="35" s="1"/>
  <c r="R92" i="35" s="1"/>
  <c r="S92" i="35" s="1"/>
  <c r="T92" i="35" s="1"/>
  <c r="U92" i="35" s="1"/>
  <c r="V92" i="35" s="1"/>
  <c r="W92" i="35" s="1"/>
  <c r="X92" i="35" s="1"/>
  <c r="Y92" i="35" s="1"/>
  <c r="Z92" i="35" s="1"/>
  <c r="AA92" i="35" s="1"/>
  <c r="AB92" i="35" s="1"/>
  <c r="AC92" i="35" s="1"/>
  <c r="AD92" i="35" s="1"/>
  <c r="AE92" i="35" s="1"/>
  <c r="AF92" i="35" s="1"/>
  <c r="D91" i="35"/>
  <c r="E91" i="35" s="1"/>
  <c r="F91" i="35" s="1"/>
  <c r="G91" i="35" s="1"/>
  <c r="H91" i="35" s="1"/>
  <c r="I91" i="35" s="1"/>
  <c r="J91" i="35" s="1"/>
  <c r="K91" i="35" s="1"/>
  <c r="L91" i="35" s="1"/>
  <c r="M91" i="35" s="1"/>
  <c r="N91" i="35" s="1"/>
  <c r="O91" i="35" s="1"/>
  <c r="P91" i="35" s="1"/>
  <c r="Q91" i="35" s="1"/>
  <c r="R91" i="35" s="1"/>
  <c r="S91" i="35" s="1"/>
  <c r="T91" i="35" s="1"/>
  <c r="U91" i="35" s="1"/>
  <c r="V91" i="35" s="1"/>
  <c r="W91" i="35" s="1"/>
  <c r="X91" i="35" s="1"/>
  <c r="Y91" i="35" s="1"/>
  <c r="Z91" i="35" s="1"/>
  <c r="AA91" i="35" s="1"/>
  <c r="AB91" i="35" s="1"/>
  <c r="AC91" i="35" s="1"/>
  <c r="AD91" i="35" s="1"/>
  <c r="AE91" i="35" s="1"/>
  <c r="AF91" i="35" s="1"/>
  <c r="C91" i="35"/>
  <c r="C90" i="35"/>
  <c r="D90" i="35" s="1"/>
  <c r="E90" i="35" s="1"/>
  <c r="F90" i="35" s="1"/>
  <c r="G90" i="35" s="1"/>
  <c r="H90" i="35" s="1"/>
  <c r="I90" i="35" s="1"/>
  <c r="J90" i="35" s="1"/>
  <c r="K90" i="35" s="1"/>
  <c r="L90" i="35" s="1"/>
  <c r="M90" i="35" s="1"/>
  <c r="N90" i="35" s="1"/>
  <c r="O90" i="35" s="1"/>
  <c r="P90" i="35" s="1"/>
  <c r="Q90" i="35" s="1"/>
  <c r="R90" i="35" s="1"/>
  <c r="S90" i="35" s="1"/>
  <c r="T90" i="35" s="1"/>
  <c r="U90" i="35" s="1"/>
  <c r="V90" i="35" s="1"/>
  <c r="W90" i="35" s="1"/>
  <c r="X90" i="35" s="1"/>
  <c r="Y90" i="35" s="1"/>
  <c r="Z90" i="35" s="1"/>
  <c r="AA90" i="35" s="1"/>
  <c r="AB90" i="35" s="1"/>
  <c r="AC90" i="35" s="1"/>
  <c r="AD90" i="35" s="1"/>
  <c r="AE90" i="35" s="1"/>
  <c r="AF90" i="35" s="1"/>
  <c r="E89" i="35"/>
  <c r="D89" i="35"/>
  <c r="C89" i="35"/>
  <c r="AH86" i="35"/>
  <c r="AI86" i="35" s="1"/>
  <c r="AH85" i="35"/>
  <c r="AI85" i="35" s="1"/>
  <c r="AH84" i="35"/>
  <c r="AI84" i="35" s="1"/>
  <c r="AH83" i="35"/>
  <c r="AI83" i="35" s="1"/>
  <c r="B82" i="35"/>
  <c r="AF80" i="35"/>
  <c r="AE80" i="35"/>
  <c r="AD80" i="35"/>
  <c r="AC80" i="35"/>
  <c r="AB80" i="35"/>
  <c r="AA80" i="35"/>
  <c r="Z80" i="35"/>
  <c r="Y80" i="35"/>
  <c r="X80" i="35"/>
  <c r="W80" i="35"/>
  <c r="V80" i="35"/>
  <c r="U80" i="35"/>
  <c r="T80" i="35"/>
  <c r="S80" i="35"/>
  <c r="R80" i="35"/>
  <c r="Q80" i="35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C80" i="35"/>
  <c r="B80" i="35"/>
  <c r="AI79" i="35"/>
  <c r="AH79" i="35"/>
  <c r="AI78" i="35"/>
  <c r="AH78" i="35"/>
  <c r="AI77" i="35"/>
  <c r="AH77" i="35"/>
  <c r="AI76" i="35"/>
  <c r="AH76" i="35"/>
  <c r="AI75" i="35"/>
  <c r="AH75" i="35"/>
  <c r="AI74" i="35"/>
  <c r="AH74" i="35"/>
  <c r="AI73" i="35"/>
  <c r="AH73" i="35"/>
  <c r="AI72" i="35"/>
  <c r="AH72" i="35"/>
  <c r="AG71" i="35"/>
  <c r="AI70" i="35"/>
  <c r="AH70" i="35"/>
  <c r="AF69" i="35"/>
  <c r="AE69" i="35"/>
  <c r="AD69" i="35"/>
  <c r="AC69" i="35"/>
  <c r="AB69" i="35"/>
  <c r="AA69" i="35"/>
  <c r="Z69" i="35"/>
  <c r="Y69" i="35"/>
  <c r="X69" i="35"/>
  <c r="W69" i="35"/>
  <c r="V69" i="35"/>
  <c r="U69" i="35"/>
  <c r="T69" i="35"/>
  <c r="S69" i="35"/>
  <c r="R69" i="35"/>
  <c r="Q69" i="35"/>
  <c r="P69" i="35"/>
  <c r="O69" i="35"/>
  <c r="N69" i="35"/>
  <c r="M69" i="35"/>
  <c r="L69" i="35"/>
  <c r="K69" i="35"/>
  <c r="J69" i="35"/>
  <c r="I69" i="35"/>
  <c r="H69" i="35"/>
  <c r="G69" i="35"/>
  <c r="F69" i="35"/>
  <c r="E69" i="35"/>
  <c r="D69" i="35"/>
  <c r="C69" i="35"/>
  <c r="B69" i="35"/>
  <c r="AF68" i="35"/>
  <c r="AE68" i="35"/>
  <c r="AD68" i="35"/>
  <c r="AC68" i="35"/>
  <c r="AB68" i="35"/>
  <c r="AA68" i="35"/>
  <c r="Z68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AF67" i="35"/>
  <c r="AE67" i="35"/>
  <c r="AD67" i="35"/>
  <c r="AC67" i="35"/>
  <c r="AB67" i="35"/>
  <c r="AA67" i="35"/>
  <c r="Z67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AF66" i="35"/>
  <c r="AF71" i="35" s="1"/>
  <c r="AE66" i="35"/>
  <c r="AD66" i="35"/>
  <c r="AC66" i="35"/>
  <c r="AC71" i="35" s="1"/>
  <c r="AB66" i="35"/>
  <c r="AA66" i="35"/>
  <c r="Z66" i="35"/>
  <c r="Y66" i="35"/>
  <c r="X66" i="35"/>
  <c r="W66" i="35"/>
  <c r="W71" i="35" s="1"/>
  <c r="V66" i="35"/>
  <c r="U66" i="35"/>
  <c r="U71" i="35" s="1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AI64" i="35"/>
  <c r="AH64" i="35"/>
  <c r="AG63" i="35"/>
  <c r="AF63" i="35"/>
  <c r="AE63" i="35"/>
  <c r="AD63" i="35"/>
  <c r="AC63" i="35"/>
  <c r="AB63" i="35"/>
  <c r="AA63" i="35"/>
  <c r="Z63" i="35"/>
  <c r="Y63" i="35"/>
  <c r="X63" i="35"/>
  <c r="W63" i="35"/>
  <c r="V63" i="35"/>
  <c r="U63" i="35"/>
  <c r="T63" i="35"/>
  <c r="S63" i="35"/>
  <c r="R63" i="35"/>
  <c r="Q63" i="35"/>
  <c r="P63" i="35"/>
  <c r="O63" i="35"/>
  <c r="N63" i="35"/>
  <c r="M63" i="35"/>
  <c r="L63" i="35"/>
  <c r="K63" i="35"/>
  <c r="J63" i="35"/>
  <c r="I63" i="35"/>
  <c r="H63" i="35"/>
  <c r="G63" i="35"/>
  <c r="F63" i="35"/>
  <c r="E63" i="35"/>
  <c r="D63" i="35"/>
  <c r="C63" i="35"/>
  <c r="B63" i="35"/>
  <c r="AI62" i="35"/>
  <c r="AH62" i="35"/>
  <c r="AI61" i="35"/>
  <c r="AH61" i="35"/>
  <c r="AI60" i="35"/>
  <c r="AH60" i="35"/>
  <c r="AG59" i="35"/>
  <c r="AF59" i="35"/>
  <c r="AF5" i="35" s="1"/>
  <c r="AE59" i="35"/>
  <c r="AE5" i="35" s="1"/>
  <c r="AD59" i="35"/>
  <c r="AD5" i="35" s="1"/>
  <c r="AC59" i="35"/>
  <c r="AC5" i="35" s="1"/>
  <c r="AB59" i="35"/>
  <c r="AB5" i="35" s="1"/>
  <c r="AA59" i="35"/>
  <c r="AA5" i="35" s="1"/>
  <c r="Z59" i="35"/>
  <c r="Z5" i="35" s="1"/>
  <c r="Y59" i="35"/>
  <c r="Y5" i="35" s="1"/>
  <c r="X59" i="35"/>
  <c r="X5" i="35" s="1"/>
  <c r="W59" i="35"/>
  <c r="V59" i="35"/>
  <c r="V5" i="35" s="1"/>
  <c r="U59" i="35"/>
  <c r="U5" i="35" s="1"/>
  <c r="T59" i="35"/>
  <c r="T5" i="35" s="1"/>
  <c r="S59" i="35"/>
  <c r="R59" i="35"/>
  <c r="R5" i="35" s="1"/>
  <c r="Q59" i="35"/>
  <c r="Q5" i="35" s="1"/>
  <c r="P59" i="35"/>
  <c r="P5" i="35" s="1"/>
  <c r="O59" i="35"/>
  <c r="O5" i="35" s="1"/>
  <c r="N59" i="35"/>
  <c r="N5" i="35" s="1"/>
  <c r="M59" i="35"/>
  <c r="L59" i="35"/>
  <c r="L5" i="35" s="1"/>
  <c r="K59" i="35"/>
  <c r="K5" i="35" s="1"/>
  <c r="J59" i="35"/>
  <c r="J5" i="35" s="1"/>
  <c r="I59" i="35"/>
  <c r="I5" i="35" s="1"/>
  <c r="H59" i="35"/>
  <c r="H5" i="35" s="1"/>
  <c r="G59" i="35"/>
  <c r="G5" i="35" s="1"/>
  <c r="F59" i="35"/>
  <c r="F5" i="35" s="1"/>
  <c r="E59" i="35"/>
  <c r="E5" i="35" s="1"/>
  <c r="D59" i="35"/>
  <c r="D5" i="35" s="1"/>
  <c r="C59" i="35"/>
  <c r="B59" i="35"/>
  <c r="AI58" i="35"/>
  <c r="AH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G47" i="35"/>
  <c r="AF47" i="35"/>
  <c r="AE47" i="35"/>
  <c r="AD47" i="35"/>
  <c r="AC47" i="35"/>
  <c r="AB47" i="35"/>
  <c r="AA47" i="35"/>
  <c r="Z47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L47" i="35"/>
  <c r="K47" i="35"/>
  <c r="J47" i="35"/>
  <c r="I47" i="35"/>
  <c r="G47" i="35"/>
  <c r="F47" i="35"/>
  <c r="E47" i="35"/>
  <c r="D47" i="35"/>
  <c r="C47" i="35"/>
  <c r="B47" i="35"/>
  <c r="AI46" i="35"/>
  <c r="AH46" i="35"/>
  <c r="AI45" i="35"/>
  <c r="AH45" i="35"/>
  <c r="AI44" i="35"/>
  <c r="AH44" i="35"/>
  <c r="B43" i="35"/>
  <c r="AG42" i="35"/>
  <c r="AG43" i="35" s="1"/>
  <c r="AG3" i="35" s="1"/>
  <c r="AG6" i="35" s="1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G30" i="35"/>
  <c r="AF30" i="35"/>
  <c r="AE30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W5" i="35"/>
  <c r="S5" i="35"/>
  <c r="M5" i="35"/>
  <c r="C5" i="35"/>
  <c r="AG4" i="35"/>
  <c r="K4" i="35"/>
  <c r="C4" i="35"/>
  <c r="D4" i="35" s="1"/>
  <c r="AG2" i="35"/>
  <c r="Z49" i="34"/>
  <c r="Q59" i="34"/>
  <c r="Q30" i="34"/>
  <c r="AE71" i="35" l="1"/>
  <c r="AD71" i="35"/>
  <c r="AB71" i="35"/>
  <c r="Y71" i="35"/>
  <c r="X71" i="35"/>
  <c r="T71" i="35"/>
  <c r="V71" i="35"/>
  <c r="Q71" i="35"/>
  <c r="P71" i="35"/>
  <c r="N71" i="35"/>
  <c r="O71" i="35"/>
  <c r="M71" i="35"/>
  <c r="L71" i="35"/>
  <c r="AI66" i="35"/>
  <c r="I71" i="35"/>
  <c r="H71" i="35"/>
  <c r="G71" i="35"/>
  <c r="F71" i="35"/>
  <c r="AH68" i="35"/>
  <c r="AH69" i="35"/>
  <c r="E71" i="35"/>
  <c r="D71" i="35"/>
  <c r="AI80" i="35"/>
  <c r="AI69" i="35"/>
  <c r="AH59" i="35"/>
  <c r="AI47" i="35"/>
  <c r="J71" i="35"/>
  <c r="AI67" i="35"/>
  <c r="AG65" i="35"/>
  <c r="AH66" i="35"/>
  <c r="B71" i="35"/>
  <c r="R71" i="35"/>
  <c r="Z71" i="35"/>
  <c r="AI63" i="35"/>
  <c r="B65" i="35"/>
  <c r="AH63" i="35"/>
  <c r="C71" i="35"/>
  <c r="K71" i="35"/>
  <c r="S71" i="35"/>
  <c r="AA71" i="35"/>
  <c r="AH67" i="35"/>
  <c r="AI30" i="35"/>
  <c r="AH30" i="35"/>
  <c r="AH47" i="35"/>
  <c r="C82" i="35"/>
  <c r="D94" i="35"/>
  <c r="AI59" i="35"/>
  <c r="B5" i="35"/>
  <c r="AI68" i="35"/>
  <c r="F89" i="35"/>
  <c r="D190" i="35"/>
  <c r="S190" i="35"/>
  <c r="AH80" i="35"/>
  <c r="D171" i="35"/>
  <c r="C171" i="35"/>
  <c r="E173" i="35"/>
  <c r="D179" i="35"/>
  <c r="D42" i="35" s="1"/>
  <c r="D43" i="35" s="1"/>
  <c r="D65" i="35" s="1"/>
  <c r="E214" i="35"/>
  <c r="F178" i="35"/>
  <c r="C179" i="35"/>
  <c r="C42" i="35" s="1"/>
  <c r="C214" i="35"/>
  <c r="V193" i="35" l="1"/>
  <c r="D7" i="35"/>
  <c r="AI71" i="35"/>
  <c r="AH71" i="35"/>
  <c r="C43" i="35"/>
  <c r="G178" i="35"/>
  <c r="F214" i="35"/>
  <c r="E94" i="35"/>
  <c r="D82" i="35"/>
  <c r="G89" i="35"/>
  <c r="T193" i="35"/>
  <c r="B7" i="35"/>
  <c r="E179" i="35"/>
  <c r="E42" i="35" s="1"/>
  <c r="E43" i="35" s="1"/>
  <c r="E65" i="35" s="1"/>
  <c r="F173" i="35"/>
  <c r="H89" i="35" l="1"/>
  <c r="C65" i="35"/>
  <c r="G173" i="35"/>
  <c r="F179" i="35"/>
  <c r="F42" i="35" s="1"/>
  <c r="W193" i="35"/>
  <c r="E7" i="35"/>
  <c r="F94" i="35"/>
  <c r="E82" i="35"/>
  <c r="E171" i="35"/>
  <c r="H178" i="35"/>
  <c r="G214" i="35"/>
  <c r="U193" i="35" l="1"/>
  <c r="C7" i="35"/>
  <c r="G94" i="35"/>
  <c r="F82" i="35"/>
  <c r="F171" i="35"/>
  <c r="I89" i="35"/>
  <c r="F43" i="35"/>
  <c r="I178" i="35"/>
  <c r="H214" i="35"/>
  <c r="G179" i="35"/>
  <c r="G42" i="35" s="1"/>
  <c r="G43" i="35" s="1"/>
  <c r="G65" i="35" s="1"/>
  <c r="H173" i="35"/>
  <c r="H94" i="35" l="1"/>
  <c r="G82" i="35"/>
  <c r="G171" i="35"/>
  <c r="Y193" i="35"/>
  <c r="G7" i="35"/>
  <c r="I214" i="35"/>
  <c r="J178" i="35"/>
  <c r="F65" i="35"/>
  <c r="J89" i="35"/>
  <c r="H179" i="35"/>
  <c r="H42" i="35" s="1"/>
  <c r="H43" i="35" s="1"/>
  <c r="H65" i="35" s="1"/>
  <c r="I173" i="35"/>
  <c r="K178" i="35" l="1"/>
  <c r="J214" i="35"/>
  <c r="X193" i="35"/>
  <c r="F7" i="35"/>
  <c r="K89" i="35"/>
  <c r="J173" i="35"/>
  <c r="I179" i="35"/>
  <c r="I42" i="35" s="1"/>
  <c r="I43" i="35" s="1"/>
  <c r="I94" i="35"/>
  <c r="H82" i="35"/>
  <c r="H171" i="35"/>
  <c r="Z193" i="35"/>
  <c r="H7" i="35"/>
  <c r="J94" i="35" l="1"/>
  <c r="I82" i="35"/>
  <c r="I171" i="35"/>
  <c r="I65" i="35"/>
  <c r="K173" i="35"/>
  <c r="J179" i="35"/>
  <c r="J42" i="35" s="1"/>
  <c r="J43" i="35" s="1"/>
  <c r="J65" i="35" s="1"/>
  <c r="L89" i="35"/>
  <c r="L178" i="35"/>
  <c r="K214" i="35"/>
  <c r="L173" i="35" l="1"/>
  <c r="K179" i="35"/>
  <c r="K42" i="35" s="1"/>
  <c r="K43" i="35" s="1"/>
  <c r="K94" i="35"/>
  <c r="J82" i="35"/>
  <c r="J171" i="35"/>
  <c r="AA193" i="35"/>
  <c r="I7" i="35"/>
  <c r="M89" i="35"/>
  <c r="M178" i="35"/>
  <c r="L214" i="35"/>
  <c r="AB193" i="35"/>
  <c r="J7" i="35"/>
  <c r="M214" i="35" l="1"/>
  <c r="N178" i="35"/>
  <c r="N89" i="35"/>
  <c r="K65" i="35"/>
  <c r="L94" i="35"/>
  <c r="K82" i="35"/>
  <c r="K171" i="35"/>
  <c r="M173" i="35"/>
  <c r="L179" i="35"/>
  <c r="L42" i="35" s="1"/>
  <c r="L43" i="35" s="1"/>
  <c r="L65" i="35" s="1"/>
  <c r="AC193" i="35" l="1"/>
  <c r="K7" i="35"/>
  <c r="O89" i="35"/>
  <c r="M179" i="35"/>
  <c r="M42" i="35" s="1"/>
  <c r="M43" i="35" s="1"/>
  <c r="M65" i="35" s="1"/>
  <c r="B188" i="35" s="1"/>
  <c r="N173" i="35"/>
  <c r="N214" i="35"/>
  <c r="O178" i="35"/>
  <c r="M94" i="35"/>
  <c r="L82" i="35"/>
  <c r="L171" i="35"/>
  <c r="AD193" i="35"/>
  <c r="L7" i="35"/>
  <c r="C188" i="35" l="1"/>
  <c r="K6" i="35" s="1"/>
  <c r="P89" i="35"/>
  <c r="N94" i="35"/>
  <c r="M82" i="35"/>
  <c r="M171" i="35"/>
  <c r="P178" i="35"/>
  <c r="O214" i="35"/>
  <c r="O173" i="35"/>
  <c r="N179" i="35"/>
  <c r="N42" i="35" s="1"/>
  <c r="N43" i="35" s="1"/>
  <c r="N65" i="35" s="1"/>
  <c r="AE193" i="35"/>
  <c r="M7" i="35"/>
  <c r="N82" i="35" l="1"/>
  <c r="O94" i="35"/>
  <c r="N171" i="35"/>
  <c r="Q89" i="35"/>
  <c r="Q178" i="35"/>
  <c r="P214" i="35"/>
  <c r="AF193" i="35"/>
  <c r="N7" i="35"/>
  <c r="P173" i="35"/>
  <c r="O179" i="35"/>
  <c r="O42" i="35" s="1"/>
  <c r="O43" i="35" s="1"/>
  <c r="O65" i="35" s="1"/>
  <c r="P179" i="35" l="1"/>
  <c r="P42" i="35" s="1"/>
  <c r="P43" i="35" s="1"/>
  <c r="P65" i="35" s="1"/>
  <c r="Q173" i="35"/>
  <c r="O82" i="35"/>
  <c r="P94" i="35"/>
  <c r="O171" i="35"/>
  <c r="Q214" i="35"/>
  <c r="R178" i="35"/>
  <c r="R89" i="35"/>
  <c r="AG193" i="35"/>
  <c r="O7" i="35"/>
  <c r="P82" i="35" l="1"/>
  <c r="Q94" i="35"/>
  <c r="P171" i="35"/>
  <c r="R173" i="35"/>
  <c r="Q179" i="35"/>
  <c r="Q42" i="35" s="1"/>
  <c r="Q43" i="35" s="1"/>
  <c r="Q65" i="35" s="1"/>
  <c r="S178" i="35"/>
  <c r="R214" i="35"/>
  <c r="S89" i="35"/>
  <c r="AH193" i="35"/>
  <c r="P7" i="35"/>
  <c r="AI193" i="35" l="1"/>
  <c r="Q7" i="35"/>
  <c r="R179" i="35"/>
  <c r="R42" i="35" s="1"/>
  <c r="R43" i="35" s="1"/>
  <c r="R65" i="35" s="1"/>
  <c r="S173" i="35"/>
  <c r="Q82" i="35"/>
  <c r="R94" i="35"/>
  <c r="Q171" i="35"/>
  <c r="T178" i="35"/>
  <c r="S214" i="35"/>
  <c r="T89" i="35"/>
  <c r="U178" i="35" l="1"/>
  <c r="T214" i="35"/>
  <c r="R82" i="35"/>
  <c r="S94" i="35"/>
  <c r="R171" i="35"/>
  <c r="T173" i="35"/>
  <c r="S179" i="35"/>
  <c r="S42" i="35" s="1"/>
  <c r="S43" i="35" s="1"/>
  <c r="S65" i="35" s="1"/>
  <c r="U89" i="35"/>
  <c r="AJ193" i="35"/>
  <c r="R7" i="35"/>
  <c r="S82" i="35" l="1"/>
  <c r="T94" i="35"/>
  <c r="S171" i="35"/>
  <c r="AK193" i="35"/>
  <c r="S7" i="35"/>
  <c r="U173" i="35"/>
  <c r="T179" i="35"/>
  <c r="T42" i="35" s="1"/>
  <c r="T43" i="35" s="1"/>
  <c r="T65" i="35" s="1"/>
  <c r="V89" i="35"/>
  <c r="V178" i="35"/>
  <c r="U214" i="35"/>
  <c r="V214" i="35" l="1"/>
  <c r="W178" i="35"/>
  <c r="U94" i="35"/>
  <c r="T82" i="35"/>
  <c r="T171" i="35"/>
  <c r="AL193" i="35"/>
  <c r="T7" i="35"/>
  <c r="U179" i="35"/>
  <c r="U42" i="35" s="1"/>
  <c r="U43" i="35" s="1"/>
  <c r="U65" i="35" s="1"/>
  <c r="V173" i="35"/>
  <c r="W89" i="35"/>
  <c r="AM193" i="35" l="1"/>
  <c r="U7" i="35"/>
  <c r="X89" i="35"/>
  <c r="V94" i="35"/>
  <c r="U82" i="35"/>
  <c r="U171" i="35"/>
  <c r="W214" i="35"/>
  <c r="X178" i="35"/>
  <c r="W173" i="35"/>
  <c r="V179" i="35"/>
  <c r="V42" i="35" s="1"/>
  <c r="V43" i="35" s="1"/>
  <c r="V65" i="35" s="1"/>
  <c r="AN193" i="35" l="1"/>
  <c r="V7" i="35"/>
  <c r="W94" i="35"/>
  <c r="V82" i="35"/>
  <c r="V171" i="35"/>
  <c r="Y89" i="35"/>
  <c r="X173" i="35"/>
  <c r="W179" i="35"/>
  <c r="W42" i="35" s="1"/>
  <c r="W43" i="35" s="1"/>
  <c r="W65" i="35" s="1"/>
  <c r="Y178" i="35"/>
  <c r="X214" i="35"/>
  <c r="Y173" i="35" l="1"/>
  <c r="X179" i="35"/>
  <c r="X42" i="35" s="1"/>
  <c r="X43" i="35" s="1"/>
  <c r="X65" i="35" s="1"/>
  <c r="Z89" i="35"/>
  <c r="Y214" i="35"/>
  <c r="Z178" i="35"/>
  <c r="X94" i="35"/>
  <c r="W82" i="35"/>
  <c r="W171" i="35"/>
  <c r="AO193" i="35"/>
  <c r="W7" i="35"/>
  <c r="X82" i="35" l="1"/>
  <c r="Y94" i="35"/>
  <c r="X171" i="35"/>
  <c r="AA89" i="35"/>
  <c r="AP193" i="35"/>
  <c r="X7" i="35"/>
  <c r="AA178" i="35"/>
  <c r="Z214" i="35"/>
  <c r="Z173" i="35"/>
  <c r="Y179" i="35"/>
  <c r="Y42" i="35" s="1"/>
  <c r="Y43" i="35" s="1"/>
  <c r="Y65" i="35" s="1"/>
  <c r="AB178" i="35" l="1"/>
  <c r="AA214" i="35"/>
  <c r="AB89" i="35"/>
  <c r="Z179" i="35"/>
  <c r="Z42" i="35" s="1"/>
  <c r="Z43" i="35" s="1"/>
  <c r="Z65" i="35" s="1"/>
  <c r="AA173" i="35"/>
  <c r="Y82" i="35"/>
  <c r="Z94" i="35"/>
  <c r="Y171" i="35"/>
  <c r="AQ193" i="35"/>
  <c r="Y7" i="35"/>
  <c r="Z82" i="35" l="1"/>
  <c r="AA94" i="35"/>
  <c r="Z171" i="35"/>
  <c r="AA179" i="35"/>
  <c r="AA42" i="35" s="1"/>
  <c r="AA43" i="35" s="1"/>
  <c r="AA65" i="35" s="1"/>
  <c r="AB173" i="35"/>
  <c r="AR193" i="35"/>
  <c r="Z7" i="35"/>
  <c r="AC89" i="35"/>
  <c r="AC178" i="35"/>
  <c r="AB214" i="35"/>
  <c r="AC173" i="35" l="1"/>
  <c r="AB179" i="35"/>
  <c r="AB42" i="35" s="1"/>
  <c r="AB43" i="35" s="1"/>
  <c r="AB65" i="35" s="1"/>
  <c r="AA82" i="35"/>
  <c r="AB94" i="35"/>
  <c r="AA171" i="35"/>
  <c r="AS193" i="35"/>
  <c r="AA7" i="35"/>
  <c r="AD178" i="35"/>
  <c r="AC214" i="35"/>
  <c r="AD89" i="35"/>
  <c r="AE178" i="35" l="1"/>
  <c r="AD214" i="35"/>
  <c r="AC94" i="35"/>
  <c r="AB82" i="35"/>
  <c r="AB171" i="35"/>
  <c r="AE89" i="35"/>
  <c r="AT193" i="35"/>
  <c r="AB7" i="35"/>
  <c r="AC179" i="35"/>
  <c r="AC42" i="35" s="1"/>
  <c r="AC43" i="35" s="1"/>
  <c r="AC65" i="35" s="1"/>
  <c r="AD173" i="35"/>
  <c r="AF89" i="35" l="1"/>
  <c r="AD94" i="35"/>
  <c r="AC82" i="35"/>
  <c r="AC171" i="35"/>
  <c r="AE173" i="35"/>
  <c r="AD179" i="35"/>
  <c r="AD42" i="35" s="1"/>
  <c r="AD43" i="35" s="1"/>
  <c r="AD65" i="35" s="1"/>
  <c r="AU193" i="35"/>
  <c r="AC7" i="35"/>
  <c r="AE214" i="35"/>
  <c r="AF178" i="35"/>
  <c r="AF214" i="35" s="1"/>
  <c r="AV193" i="35" l="1"/>
  <c r="AD7" i="35"/>
  <c r="AF173" i="35"/>
  <c r="AF179" i="35" s="1"/>
  <c r="AF42" i="35" s="1"/>
  <c r="AE179" i="35"/>
  <c r="AE42" i="35" s="1"/>
  <c r="AE43" i="35" s="1"/>
  <c r="AE65" i="35" s="1"/>
  <c r="AE94" i="35"/>
  <c r="AD82" i="35"/>
  <c r="AD171" i="35"/>
  <c r="AF94" i="35" l="1"/>
  <c r="AE82" i="35"/>
  <c r="AE171" i="35"/>
  <c r="AW193" i="35"/>
  <c r="AE7" i="35"/>
  <c r="AF43" i="35"/>
  <c r="AI42" i="35"/>
  <c r="AH42" i="35"/>
  <c r="AF65" i="35" l="1"/>
  <c r="AI43" i="35"/>
  <c r="AH43" i="35"/>
  <c r="AF82" i="35"/>
  <c r="AF171" i="35"/>
  <c r="AI82" i="35" l="1"/>
  <c r="AH82" i="35"/>
  <c r="AX193" i="35"/>
  <c r="AF7" i="35"/>
  <c r="A7" i="35" s="1"/>
  <c r="AI65" i="35"/>
  <c r="AH65" i="35"/>
  <c r="B30" i="34" l="1"/>
  <c r="C30" i="34"/>
  <c r="D30" i="34"/>
  <c r="E30" i="34"/>
  <c r="F30" i="34"/>
  <c r="G30" i="34"/>
  <c r="H30" i="34"/>
  <c r="I30" i="34"/>
  <c r="J30" i="34"/>
  <c r="K30" i="34"/>
  <c r="M30" i="34"/>
  <c r="AH87" i="34"/>
  <c r="AI87" i="34" s="1"/>
  <c r="AF218" i="34"/>
  <c r="AE218" i="34"/>
  <c r="AD218" i="34"/>
  <c r="AC218" i="34"/>
  <c r="AB218" i="34"/>
  <c r="AA218" i="34"/>
  <c r="Z218" i="34"/>
  <c r="Y218" i="34"/>
  <c r="X218" i="34"/>
  <c r="W218" i="34"/>
  <c r="V218" i="34"/>
  <c r="U218" i="34"/>
  <c r="T218" i="34"/>
  <c r="S218" i="34"/>
  <c r="R218" i="34"/>
  <c r="Q218" i="34"/>
  <c r="P218" i="34"/>
  <c r="O218" i="34"/>
  <c r="N218" i="34"/>
  <c r="M218" i="34"/>
  <c r="L218" i="34"/>
  <c r="K218" i="34"/>
  <c r="J218" i="34"/>
  <c r="I218" i="34"/>
  <c r="H218" i="34"/>
  <c r="G218" i="34"/>
  <c r="F218" i="34"/>
  <c r="E218" i="34"/>
  <c r="D218" i="34"/>
  <c r="C218" i="34"/>
  <c r="B218" i="34"/>
  <c r="A218" i="34"/>
  <c r="AF217" i="34"/>
  <c r="AE217" i="34"/>
  <c r="AD217" i="34"/>
  <c r="AC217" i="34"/>
  <c r="AB217" i="34"/>
  <c r="AA217" i="34"/>
  <c r="Z217" i="34"/>
  <c r="Y217" i="34"/>
  <c r="X217" i="34"/>
  <c r="W217" i="34"/>
  <c r="V217" i="34"/>
  <c r="U217" i="34"/>
  <c r="T217" i="34"/>
  <c r="S217" i="34"/>
  <c r="R217" i="34"/>
  <c r="Q217" i="34"/>
  <c r="P217" i="34"/>
  <c r="O217" i="34"/>
  <c r="N217" i="34"/>
  <c r="M217" i="34"/>
  <c r="L217" i="34"/>
  <c r="K217" i="34"/>
  <c r="J217" i="34"/>
  <c r="I217" i="34"/>
  <c r="H217" i="34"/>
  <c r="G217" i="34"/>
  <c r="F217" i="34"/>
  <c r="E217" i="34"/>
  <c r="D217" i="34"/>
  <c r="C217" i="34"/>
  <c r="B217" i="34"/>
  <c r="A217" i="34"/>
  <c r="AF216" i="34"/>
  <c r="AE216" i="34"/>
  <c r="AD216" i="34"/>
  <c r="AC216" i="34"/>
  <c r="AB216" i="34"/>
  <c r="AA216" i="34"/>
  <c r="Z216" i="34"/>
  <c r="Y216" i="34"/>
  <c r="X216" i="34"/>
  <c r="W216" i="34"/>
  <c r="V216" i="34"/>
  <c r="U216" i="34"/>
  <c r="T216" i="34"/>
  <c r="S216" i="34"/>
  <c r="R216" i="34"/>
  <c r="Q216" i="34"/>
  <c r="P216" i="34"/>
  <c r="O216" i="34"/>
  <c r="N216" i="34"/>
  <c r="M216" i="34"/>
  <c r="L216" i="34"/>
  <c r="K216" i="34"/>
  <c r="J216" i="34"/>
  <c r="I216" i="34"/>
  <c r="H216" i="34"/>
  <c r="G216" i="34"/>
  <c r="F216" i="34"/>
  <c r="E216" i="34"/>
  <c r="D216" i="34"/>
  <c r="C216" i="34"/>
  <c r="B216" i="34"/>
  <c r="A216" i="34"/>
  <c r="AF215" i="34"/>
  <c r="AE215" i="34"/>
  <c r="AD215" i="34"/>
  <c r="AC215" i="34"/>
  <c r="AB215" i="34"/>
  <c r="AA215" i="34"/>
  <c r="Z215" i="34"/>
  <c r="Y215" i="34"/>
  <c r="X215" i="34"/>
  <c r="W215" i="34"/>
  <c r="V215" i="34"/>
  <c r="U215" i="34"/>
  <c r="T215" i="34"/>
  <c r="S215" i="34"/>
  <c r="R215" i="34"/>
  <c r="Q215" i="34"/>
  <c r="P215" i="34"/>
  <c r="O215" i="34"/>
  <c r="N215" i="34"/>
  <c r="M215" i="34"/>
  <c r="L215" i="34"/>
  <c r="K215" i="34"/>
  <c r="J215" i="34"/>
  <c r="I215" i="34"/>
  <c r="H215" i="34"/>
  <c r="G215" i="34"/>
  <c r="F215" i="34"/>
  <c r="E215" i="34"/>
  <c r="D215" i="34"/>
  <c r="C215" i="34"/>
  <c r="B215" i="34"/>
  <c r="A215" i="34"/>
  <c r="B214" i="34"/>
  <c r="S189" i="34"/>
  <c r="AG179" i="34"/>
  <c r="B179" i="34"/>
  <c r="E178" i="34"/>
  <c r="C178" i="34"/>
  <c r="D178" i="34" s="1"/>
  <c r="D214" i="34" s="1"/>
  <c r="G177" i="34"/>
  <c r="H177" i="34" s="1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AD177" i="34" s="1"/>
  <c r="AE177" i="34" s="1"/>
  <c r="AF177" i="34" s="1"/>
  <c r="F177" i="34"/>
  <c r="E177" i="34"/>
  <c r="D177" i="34"/>
  <c r="C177" i="34"/>
  <c r="C176" i="34"/>
  <c r="D176" i="34" s="1"/>
  <c r="E176" i="34" s="1"/>
  <c r="F176" i="34" s="1"/>
  <c r="G176" i="34" s="1"/>
  <c r="H176" i="34" s="1"/>
  <c r="I176" i="34" s="1"/>
  <c r="J176" i="34" s="1"/>
  <c r="K176" i="34" s="1"/>
  <c r="L176" i="34" s="1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U175" i="34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L175" i="34"/>
  <c r="M175" i="34" s="1"/>
  <c r="N175" i="34" s="1"/>
  <c r="O175" i="34" s="1"/>
  <c r="P175" i="34" s="1"/>
  <c r="Q175" i="34" s="1"/>
  <c r="R175" i="34" s="1"/>
  <c r="S175" i="34" s="1"/>
  <c r="T175" i="34" s="1"/>
  <c r="C175" i="34"/>
  <c r="D175" i="34" s="1"/>
  <c r="E175" i="34" s="1"/>
  <c r="F175" i="34" s="1"/>
  <c r="G175" i="34" s="1"/>
  <c r="H175" i="34" s="1"/>
  <c r="I175" i="34" s="1"/>
  <c r="J175" i="34" s="1"/>
  <c r="K175" i="34" s="1"/>
  <c r="F174" i="34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E174" i="34"/>
  <c r="C174" i="34"/>
  <c r="D174" i="34" s="1"/>
  <c r="C173" i="34"/>
  <c r="D173" i="34" s="1"/>
  <c r="AG171" i="34"/>
  <c r="B171" i="34"/>
  <c r="Q170" i="34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C170" i="34"/>
  <c r="D170" i="34" s="1"/>
  <c r="E170" i="34" s="1"/>
  <c r="F170" i="34" s="1"/>
  <c r="G170" i="34" s="1"/>
  <c r="H170" i="34" s="1"/>
  <c r="I170" i="34" s="1"/>
  <c r="J170" i="34" s="1"/>
  <c r="K170" i="34" s="1"/>
  <c r="L170" i="34" s="1"/>
  <c r="M170" i="34" s="1"/>
  <c r="N170" i="34" s="1"/>
  <c r="O170" i="34" s="1"/>
  <c r="P170" i="34" s="1"/>
  <c r="E169" i="34"/>
  <c r="F169" i="34" s="1"/>
  <c r="G169" i="34" s="1"/>
  <c r="H169" i="34" s="1"/>
  <c r="I169" i="34" s="1"/>
  <c r="J169" i="34" s="1"/>
  <c r="K169" i="34" s="1"/>
  <c r="L169" i="34" s="1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C169" i="34"/>
  <c r="D169" i="34" s="1"/>
  <c r="K168" i="34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C168" i="34"/>
  <c r="D168" i="34" s="1"/>
  <c r="E168" i="34" s="1"/>
  <c r="F168" i="34" s="1"/>
  <c r="G168" i="34" s="1"/>
  <c r="H168" i="34" s="1"/>
  <c r="I168" i="34" s="1"/>
  <c r="J168" i="34" s="1"/>
  <c r="E167" i="34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D167" i="34"/>
  <c r="C167" i="34"/>
  <c r="D166" i="34"/>
  <c r="E166" i="34" s="1"/>
  <c r="F166" i="34" s="1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C166" i="34"/>
  <c r="T165" i="34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G165" i="34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D165" i="34"/>
  <c r="E165" i="34" s="1"/>
  <c r="F165" i="34" s="1"/>
  <c r="C165" i="34"/>
  <c r="I164" i="34"/>
  <c r="J164" i="34" s="1"/>
  <c r="K164" i="34" s="1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C164" i="34"/>
  <c r="D164" i="34" s="1"/>
  <c r="E164" i="34" s="1"/>
  <c r="F164" i="34" s="1"/>
  <c r="G164" i="34" s="1"/>
  <c r="H164" i="34" s="1"/>
  <c r="C163" i="34"/>
  <c r="D163" i="34" s="1"/>
  <c r="E163" i="34" s="1"/>
  <c r="F163" i="34" s="1"/>
  <c r="G163" i="34" s="1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Z162" i="34"/>
  <c r="AA162" i="34" s="1"/>
  <c r="AB162" i="34" s="1"/>
  <c r="AC162" i="34" s="1"/>
  <c r="AD162" i="34" s="1"/>
  <c r="AE162" i="34" s="1"/>
  <c r="AF162" i="34" s="1"/>
  <c r="J162" i="34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C162" i="34"/>
  <c r="D162" i="34" s="1"/>
  <c r="E162" i="34" s="1"/>
  <c r="F162" i="34" s="1"/>
  <c r="G162" i="34" s="1"/>
  <c r="H162" i="34" s="1"/>
  <c r="I162" i="34" s="1"/>
  <c r="C161" i="34"/>
  <c r="D161" i="34" s="1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Z160" i="34"/>
  <c r="AA160" i="34" s="1"/>
  <c r="AB160" i="34" s="1"/>
  <c r="AC160" i="34" s="1"/>
  <c r="AD160" i="34" s="1"/>
  <c r="AE160" i="34" s="1"/>
  <c r="AF160" i="34" s="1"/>
  <c r="C160" i="34"/>
  <c r="D160" i="34" s="1"/>
  <c r="E160" i="34" s="1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G159" i="34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F159" i="34"/>
  <c r="D159" i="34"/>
  <c r="E159" i="34" s="1"/>
  <c r="C159" i="34"/>
  <c r="Y158" i="34"/>
  <c r="Z158" i="34" s="1"/>
  <c r="AA158" i="34" s="1"/>
  <c r="AB158" i="34" s="1"/>
  <c r="AC158" i="34" s="1"/>
  <c r="AD158" i="34" s="1"/>
  <c r="AE158" i="34" s="1"/>
  <c r="AF158" i="34" s="1"/>
  <c r="T158" i="34"/>
  <c r="U158" i="34" s="1"/>
  <c r="V158" i="34" s="1"/>
  <c r="W158" i="34" s="1"/>
  <c r="X158" i="34" s="1"/>
  <c r="C158" i="34"/>
  <c r="D158" i="34" s="1"/>
  <c r="E158" i="34" s="1"/>
  <c r="F158" i="34" s="1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AA157" i="34"/>
  <c r="AB157" i="34" s="1"/>
  <c r="AC157" i="34" s="1"/>
  <c r="AD157" i="34" s="1"/>
  <c r="AE157" i="34" s="1"/>
  <c r="AF157" i="34" s="1"/>
  <c r="J157" i="34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G157" i="34"/>
  <c r="H157" i="34" s="1"/>
  <c r="I157" i="34" s="1"/>
  <c r="E157" i="34"/>
  <c r="F157" i="34" s="1"/>
  <c r="C157" i="34"/>
  <c r="D157" i="34" s="1"/>
  <c r="Z156" i="34"/>
  <c r="AA156" i="34" s="1"/>
  <c r="AB156" i="34" s="1"/>
  <c r="AC156" i="34" s="1"/>
  <c r="AD156" i="34" s="1"/>
  <c r="AE156" i="34" s="1"/>
  <c r="AF156" i="34" s="1"/>
  <c r="U156" i="34"/>
  <c r="V156" i="34" s="1"/>
  <c r="W156" i="34" s="1"/>
  <c r="X156" i="34" s="1"/>
  <c r="Y156" i="34" s="1"/>
  <c r="H156" i="34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C156" i="34"/>
  <c r="D156" i="34" s="1"/>
  <c r="E156" i="34" s="1"/>
  <c r="F156" i="34" s="1"/>
  <c r="G156" i="34" s="1"/>
  <c r="N155" i="34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D155" i="34"/>
  <c r="E155" i="34" s="1"/>
  <c r="F155" i="34" s="1"/>
  <c r="G155" i="34" s="1"/>
  <c r="H155" i="34" s="1"/>
  <c r="I155" i="34" s="1"/>
  <c r="J155" i="34" s="1"/>
  <c r="K155" i="34" s="1"/>
  <c r="L155" i="34" s="1"/>
  <c r="M155" i="34" s="1"/>
  <c r="C155" i="34"/>
  <c r="D154" i="34"/>
  <c r="E154" i="34" s="1"/>
  <c r="F154" i="34" s="1"/>
  <c r="G154" i="34" s="1"/>
  <c r="H154" i="34" s="1"/>
  <c r="I154" i="34" s="1"/>
  <c r="J154" i="34" s="1"/>
  <c r="K154" i="34" s="1"/>
  <c r="L154" i="34" s="1"/>
  <c r="M154" i="34" s="1"/>
  <c r="N154" i="34" s="1"/>
  <c r="O154" i="34" s="1"/>
  <c r="P154" i="34" s="1"/>
  <c r="Q154" i="34" s="1"/>
  <c r="R154" i="34" s="1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C154" i="34"/>
  <c r="P153" i="34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K153" i="34"/>
  <c r="L153" i="34" s="1"/>
  <c r="M153" i="34" s="1"/>
  <c r="N153" i="34" s="1"/>
  <c r="O153" i="34" s="1"/>
  <c r="C153" i="34"/>
  <c r="D153" i="34" s="1"/>
  <c r="E153" i="34" s="1"/>
  <c r="F153" i="34" s="1"/>
  <c r="G153" i="34" s="1"/>
  <c r="H153" i="34" s="1"/>
  <c r="I153" i="34" s="1"/>
  <c r="J153" i="34" s="1"/>
  <c r="I152" i="34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E152" i="34"/>
  <c r="F152" i="34" s="1"/>
  <c r="G152" i="34" s="1"/>
  <c r="H152" i="34" s="1"/>
  <c r="D152" i="34"/>
  <c r="C152" i="34"/>
  <c r="L151" i="34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C151" i="34"/>
  <c r="D151" i="34" s="1"/>
  <c r="E151" i="34" s="1"/>
  <c r="F151" i="34" s="1"/>
  <c r="G151" i="34" s="1"/>
  <c r="H151" i="34" s="1"/>
  <c r="I151" i="34" s="1"/>
  <c r="J151" i="34" s="1"/>
  <c r="K151" i="34" s="1"/>
  <c r="Q150" i="34"/>
  <c r="R150" i="34" s="1"/>
  <c r="S150" i="34" s="1"/>
  <c r="T150" i="34" s="1"/>
  <c r="U150" i="34" s="1"/>
  <c r="V150" i="34" s="1"/>
  <c r="W150" i="34" s="1"/>
  <c r="X150" i="34" s="1"/>
  <c r="Y150" i="34" s="1"/>
  <c r="Z150" i="34" s="1"/>
  <c r="AA150" i="34" s="1"/>
  <c r="AB150" i="34" s="1"/>
  <c r="AC150" i="34" s="1"/>
  <c r="AD150" i="34" s="1"/>
  <c r="AE150" i="34" s="1"/>
  <c r="AF150" i="34" s="1"/>
  <c r="M150" i="34"/>
  <c r="N150" i="34" s="1"/>
  <c r="O150" i="34" s="1"/>
  <c r="P150" i="34" s="1"/>
  <c r="J150" i="34"/>
  <c r="K150" i="34" s="1"/>
  <c r="L150" i="34" s="1"/>
  <c r="D150" i="34"/>
  <c r="E150" i="34" s="1"/>
  <c r="F150" i="34" s="1"/>
  <c r="G150" i="34" s="1"/>
  <c r="H150" i="34" s="1"/>
  <c r="I150" i="34" s="1"/>
  <c r="C150" i="34"/>
  <c r="P149" i="34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O149" i="34"/>
  <c r="J149" i="34"/>
  <c r="K149" i="34" s="1"/>
  <c r="L149" i="34" s="1"/>
  <c r="M149" i="34" s="1"/>
  <c r="N149" i="34" s="1"/>
  <c r="C149" i="34"/>
  <c r="D149" i="34" s="1"/>
  <c r="E149" i="34" s="1"/>
  <c r="F149" i="34" s="1"/>
  <c r="G149" i="34" s="1"/>
  <c r="H149" i="34" s="1"/>
  <c r="I149" i="34" s="1"/>
  <c r="E148" i="34"/>
  <c r="F148" i="34" s="1"/>
  <c r="G148" i="34" s="1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D148" i="34"/>
  <c r="C148" i="34"/>
  <c r="N147" i="34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K147" i="34"/>
  <c r="L147" i="34" s="1"/>
  <c r="M147" i="34" s="1"/>
  <c r="C147" i="34"/>
  <c r="D147" i="34" s="1"/>
  <c r="E147" i="34" s="1"/>
  <c r="F147" i="34" s="1"/>
  <c r="G147" i="34" s="1"/>
  <c r="H147" i="34" s="1"/>
  <c r="I147" i="34" s="1"/>
  <c r="J147" i="34" s="1"/>
  <c r="AB146" i="34"/>
  <c r="AC146" i="34" s="1"/>
  <c r="AD146" i="34" s="1"/>
  <c r="AE146" i="34" s="1"/>
  <c r="AF146" i="34" s="1"/>
  <c r="L146" i="34"/>
  <c r="M146" i="34" s="1"/>
  <c r="N146" i="34" s="1"/>
  <c r="O146" i="34" s="1"/>
  <c r="P146" i="34" s="1"/>
  <c r="Q146" i="34" s="1"/>
  <c r="R146" i="34" s="1"/>
  <c r="S146" i="34" s="1"/>
  <c r="T146" i="34" s="1"/>
  <c r="U146" i="34" s="1"/>
  <c r="V146" i="34" s="1"/>
  <c r="W146" i="34" s="1"/>
  <c r="X146" i="34" s="1"/>
  <c r="Y146" i="34" s="1"/>
  <c r="Z146" i="34" s="1"/>
  <c r="AA146" i="34" s="1"/>
  <c r="I146" i="34"/>
  <c r="J146" i="34" s="1"/>
  <c r="K146" i="34" s="1"/>
  <c r="D146" i="34"/>
  <c r="E146" i="34" s="1"/>
  <c r="F146" i="34" s="1"/>
  <c r="G146" i="34" s="1"/>
  <c r="H146" i="34" s="1"/>
  <c r="C146" i="34"/>
  <c r="C145" i="34"/>
  <c r="D145" i="34" s="1"/>
  <c r="E145" i="34" s="1"/>
  <c r="F145" i="34" s="1"/>
  <c r="G145" i="34" s="1"/>
  <c r="H145" i="34" s="1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D144" i="34"/>
  <c r="E144" i="34" s="1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C144" i="34"/>
  <c r="H143" i="34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F143" i="34"/>
  <c r="G143" i="34" s="1"/>
  <c r="C143" i="34"/>
  <c r="D143" i="34" s="1"/>
  <c r="E143" i="34" s="1"/>
  <c r="L142" i="34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D142" i="34"/>
  <c r="E142" i="34" s="1"/>
  <c r="F142" i="34" s="1"/>
  <c r="G142" i="34" s="1"/>
  <c r="H142" i="34" s="1"/>
  <c r="I142" i="34" s="1"/>
  <c r="J142" i="34" s="1"/>
  <c r="K142" i="34" s="1"/>
  <c r="C142" i="34"/>
  <c r="F141" i="34"/>
  <c r="G141" i="34" s="1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E141" i="34"/>
  <c r="C141" i="34"/>
  <c r="D141" i="34" s="1"/>
  <c r="K140" i="34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J140" i="34"/>
  <c r="I140" i="34"/>
  <c r="G140" i="34"/>
  <c r="H140" i="34" s="1"/>
  <c r="C140" i="34"/>
  <c r="D140" i="34" s="1"/>
  <c r="E140" i="34" s="1"/>
  <c r="F140" i="34" s="1"/>
  <c r="H139" i="34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G139" i="34"/>
  <c r="E139" i="34"/>
  <c r="F139" i="34" s="1"/>
  <c r="D139" i="34"/>
  <c r="C139" i="34"/>
  <c r="M138" i="34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C138" i="34"/>
  <c r="D138" i="34" s="1"/>
  <c r="E138" i="34" s="1"/>
  <c r="F138" i="34" s="1"/>
  <c r="G138" i="34" s="1"/>
  <c r="H138" i="34" s="1"/>
  <c r="I138" i="34" s="1"/>
  <c r="J138" i="34" s="1"/>
  <c r="K138" i="34" s="1"/>
  <c r="L138" i="34" s="1"/>
  <c r="K137" i="34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I137" i="34"/>
  <c r="J137" i="34" s="1"/>
  <c r="E137" i="34"/>
  <c r="F137" i="34" s="1"/>
  <c r="G137" i="34" s="1"/>
  <c r="H137" i="34" s="1"/>
  <c r="D137" i="34"/>
  <c r="C137" i="34"/>
  <c r="K136" i="34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D136" i="34"/>
  <c r="E136" i="34" s="1"/>
  <c r="F136" i="34" s="1"/>
  <c r="G136" i="34" s="1"/>
  <c r="H136" i="34" s="1"/>
  <c r="I136" i="34" s="1"/>
  <c r="J136" i="34" s="1"/>
  <c r="C136" i="34"/>
  <c r="C135" i="34"/>
  <c r="D135" i="34" s="1"/>
  <c r="E135" i="34" s="1"/>
  <c r="F135" i="34" s="1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H134" i="34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C134" i="34"/>
  <c r="D134" i="34" s="1"/>
  <c r="E134" i="34" s="1"/>
  <c r="F134" i="34" s="1"/>
  <c r="G134" i="34" s="1"/>
  <c r="C133" i="34"/>
  <c r="D133" i="34" s="1"/>
  <c r="E133" i="34" s="1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D132" i="34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C132" i="34"/>
  <c r="X131" i="34"/>
  <c r="Y131" i="34" s="1"/>
  <c r="Z131" i="34" s="1"/>
  <c r="AA131" i="34" s="1"/>
  <c r="AB131" i="34" s="1"/>
  <c r="AC131" i="34" s="1"/>
  <c r="AD131" i="34" s="1"/>
  <c r="AE131" i="34" s="1"/>
  <c r="AF131" i="34" s="1"/>
  <c r="J131" i="34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I131" i="34"/>
  <c r="C131" i="34"/>
  <c r="D131" i="34" s="1"/>
  <c r="E131" i="34" s="1"/>
  <c r="F131" i="34" s="1"/>
  <c r="G131" i="34" s="1"/>
  <c r="H131" i="34" s="1"/>
  <c r="AD130" i="34"/>
  <c r="AE130" i="34" s="1"/>
  <c r="AF130" i="34" s="1"/>
  <c r="E130" i="34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D130" i="34"/>
  <c r="C130" i="34"/>
  <c r="S129" i="34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C129" i="34"/>
  <c r="D129" i="34" s="1"/>
  <c r="E129" i="34" s="1"/>
  <c r="F129" i="34" s="1"/>
  <c r="G129" i="34" s="1"/>
  <c r="H129" i="34" s="1"/>
  <c r="I129" i="34" s="1"/>
  <c r="J129" i="34" s="1"/>
  <c r="K129" i="34" s="1"/>
  <c r="L129" i="34" s="1"/>
  <c r="M129" i="34" s="1"/>
  <c r="N129" i="34" s="1"/>
  <c r="O129" i="34" s="1"/>
  <c r="P129" i="34" s="1"/>
  <c r="Q129" i="34" s="1"/>
  <c r="R129" i="34" s="1"/>
  <c r="Q128" i="34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C128" i="34"/>
  <c r="D128" i="34" s="1"/>
  <c r="E128" i="34" s="1"/>
  <c r="F128" i="34" s="1"/>
  <c r="G128" i="34" s="1"/>
  <c r="H128" i="34" s="1"/>
  <c r="I128" i="34" s="1"/>
  <c r="J128" i="34" s="1"/>
  <c r="K128" i="34" s="1"/>
  <c r="L128" i="34" s="1"/>
  <c r="M128" i="34" s="1"/>
  <c r="N128" i="34" s="1"/>
  <c r="O128" i="34" s="1"/>
  <c r="P128" i="34" s="1"/>
  <c r="AF127" i="34"/>
  <c r="P127" i="34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D127" i="34"/>
  <c r="E127" i="34" s="1"/>
  <c r="F127" i="34" s="1"/>
  <c r="G127" i="34" s="1"/>
  <c r="H127" i="34" s="1"/>
  <c r="I127" i="34" s="1"/>
  <c r="J127" i="34" s="1"/>
  <c r="K127" i="34" s="1"/>
  <c r="L127" i="34" s="1"/>
  <c r="M127" i="34" s="1"/>
  <c r="N127" i="34" s="1"/>
  <c r="O127" i="34" s="1"/>
  <c r="C127" i="34"/>
  <c r="R126" i="34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C126" i="34"/>
  <c r="D126" i="34" s="1"/>
  <c r="E126" i="34" s="1"/>
  <c r="F126" i="34" s="1"/>
  <c r="G126" i="34" s="1"/>
  <c r="H126" i="34" s="1"/>
  <c r="I126" i="34" s="1"/>
  <c r="J126" i="34" s="1"/>
  <c r="K126" i="34" s="1"/>
  <c r="L126" i="34" s="1"/>
  <c r="M126" i="34" s="1"/>
  <c r="N126" i="34" s="1"/>
  <c r="O126" i="34" s="1"/>
  <c r="P126" i="34" s="1"/>
  <c r="Q126" i="34" s="1"/>
  <c r="C125" i="34"/>
  <c r="D125" i="34" s="1"/>
  <c r="E125" i="34" s="1"/>
  <c r="F125" i="34" s="1"/>
  <c r="G125" i="34" s="1"/>
  <c r="H125" i="34" s="1"/>
  <c r="I125" i="34" s="1"/>
  <c r="J125" i="34" s="1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U124" i="34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G124" i="34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E124" i="34"/>
  <c r="F124" i="34" s="1"/>
  <c r="D124" i="34"/>
  <c r="C124" i="34"/>
  <c r="H123" i="34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C123" i="34"/>
  <c r="D123" i="34" s="1"/>
  <c r="E123" i="34" s="1"/>
  <c r="F123" i="34" s="1"/>
  <c r="G123" i="34" s="1"/>
  <c r="M122" i="34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F122" i="34"/>
  <c r="G122" i="34" s="1"/>
  <c r="H122" i="34" s="1"/>
  <c r="I122" i="34" s="1"/>
  <c r="J122" i="34" s="1"/>
  <c r="K122" i="34" s="1"/>
  <c r="L122" i="34" s="1"/>
  <c r="C122" i="34"/>
  <c r="D122" i="34" s="1"/>
  <c r="E122" i="34" s="1"/>
  <c r="X121" i="34"/>
  <c r="Y121" i="34" s="1"/>
  <c r="Z121" i="34" s="1"/>
  <c r="AA121" i="34" s="1"/>
  <c r="AB121" i="34" s="1"/>
  <c r="AC121" i="34" s="1"/>
  <c r="AD121" i="34" s="1"/>
  <c r="AE121" i="34" s="1"/>
  <c r="AF121" i="34" s="1"/>
  <c r="Q121" i="34"/>
  <c r="R121" i="34" s="1"/>
  <c r="S121" i="34" s="1"/>
  <c r="T121" i="34" s="1"/>
  <c r="U121" i="34" s="1"/>
  <c r="V121" i="34" s="1"/>
  <c r="W121" i="34" s="1"/>
  <c r="K121" i="34"/>
  <c r="L121" i="34" s="1"/>
  <c r="M121" i="34" s="1"/>
  <c r="N121" i="34" s="1"/>
  <c r="O121" i="34" s="1"/>
  <c r="P121" i="34" s="1"/>
  <c r="D121" i="34"/>
  <c r="E121" i="34" s="1"/>
  <c r="F121" i="34" s="1"/>
  <c r="G121" i="34" s="1"/>
  <c r="H121" i="34" s="1"/>
  <c r="I121" i="34" s="1"/>
  <c r="J121" i="34" s="1"/>
  <c r="C121" i="34"/>
  <c r="I120" i="34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E120" i="34"/>
  <c r="F120" i="34" s="1"/>
  <c r="G120" i="34" s="1"/>
  <c r="H120" i="34" s="1"/>
  <c r="D120" i="34"/>
  <c r="C120" i="34"/>
  <c r="D119" i="34"/>
  <c r="E119" i="34" s="1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C119" i="34"/>
  <c r="N118" i="34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I118" i="34"/>
  <c r="J118" i="34" s="1"/>
  <c r="K118" i="34" s="1"/>
  <c r="L118" i="34" s="1"/>
  <c r="M118" i="34" s="1"/>
  <c r="C118" i="34"/>
  <c r="D118" i="34" s="1"/>
  <c r="E118" i="34" s="1"/>
  <c r="F118" i="34" s="1"/>
  <c r="G118" i="34" s="1"/>
  <c r="H118" i="34" s="1"/>
  <c r="Y117" i="34"/>
  <c r="Z117" i="34" s="1"/>
  <c r="AA117" i="34" s="1"/>
  <c r="AB117" i="34" s="1"/>
  <c r="AC117" i="34" s="1"/>
  <c r="AD117" i="34" s="1"/>
  <c r="AE117" i="34" s="1"/>
  <c r="AF117" i="34" s="1"/>
  <c r="S117" i="34"/>
  <c r="T117" i="34" s="1"/>
  <c r="U117" i="34" s="1"/>
  <c r="V117" i="34" s="1"/>
  <c r="W117" i="34" s="1"/>
  <c r="X117" i="34" s="1"/>
  <c r="L117" i="34"/>
  <c r="M117" i="34" s="1"/>
  <c r="N117" i="34" s="1"/>
  <c r="O117" i="34" s="1"/>
  <c r="P117" i="34" s="1"/>
  <c r="Q117" i="34" s="1"/>
  <c r="R117" i="34" s="1"/>
  <c r="G117" i="34"/>
  <c r="H117" i="34" s="1"/>
  <c r="I117" i="34" s="1"/>
  <c r="J117" i="34" s="1"/>
  <c r="K117" i="34" s="1"/>
  <c r="D117" i="34"/>
  <c r="E117" i="34" s="1"/>
  <c r="F117" i="34" s="1"/>
  <c r="C117" i="34"/>
  <c r="Q116" i="34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J116" i="34"/>
  <c r="K116" i="34" s="1"/>
  <c r="L116" i="34" s="1"/>
  <c r="M116" i="34" s="1"/>
  <c r="N116" i="34" s="1"/>
  <c r="O116" i="34" s="1"/>
  <c r="P116" i="34" s="1"/>
  <c r="E116" i="34"/>
  <c r="F116" i="34" s="1"/>
  <c r="G116" i="34" s="1"/>
  <c r="H116" i="34" s="1"/>
  <c r="I116" i="34" s="1"/>
  <c r="D116" i="34"/>
  <c r="C116" i="34"/>
  <c r="O115" i="34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J115" i="34"/>
  <c r="K115" i="34" s="1"/>
  <c r="L115" i="34" s="1"/>
  <c r="M115" i="34" s="1"/>
  <c r="N115" i="34" s="1"/>
  <c r="D115" i="34"/>
  <c r="E115" i="34" s="1"/>
  <c r="F115" i="34" s="1"/>
  <c r="G115" i="34" s="1"/>
  <c r="H115" i="34" s="1"/>
  <c r="I115" i="34" s="1"/>
  <c r="C115" i="34"/>
  <c r="I114" i="34"/>
  <c r="J114" i="34" s="1"/>
  <c r="K114" i="34" s="1"/>
  <c r="L114" i="34" s="1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H114" i="34"/>
  <c r="C114" i="34"/>
  <c r="D114" i="34" s="1"/>
  <c r="E114" i="34" s="1"/>
  <c r="F114" i="34" s="1"/>
  <c r="G114" i="34" s="1"/>
  <c r="C113" i="34"/>
  <c r="D113" i="34" s="1"/>
  <c r="E113" i="34" s="1"/>
  <c r="F113" i="34" s="1"/>
  <c r="G113" i="34" s="1"/>
  <c r="H113" i="34" s="1"/>
  <c r="I113" i="34" s="1"/>
  <c r="J113" i="34" s="1"/>
  <c r="K113" i="34" s="1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D112" i="34"/>
  <c r="E112" i="34" s="1"/>
  <c r="F112" i="34" s="1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C112" i="34"/>
  <c r="Q111" i="34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H111" i="34"/>
  <c r="I111" i="34" s="1"/>
  <c r="J111" i="34" s="1"/>
  <c r="K111" i="34" s="1"/>
  <c r="L111" i="34" s="1"/>
  <c r="M111" i="34" s="1"/>
  <c r="N111" i="34" s="1"/>
  <c r="O111" i="34" s="1"/>
  <c r="P111" i="34" s="1"/>
  <c r="G111" i="34"/>
  <c r="E111" i="34"/>
  <c r="F111" i="34" s="1"/>
  <c r="D111" i="34"/>
  <c r="C111" i="34"/>
  <c r="R110" i="34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C110" i="34"/>
  <c r="D110" i="34" s="1"/>
  <c r="E110" i="34" s="1"/>
  <c r="F110" i="34" s="1"/>
  <c r="G110" i="34" s="1"/>
  <c r="H110" i="34" s="1"/>
  <c r="I110" i="34" s="1"/>
  <c r="J110" i="34" s="1"/>
  <c r="K110" i="34" s="1"/>
  <c r="L110" i="34" s="1"/>
  <c r="M110" i="34" s="1"/>
  <c r="N110" i="34" s="1"/>
  <c r="O110" i="34" s="1"/>
  <c r="P110" i="34" s="1"/>
  <c r="Q110" i="34" s="1"/>
  <c r="AD109" i="34"/>
  <c r="AE109" i="34" s="1"/>
  <c r="AF109" i="34" s="1"/>
  <c r="L109" i="34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C109" i="34"/>
  <c r="D109" i="34" s="1"/>
  <c r="E109" i="34" s="1"/>
  <c r="F109" i="34" s="1"/>
  <c r="G109" i="34" s="1"/>
  <c r="H109" i="34" s="1"/>
  <c r="I109" i="34" s="1"/>
  <c r="J109" i="34" s="1"/>
  <c r="K109" i="34" s="1"/>
  <c r="E108" i="34"/>
  <c r="F108" i="34" s="1"/>
  <c r="G108" i="34" s="1"/>
  <c r="H108" i="34" s="1"/>
  <c r="I108" i="34" s="1"/>
  <c r="J108" i="34" s="1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D108" i="34"/>
  <c r="C108" i="34"/>
  <c r="E107" i="34"/>
  <c r="F107" i="34" s="1"/>
  <c r="G107" i="34" s="1"/>
  <c r="H107" i="34" s="1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C107" i="34"/>
  <c r="D107" i="34" s="1"/>
  <c r="C106" i="34"/>
  <c r="D106" i="34" s="1"/>
  <c r="E106" i="34" s="1"/>
  <c r="F106" i="34" s="1"/>
  <c r="G106" i="34" s="1"/>
  <c r="H106" i="34" s="1"/>
  <c r="I106" i="34" s="1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Q105" i="34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F105" i="34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E105" i="34"/>
  <c r="D105" i="34"/>
  <c r="C105" i="34"/>
  <c r="U104" i="34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E104" i="34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D104" i="34"/>
  <c r="C104" i="34"/>
  <c r="E103" i="34"/>
  <c r="F103" i="34" s="1"/>
  <c r="G103" i="34" s="1"/>
  <c r="H103" i="34" s="1"/>
  <c r="I103" i="34" s="1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C103" i="34"/>
  <c r="D103" i="34" s="1"/>
  <c r="S102" i="34"/>
  <c r="T102" i="34" s="1"/>
  <c r="U102" i="34" s="1"/>
  <c r="V102" i="34" s="1"/>
  <c r="W102" i="34" s="1"/>
  <c r="X102" i="34" s="1"/>
  <c r="Y102" i="34" s="1"/>
  <c r="Z102" i="34" s="1"/>
  <c r="AA102" i="34" s="1"/>
  <c r="AB102" i="34" s="1"/>
  <c r="AC102" i="34" s="1"/>
  <c r="AD102" i="34" s="1"/>
  <c r="AE102" i="34" s="1"/>
  <c r="AF102" i="34" s="1"/>
  <c r="D102" i="34"/>
  <c r="E102" i="34" s="1"/>
  <c r="F102" i="34" s="1"/>
  <c r="G102" i="34" s="1"/>
  <c r="H102" i="34" s="1"/>
  <c r="I102" i="34" s="1"/>
  <c r="J102" i="34" s="1"/>
  <c r="K102" i="34" s="1"/>
  <c r="L102" i="34" s="1"/>
  <c r="M102" i="34" s="1"/>
  <c r="N102" i="34" s="1"/>
  <c r="O102" i="34" s="1"/>
  <c r="P102" i="34" s="1"/>
  <c r="Q102" i="34" s="1"/>
  <c r="R102" i="34" s="1"/>
  <c r="C102" i="34"/>
  <c r="I101" i="34"/>
  <c r="J101" i="34" s="1"/>
  <c r="K101" i="34" s="1"/>
  <c r="L101" i="34" s="1"/>
  <c r="M101" i="34" s="1"/>
  <c r="N101" i="34" s="1"/>
  <c r="O101" i="34" s="1"/>
  <c r="P101" i="34" s="1"/>
  <c r="Q101" i="34" s="1"/>
  <c r="R101" i="34" s="1"/>
  <c r="S101" i="34" s="1"/>
  <c r="T101" i="34" s="1"/>
  <c r="U101" i="34" s="1"/>
  <c r="V101" i="34" s="1"/>
  <c r="W101" i="34" s="1"/>
  <c r="X101" i="34" s="1"/>
  <c r="Y101" i="34" s="1"/>
  <c r="Z101" i="34" s="1"/>
  <c r="AA101" i="34" s="1"/>
  <c r="AB101" i="34" s="1"/>
  <c r="AC101" i="34" s="1"/>
  <c r="AD101" i="34" s="1"/>
  <c r="AE101" i="34" s="1"/>
  <c r="AF101" i="34" s="1"/>
  <c r="G101" i="34"/>
  <c r="H101" i="34" s="1"/>
  <c r="F101" i="34"/>
  <c r="E101" i="34"/>
  <c r="D101" i="34"/>
  <c r="C101" i="34"/>
  <c r="D100" i="34"/>
  <c r="E100" i="34" s="1"/>
  <c r="F100" i="34" s="1"/>
  <c r="G100" i="34" s="1"/>
  <c r="H100" i="34" s="1"/>
  <c r="I100" i="34" s="1"/>
  <c r="J100" i="34" s="1"/>
  <c r="K100" i="34" s="1"/>
  <c r="L100" i="34" s="1"/>
  <c r="M100" i="34" s="1"/>
  <c r="N100" i="34" s="1"/>
  <c r="O100" i="34" s="1"/>
  <c r="P100" i="34" s="1"/>
  <c r="Q100" i="34" s="1"/>
  <c r="R100" i="34" s="1"/>
  <c r="S100" i="34" s="1"/>
  <c r="T100" i="34" s="1"/>
  <c r="U100" i="34" s="1"/>
  <c r="V100" i="34" s="1"/>
  <c r="W100" i="34" s="1"/>
  <c r="X100" i="34" s="1"/>
  <c r="Y100" i="34" s="1"/>
  <c r="Z100" i="34" s="1"/>
  <c r="AA100" i="34" s="1"/>
  <c r="AB100" i="34" s="1"/>
  <c r="AC100" i="34" s="1"/>
  <c r="AD100" i="34" s="1"/>
  <c r="AE100" i="34" s="1"/>
  <c r="AF100" i="34" s="1"/>
  <c r="C100" i="34"/>
  <c r="U99" i="34"/>
  <c r="V99" i="34" s="1"/>
  <c r="W99" i="34" s="1"/>
  <c r="X99" i="34" s="1"/>
  <c r="Y99" i="34" s="1"/>
  <c r="Z99" i="34" s="1"/>
  <c r="AA99" i="34" s="1"/>
  <c r="AB99" i="34" s="1"/>
  <c r="AC99" i="34" s="1"/>
  <c r="AD99" i="34" s="1"/>
  <c r="AE99" i="34" s="1"/>
  <c r="AF99" i="34" s="1"/>
  <c r="K99" i="34"/>
  <c r="L99" i="34" s="1"/>
  <c r="M99" i="34" s="1"/>
  <c r="N99" i="34" s="1"/>
  <c r="O99" i="34" s="1"/>
  <c r="P99" i="34" s="1"/>
  <c r="Q99" i="34" s="1"/>
  <c r="R99" i="34" s="1"/>
  <c r="S99" i="34" s="1"/>
  <c r="T99" i="34" s="1"/>
  <c r="J99" i="34"/>
  <c r="H99" i="34"/>
  <c r="E99" i="34"/>
  <c r="F99" i="34" s="1"/>
  <c r="G99" i="34" s="1"/>
  <c r="D99" i="34"/>
  <c r="C99" i="34"/>
  <c r="E98" i="34"/>
  <c r="F98" i="34" s="1"/>
  <c r="G98" i="34" s="1"/>
  <c r="H98" i="34" s="1"/>
  <c r="I98" i="34" s="1"/>
  <c r="J98" i="34" s="1"/>
  <c r="K98" i="34" s="1"/>
  <c r="L98" i="34" s="1"/>
  <c r="M98" i="34" s="1"/>
  <c r="N98" i="34" s="1"/>
  <c r="O98" i="34" s="1"/>
  <c r="P98" i="34" s="1"/>
  <c r="Q98" i="34" s="1"/>
  <c r="R98" i="34" s="1"/>
  <c r="S98" i="34" s="1"/>
  <c r="T98" i="34" s="1"/>
  <c r="U98" i="34" s="1"/>
  <c r="V98" i="34" s="1"/>
  <c r="W98" i="34" s="1"/>
  <c r="X98" i="34" s="1"/>
  <c r="Y98" i="34" s="1"/>
  <c r="Z98" i="34" s="1"/>
  <c r="AA98" i="34" s="1"/>
  <c r="AB98" i="34" s="1"/>
  <c r="AC98" i="34" s="1"/>
  <c r="AD98" i="34" s="1"/>
  <c r="AE98" i="34" s="1"/>
  <c r="AF98" i="34" s="1"/>
  <c r="C98" i="34"/>
  <c r="D98" i="34" s="1"/>
  <c r="L97" i="34"/>
  <c r="M97" i="34" s="1"/>
  <c r="N97" i="34" s="1"/>
  <c r="O97" i="34" s="1"/>
  <c r="P97" i="34" s="1"/>
  <c r="Q97" i="34" s="1"/>
  <c r="R97" i="34" s="1"/>
  <c r="S97" i="34" s="1"/>
  <c r="T97" i="34" s="1"/>
  <c r="U97" i="34" s="1"/>
  <c r="V97" i="34" s="1"/>
  <c r="W97" i="34" s="1"/>
  <c r="X97" i="34" s="1"/>
  <c r="Y97" i="34" s="1"/>
  <c r="Z97" i="34" s="1"/>
  <c r="AA97" i="34" s="1"/>
  <c r="AB97" i="34" s="1"/>
  <c r="AC97" i="34" s="1"/>
  <c r="AD97" i="34" s="1"/>
  <c r="AE97" i="34" s="1"/>
  <c r="AF97" i="34" s="1"/>
  <c r="C97" i="34"/>
  <c r="D97" i="34" s="1"/>
  <c r="E97" i="34" s="1"/>
  <c r="F97" i="34" s="1"/>
  <c r="G97" i="34" s="1"/>
  <c r="H97" i="34" s="1"/>
  <c r="I97" i="34" s="1"/>
  <c r="J97" i="34" s="1"/>
  <c r="K97" i="34" s="1"/>
  <c r="E96" i="34"/>
  <c r="F96" i="34" s="1"/>
  <c r="G96" i="34" s="1"/>
  <c r="H96" i="34" s="1"/>
  <c r="I96" i="34" s="1"/>
  <c r="J96" i="34" s="1"/>
  <c r="K96" i="34" s="1"/>
  <c r="L96" i="34" s="1"/>
  <c r="M96" i="34" s="1"/>
  <c r="N96" i="34" s="1"/>
  <c r="O96" i="34" s="1"/>
  <c r="P96" i="34" s="1"/>
  <c r="Q96" i="34" s="1"/>
  <c r="R96" i="34" s="1"/>
  <c r="S96" i="34" s="1"/>
  <c r="T96" i="34" s="1"/>
  <c r="U96" i="34" s="1"/>
  <c r="V96" i="34" s="1"/>
  <c r="W96" i="34" s="1"/>
  <c r="X96" i="34" s="1"/>
  <c r="Y96" i="34" s="1"/>
  <c r="Z96" i="34" s="1"/>
  <c r="AA96" i="34" s="1"/>
  <c r="AB96" i="34" s="1"/>
  <c r="AC96" i="34" s="1"/>
  <c r="AD96" i="34" s="1"/>
  <c r="AE96" i="34" s="1"/>
  <c r="AF96" i="34" s="1"/>
  <c r="D96" i="34"/>
  <c r="C96" i="34"/>
  <c r="F95" i="34"/>
  <c r="G95" i="34" s="1"/>
  <c r="H95" i="34" s="1"/>
  <c r="I95" i="34" s="1"/>
  <c r="J95" i="34" s="1"/>
  <c r="K95" i="34" s="1"/>
  <c r="L95" i="34" s="1"/>
  <c r="M95" i="34" s="1"/>
  <c r="N95" i="34" s="1"/>
  <c r="O95" i="34" s="1"/>
  <c r="P95" i="34" s="1"/>
  <c r="Q95" i="34" s="1"/>
  <c r="R95" i="34" s="1"/>
  <c r="S95" i="34" s="1"/>
  <c r="T95" i="34" s="1"/>
  <c r="U95" i="34" s="1"/>
  <c r="V95" i="34" s="1"/>
  <c r="W95" i="34" s="1"/>
  <c r="X95" i="34" s="1"/>
  <c r="Y95" i="34" s="1"/>
  <c r="Z95" i="34" s="1"/>
  <c r="AA95" i="34" s="1"/>
  <c r="AB95" i="34" s="1"/>
  <c r="AC95" i="34" s="1"/>
  <c r="AD95" i="34" s="1"/>
  <c r="AE95" i="34" s="1"/>
  <c r="AF95" i="34" s="1"/>
  <c r="E95" i="34"/>
  <c r="D95" i="34"/>
  <c r="C95" i="34"/>
  <c r="D94" i="34"/>
  <c r="E94" i="34" s="1"/>
  <c r="C94" i="34"/>
  <c r="C82" i="34" s="1"/>
  <c r="F93" i="34"/>
  <c r="G93" i="34" s="1"/>
  <c r="H93" i="34" s="1"/>
  <c r="I93" i="34" s="1"/>
  <c r="J93" i="34" s="1"/>
  <c r="K93" i="34" s="1"/>
  <c r="L93" i="34" s="1"/>
  <c r="M93" i="34" s="1"/>
  <c r="N93" i="34" s="1"/>
  <c r="O93" i="34" s="1"/>
  <c r="P93" i="34" s="1"/>
  <c r="Q93" i="34" s="1"/>
  <c r="R93" i="34" s="1"/>
  <c r="S93" i="34" s="1"/>
  <c r="T93" i="34" s="1"/>
  <c r="U93" i="34" s="1"/>
  <c r="V93" i="34" s="1"/>
  <c r="W93" i="34" s="1"/>
  <c r="X93" i="34" s="1"/>
  <c r="Y93" i="34" s="1"/>
  <c r="Z93" i="34" s="1"/>
  <c r="AA93" i="34" s="1"/>
  <c r="AB93" i="34" s="1"/>
  <c r="AC93" i="34" s="1"/>
  <c r="AD93" i="34" s="1"/>
  <c r="AE93" i="34" s="1"/>
  <c r="AF93" i="34" s="1"/>
  <c r="E93" i="34"/>
  <c r="D93" i="34"/>
  <c r="C93" i="34"/>
  <c r="T92" i="34"/>
  <c r="U92" i="34" s="1"/>
  <c r="V92" i="34" s="1"/>
  <c r="W92" i="34" s="1"/>
  <c r="X92" i="34" s="1"/>
  <c r="Y92" i="34" s="1"/>
  <c r="Z92" i="34" s="1"/>
  <c r="AA92" i="34" s="1"/>
  <c r="AB92" i="34" s="1"/>
  <c r="AC92" i="34" s="1"/>
  <c r="AD92" i="34" s="1"/>
  <c r="AE92" i="34" s="1"/>
  <c r="AF92" i="34" s="1"/>
  <c r="L92" i="34"/>
  <c r="M92" i="34" s="1"/>
  <c r="N92" i="34" s="1"/>
  <c r="O92" i="34" s="1"/>
  <c r="P92" i="34" s="1"/>
  <c r="Q92" i="34" s="1"/>
  <c r="R92" i="34" s="1"/>
  <c r="S92" i="34" s="1"/>
  <c r="D92" i="34"/>
  <c r="E92" i="34" s="1"/>
  <c r="F92" i="34" s="1"/>
  <c r="G92" i="34" s="1"/>
  <c r="H92" i="34" s="1"/>
  <c r="I92" i="34" s="1"/>
  <c r="J92" i="34" s="1"/>
  <c r="K92" i="34" s="1"/>
  <c r="C92" i="34"/>
  <c r="J91" i="34"/>
  <c r="K91" i="34" s="1"/>
  <c r="L91" i="34" s="1"/>
  <c r="M91" i="34" s="1"/>
  <c r="N91" i="34" s="1"/>
  <c r="O91" i="34" s="1"/>
  <c r="P91" i="34" s="1"/>
  <c r="Q91" i="34" s="1"/>
  <c r="R91" i="34" s="1"/>
  <c r="S91" i="34" s="1"/>
  <c r="T91" i="34" s="1"/>
  <c r="U91" i="34" s="1"/>
  <c r="V91" i="34" s="1"/>
  <c r="W91" i="34" s="1"/>
  <c r="X91" i="34" s="1"/>
  <c r="Y91" i="34" s="1"/>
  <c r="Z91" i="34" s="1"/>
  <c r="AA91" i="34" s="1"/>
  <c r="AB91" i="34" s="1"/>
  <c r="AC91" i="34" s="1"/>
  <c r="AD91" i="34" s="1"/>
  <c r="AE91" i="34" s="1"/>
  <c r="AF91" i="34" s="1"/>
  <c r="F91" i="34"/>
  <c r="G91" i="34" s="1"/>
  <c r="H91" i="34" s="1"/>
  <c r="I91" i="34" s="1"/>
  <c r="E91" i="34"/>
  <c r="D91" i="34"/>
  <c r="C91" i="34"/>
  <c r="H90" i="34"/>
  <c r="I90" i="34" s="1"/>
  <c r="J90" i="34" s="1"/>
  <c r="K90" i="34" s="1"/>
  <c r="L90" i="34" s="1"/>
  <c r="M90" i="34" s="1"/>
  <c r="N90" i="34" s="1"/>
  <c r="O90" i="34" s="1"/>
  <c r="P90" i="34" s="1"/>
  <c r="Q90" i="34" s="1"/>
  <c r="R90" i="34" s="1"/>
  <c r="S90" i="34" s="1"/>
  <c r="T90" i="34" s="1"/>
  <c r="U90" i="34" s="1"/>
  <c r="V90" i="34" s="1"/>
  <c r="W90" i="34" s="1"/>
  <c r="X90" i="34" s="1"/>
  <c r="Y90" i="34" s="1"/>
  <c r="Z90" i="34" s="1"/>
  <c r="AA90" i="34" s="1"/>
  <c r="AB90" i="34" s="1"/>
  <c r="AC90" i="34" s="1"/>
  <c r="AD90" i="34" s="1"/>
  <c r="AE90" i="34" s="1"/>
  <c r="AF90" i="34" s="1"/>
  <c r="D90" i="34"/>
  <c r="E90" i="34" s="1"/>
  <c r="F90" i="34" s="1"/>
  <c r="G90" i="34" s="1"/>
  <c r="C90" i="34"/>
  <c r="F89" i="34"/>
  <c r="E89" i="34"/>
  <c r="D89" i="34"/>
  <c r="C89" i="34"/>
  <c r="AH86" i="34"/>
  <c r="AI86" i="34" s="1"/>
  <c r="AH85" i="34"/>
  <c r="AI85" i="34" s="1"/>
  <c r="AH84" i="34"/>
  <c r="AI84" i="34" s="1"/>
  <c r="AH83" i="34"/>
  <c r="AI83" i="34" s="1"/>
  <c r="D82" i="34"/>
  <c r="B82" i="34"/>
  <c r="AF80" i="34"/>
  <c r="AE80" i="34"/>
  <c r="AD80" i="34"/>
  <c r="AC80" i="34"/>
  <c r="AB80" i="34"/>
  <c r="AA80" i="34"/>
  <c r="Z80" i="34"/>
  <c r="Y80" i="34"/>
  <c r="X80" i="34"/>
  <c r="W80" i="34"/>
  <c r="V80" i="34"/>
  <c r="U80" i="34"/>
  <c r="T80" i="34"/>
  <c r="S80" i="34"/>
  <c r="R80" i="34"/>
  <c r="Q80" i="34"/>
  <c r="P80" i="34"/>
  <c r="O80" i="34"/>
  <c r="N80" i="34"/>
  <c r="M80" i="34"/>
  <c r="L80" i="34"/>
  <c r="K80" i="34"/>
  <c r="J80" i="34"/>
  <c r="I80" i="34"/>
  <c r="H80" i="34"/>
  <c r="G80" i="34"/>
  <c r="F80" i="34"/>
  <c r="E80" i="34"/>
  <c r="D80" i="34"/>
  <c r="C80" i="34"/>
  <c r="B80" i="34"/>
  <c r="AI79" i="34"/>
  <c r="AH79" i="34"/>
  <c r="AI78" i="34"/>
  <c r="AH78" i="34"/>
  <c r="AI77" i="34"/>
  <c r="AH77" i="34"/>
  <c r="AI76" i="34"/>
  <c r="AH76" i="34"/>
  <c r="AI75" i="34"/>
  <c r="AH75" i="34"/>
  <c r="AI74" i="34"/>
  <c r="AH74" i="34"/>
  <c r="AI73" i="34"/>
  <c r="AH73" i="34"/>
  <c r="AI72" i="34"/>
  <c r="AH72" i="34"/>
  <c r="AG71" i="34"/>
  <c r="AI70" i="34"/>
  <c r="AH70" i="34"/>
  <c r="AF69" i="34"/>
  <c r="AE69" i="34"/>
  <c r="AD69" i="34"/>
  <c r="AC69" i="34"/>
  <c r="AB69" i="34"/>
  <c r="AA69" i="34"/>
  <c r="Z69" i="34"/>
  <c r="Y69" i="34"/>
  <c r="X69" i="34"/>
  <c r="W69" i="34"/>
  <c r="V69" i="34"/>
  <c r="U69" i="34"/>
  <c r="T69" i="34"/>
  <c r="S69" i="34"/>
  <c r="R69" i="34"/>
  <c r="Q69" i="34"/>
  <c r="P69" i="34"/>
  <c r="O69" i="34"/>
  <c r="N69" i="34"/>
  <c r="M69" i="34"/>
  <c r="L69" i="34"/>
  <c r="K69" i="34"/>
  <c r="J69" i="34"/>
  <c r="I69" i="34"/>
  <c r="H69" i="34"/>
  <c r="G69" i="34"/>
  <c r="F69" i="34"/>
  <c r="E69" i="34"/>
  <c r="D69" i="34"/>
  <c r="C69" i="34"/>
  <c r="B69" i="34"/>
  <c r="AF68" i="34"/>
  <c r="AE68" i="34"/>
  <c r="AD68" i="34"/>
  <c r="AC68" i="34"/>
  <c r="AB68" i="34"/>
  <c r="AA68" i="34"/>
  <c r="Z68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AF67" i="34"/>
  <c r="AE67" i="34"/>
  <c r="AD67" i="34"/>
  <c r="AC67" i="34"/>
  <c r="AB67" i="34"/>
  <c r="AA67" i="34"/>
  <c r="Z67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L71" i="34" s="1"/>
  <c r="K67" i="34"/>
  <c r="J67" i="34"/>
  <c r="I67" i="34"/>
  <c r="H67" i="34"/>
  <c r="G67" i="34"/>
  <c r="F67" i="34"/>
  <c r="E67" i="34"/>
  <c r="D67" i="34"/>
  <c r="C67" i="34"/>
  <c r="B67" i="34"/>
  <c r="AF66" i="34"/>
  <c r="AE66" i="34"/>
  <c r="AD66" i="34"/>
  <c r="AC66" i="34"/>
  <c r="AB66" i="34"/>
  <c r="AA66" i="34"/>
  <c r="Z66" i="34"/>
  <c r="Y66" i="34"/>
  <c r="X66" i="34"/>
  <c r="W66" i="34"/>
  <c r="V66" i="34"/>
  <c r="U66" i="34"/>
  <c r="T66" i="34"/>
  <c r="S66" i="34"/>
  <c r="R66" i="34"/>
  <c r="R71" i="34" s="1"/>
  <c r="Q66" i="34"/>
  <c r="P66" i="34"/>
  <c r="O66" i="34"/>
  <c r="N66" i="34"/>
  <c r="M66" i="34"/>
  <c r="L66" i="34"/>
  <c r="K66" i="34"/>
  <c r="K71" i="34" s="1"/>
  <c r="J66" i="34"/>
  <c r="I66" i="34"/>
  <c r="H66" i="34"/>
  <c r="G66" i="34"/>
  <c r="G71" i="34" s="1"/>
  <c r="F66" i="34"/>
  <c r="E66" i="34"/>
  <c r="D66" i="34"/>
  <c r="C66" i="34"/>
  <c r="B66" i="34"/>
  <c r="AI64" i="34"/>
  <c r="AH64" i="34"/>
  <c r="AG63" i="34"/>
  <c r="AF63" i="34"/>
  <c r="AE63" i="34"/>
  <c r="AD63" i="34"/>
  <c r="AC63" i="34"/>
  <c r="AB63" i="34"/>
  <c r="AA63" i="34"/>
  <c r="Z63" i="34"/>
  <c r="Y63" i="34"/>
  <c r="X63" i="34"/>
  <c r="W63" i="34"/>
  <c r="V63" i="34"/>
  <c r="U63" i="34"/>
  <c r="T63" i="34"/>
  <c r="S63" i="34"/>
  <c r="R63" i="34"/>
  <c r="Q63" i="34"/>
  <c r="P63" i="34"/>
  <c r="O63" i="34"/>
  <c r="N63" i="34"/>
  <c r="M63" i="34"/>
  <c r="L63" i="34"/>
  <c r="K63" i="34"/>
  <c r="J63" i="34"/>
  <c r="I63" i="34"/>
  <c r="H63" i="34"/>
  <c r="G63" i="34"/>
  <c r="F63" i="34"/>
  <c r="E63" i="34"/>
  <c r="D63" i="34"/>
  <c r="C63" i="34"/>
  <c r="AI63" i="34" s="1"/>
  <c r="B63" i="34"/>
  <c r="AH63" i="34" s="1"/>
  <c r="AI62" i="34"/>
  <c r="AH62" i="34"/>
  <c r="AI61" i="34"/>
  <c r="AH61" i="34"/>
  <c r="AI60" i="34"/>
  <c r="AH60" i="34"/>
  <c r="AG59" i="34"/>
  <c r="AF59" i="34"/>
  <c r="AF5" i="34" s="1"/>
  <c r="AE59" i="34"/>
  <c r="AE5" i="34" s="1"/>
  <c r="AD59" i="34"/>
  <c r="AC59" i="34"/>
  <c r="AC5" i="34" s="1"/>
  <c r="AB59" i="34"/>
  <c r="AA59" i="34"/>
  <c r="Z59" i="34"/>
  <c r="Z5" i="34" s="1"/>
  <c r="Y59" i="34"/>
  <c r="Y5" i="34" s="1"/>
  <c r="X59" i="34"/>
  <c r="X5" i="34" s="1"/>
  <c r="W59" i="34"/>
  <c r="W5" i="34" s="1"/>
  <c r="V59" i="34"/>
  <c r="U59" i="34"/>
  <c r="U5" i="34" s="1"/>
  <c r="T59" i="34"/>
  <c r="T5" i="34" s="1"/>
  <c r="S59" i="34"/>
  <c r="S5" i="34" s="1"/>
  <c r="R59" i="34"/>
  <c r="R5" i="34" s="1"/>
  <c r="Q5" i="34"/>
  <c r="P59" i="34"/>
  <c r="P5" i="34" s="1"/>
  <c r="O59" i="34"/>
  <c r="O5" i="34" s="1"/>
  <c r="N59" i="34"/>
  <c r="N5" i="34" s="1"/>
  <c r="M59" i="34"/>
  <c r="M5" i="34" s="1"/>
  <c r="L59" i="34"/>
  <c r="L5" i="34" s="1"/>
  <c r="K59" i="34"/>
  <c r="K5" i="34" s="1"/>
  <c r="J59" i="34"/>
  <c r="J5" i="34" s="1"/>
  <c r="I59" i="34"/>
  <c r="I5" i="34" s="1"/>
  <c r="H59" i="34"/>
  <c r="H5" i="34" s="1"/>
  <c r="G59" i="34"/>
  <c r="G5" i="34" s="1"/>
  <c r="F59" i="34"/>
  <c r="F5" i="34" s="1"/>
  <c r="E59" i="34"/>
  <c r="E5" i="34" s="1"/>
  <c r="D59" i="34"/>
  <c r="D5" i="34" s="1"/>
  <c r="C59" i="34"/>
  <c r="B59" i="34"/>
  <c r="AI58" i="34"/>
  <c r="AH58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G47" i="34"/>
  <c r="AF47" i="34"/>
  <c r="AE47" i="34"/>
  <c r="AD47" i="34"/>
  <c r="AC47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C47" i="34"/>
  <c r="B47" i="34"/>
  <c r="AI46" i="34"/>
  <c r="AH46" i="34"/>
  <c r="AI45" i="34"/>
  <c r="AH45" i="34"/>
  <c r="AI44" i="34"/>
  <c r="AH44" i="34"/>
  <c r="AG42" i="34"/>
  <c r="AG43" i="34" s="1"/>
  <c r="B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G30" i="34"/>
  <c r="AG2" i="34" s="1"/>
  <c r="AF30" i="34"/>
  <c r="AE30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P30" i="34"/>
  <c r="O30" i="34"/>
  <c r="N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D5" i="34"/>
  <c r="AB5" i="34"/>
  <c r="AA5" i="34"/>
  <c r="V5" i="34"/>
  <c r="B5" i="34"/>
  <c r="AG4" i="34"/>
  <c r="K4" i="34"/>
  <c r="C4" i="34"/>
  <c r="AD50" i="33"/>
  <c r="AB50" i="33"/>
  <c r="AA42" i="33"/>
  <c r="O84" i="33"/>
  <c r="AH87" i="33"/>
  <c r="AI87" i="33" s="1"/>
  <c r="AF218" i="33"/>
  <c r="AE218" i="33"/>
  <c r="AD218" i="33"/>
  <c r="AC218" i="33"/>
  <c r="AB218" i="33"/>
  <c r="AA218" i="33"/>
  <c r="Z218" i="33"/>
  <c r="Y218" i="33"/>
  <c r="X218" i="33"/>
  <c r="W218" i="33"/>
  <c r="V218" i="33"/>
  <c r="U218" i="33"/>
  <c r="T218" i="33"/>
  <c r="S218" i="33"/>
  <c r="R218" i="33"/>
  <c r="Q218" i="33"/>
  <c r="P218" i="33"/>
  <c r="O218" i="33"/>
  <c r="N218" i="33"/>
  <c r="M218" i="33"/>
  <c r="L218" i="33"/>
  <c r="K218" i="33"/>
  <c r="J218" i="33"/>
  <c r="I218" i="33"/>
  <c r="H218" i="33"/>
  <c r="G218" i="33"/>
  <c r="F218" i="33"/>
  <c r="E218" i="33"/>
  <c r="D218" i="33"/>
  <c r="C218" i="33"/>
  <c r="B218" i="33"/>
  <c r="A218" i="33"/>
  <c r="AF217" i="33"/>
  <c r="AE217" i="33"/>
  <c r="AD217" i="33"/>
  <c r="AC217" i="33"/>
  <c r="AB217" i="33"/>
  <c r="AA217" i="33"/>
  <c r="Z217" i="33"/>
  <c r="Y217" i="33"/>
  <c r="X217" i="33"/>
  <c r="W217" i="33"/>
  <c r="V217" i="33"/>
  <c r="U217" i="33"/>
  <c r="T217" i="33"/>
  <c r="S217" i="33"/>
  <c r="R217" i="33"/>
  <c r="Q217" i="33"/>
  <c r="P217" i="33"/>
  <c r="O217" i="33"/>
  <c r="N217" i="33"/>
  <c r="M217" i="33"/>
  <c r="L217" i="33"/>
  <c r="K217" i="33"/>
  <c r="J217" i="33"/>
  <c r="I217" i="33"/>
  <c r="H217" i="33"/>
  <c r="G217" i="33"/>
  <c r="F217" i="33"/>
  <c r="E217" i="33"/>
  <c r="D217" i="33"/>
  <c r="C217" i="33"/>
  <c r="B217" i="33"/>
  <c r="A217" i="33"/>
  <c r="AF216" i="33"/>
  <c r="AE216" i="33"/>
  <c r="AD216" i="33"/>
  <c r="AC216" i="33"/>
  <c r="AB216" i="33"/>
  <c r="AA216" i="33"/>
  <c r="Z216" i="33"/>
  <c r="Y216" i="33"/>
  <c r="X216" i="33"/>
  <c r="W216" i="33"/>
  <c r="V216" i="33"/>
  <c r="U216" i="33"/>
  <c r="T216" i="33"/>
  <c r="S216" i="33"/>
  <c r="R216" i="33"/>
  <c r="Q216" i="33"/>
  <c r="P216" i="33"/>
  <c r="O216" i="33"/>
  <c r="N216" i="33"/>
  <c r="M216" i="33"/>
  <c r="L216" i="33"/>
  <c r="K216" i="33"/>
  <c r="J216" i="33"/>
  <c r="I216" i="33"/>
  <c r="H216" i="33"/>
  <c r="G216" i="33"/>
  <c r="F216" i="33"/>
  <c r="E216" i="33"/>
  <c r="D216" i="33"/>
  <c r="C216" i="33"/>
  <c r="B216" i="33"/>
  <c r="A216" i="33"/>
  <c r="AF215" i="33"/>
  <c r="AE215" i="33"/>
  <c r="AD215" i="33"/>
  <c r="AC215" i="33"/>
  <c r="AB215" i="33"/>
  <c r="AA215" i="33"/>
  <c r="Z215" i="33"/>
  <c r="Y215" i="33"/>
  <c r="X215" i="33"/>
  <c r="W215" i="33"/>
  <c r="V215" i="33"/>
  <c r="U215" i="33"/>
  <c r="T215" i="33"/>
  <c r="S215" i="33"/>
  <c r="R215" i="33"/>
  <c r="Q215" i="33"/>
  <c r="P215" i="33"/>
  <c r="O215" i="33"/>
  <c r="N215" i="33"/>
  <c r="M215" i="33"/>
  <c r="L215" i="33"/>
  <c r="K215" i="33"/>
  <c r="J215" i="33"/>
  <c r="I215" i="33"/>
  <c r="H215" i="33"/>
  <c r="G215" i="33"/>
  <c r="F215" i="33"/>
  <c r="E215" i="33"/>
  <c r="D215" i="33"/>
  <c r="C215" i="33"/>
  <c r="B215" i="33"/>
  <c r="A215" i="33"/>
  <c r="B214" i="33"/>
  <c r="S189" i="33"/>
  <c r="AG179" i="33"/>
  <c r="B179" i="33"/>
  <c r="E178" i="33"/>
  <c r="D178" i="33"/>
  <c r="D214" i="33" s="1"/>
  <c r="C178" i="33"/>
  <c r="C214" i="33" s="1"/>
  <c r="C177" i="33"/>
  <c r="D177" i="33" s="1"/>
  <c r="E177" i="33" s="1"/>
  <c r="F177" i="33" s="1"/>
  <c r="G177" i="33" s="1"/>
  <c r="H177" i="33" s="1"/>
  <c r="I177" i="33" s="1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C176" i="33"/>
  <c r="D176" i="33" s="1"/>
  <c r="E176" i="33" s="1"/>
  <c r="F176" i="33" s="1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C175" i="33"/>
  <c r="D175" i="33" s="1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E174" i="33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D174" i="33"/>
  <c r="C174" i="33"/>
  <c r="D173" i="33"/>
  <c r="C173" i="33"/>
  <c r="AG171" i="33"/>
  <c r="B171" i="33"/>
  <c r="M170" i="33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D170" i="33"/>
  <c r="E170" i="33" s="1"/>
  <c r="F170" i="33" s="1"/>
  <c r="G170" i="33" s="1"/>
  <c r="H170" i="33" s="1"/>
  <c r="I170" i="33" s="1"/>
  <c r="J170" i="33" s="1"/>
  <c r="K170" i="33" s="1"/>
  <c r="L170" i="33" s="1"/>
  <c r="C170" i="33"/>
  <c r="G169" i="33"/>
  <c r="H169" i="33" s="1"/>
  <c r="I169" i="33" s="1"/>
  <c r="J169" i="33" s="1"/>
  <c r="K169" i="33" s="1"/>
  <c r="L169" i="33" s="1"/>
  <c r="M169" i="33" s="1"/>
  <c r="N169" i="33" s="1"/>
  <c r="O169" i="33" s="1"/>
  <c r="P169" i="33" s="1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E169" i="33"/>
  <c r="F169" i="33" s="1"/>
  <c r="C169" i="33"/>
  <c r="D169" i="33" s="1"/>
  <c r="E168" i="33"/>
  <c r="F168" i="33" s="1"/>
  <c r="G168" i="33" s="1"/>
  <c r="H168" i="33" s="1"/>
  <c r="I168" i="33" s="1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D168" i="33"/>
  <c r="C168" i="33"/>
  <c r="C167" i="33"/>
  <c r="D167" i="33" s="1"/>
  <c r="E167" i="33" s="1"/>
  <c r="F167" i="33" s="1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E166" i="33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C166" i="33"/>
  <c r="D166" i="33" s="1"/>
  <c r="C165" i="33"/>
  <c r="D165" i="33" s="1"/>
  <c r="E165" i="33" s="1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D164" i="33"/>
  <c r="E164" i="33" s="1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C164" i="33"/>
  <c r="D163" i="33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C163" i="33"/>
  <c r="D162" i="33"/>
  <c r="E162" i="33" s="1"/>
  <c r="F162" i="33" s="1"/>
  <c r="G162" i="33" s="1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C162" i="33"/>
  <c r="G161" i="33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E161" i="33"/>
  <c r="F161" i="33" s="1"/>
  <c r="C161" i="33"/>
  <c r="D161" i="33" s="1"/>
  <c r="L160" i="33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E160" i="33"/>
  <c r="F160" i="33" s="1"/>
  <c r="G160" i="33" s="1"/>
  <c r="H160" i="33" s="1"/>
  <c r="I160" i="33" s="1"/>
  <c r="J160" i="33" s="1"/>
  <c r="K160" i="33" s="1"/>
  <c r="D160" i="33"/>
  <c r="C160" i="33"/>
  <c r="E159" i="33"/>
  <c r="F159" i="33" s="1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C159" i="33"/>
  <c r="D159" i="33" s="1"/>
  <c r="F158" i="33"/>
  <c r="G158" i="33" s="1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C158" i="33"/>
  <c r="D158" i="33" s="1"/>
  <c r="E158" i="33" s="1"/>
  <c r="K157" i="33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J157" i="33"/>
  <c r="D157" i="33"/>
  <c r="E157" i="33" s="1"/>
  <c r="F157" i="33" s="1"/>
  <c r="G157" i="33" s="1"/>
  <c r="H157" i="33" s="1"/>
  <c r="I157" i="33" s="1"/>
  <c r="C157" i="33"/>
  <c r="F156" i="33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D156" i="33"/>
  <c r="E156" i="33" s="1"/>
  <c r="C156" i="33"/>
  <c r="G155" i="33"/>
  <c r="H155" i="33" s="1"/>
  <c r="I155" i="33" s="1"/>
  <c r="J155" i="33" s="1"/>
  <c r="K155" i="33" s="1"/>
  <c r="L155" i="33" s="1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E155" i="33"/>
  <c r="F155" i="33" s="1"/>
  <c r="D155" i="33"/>
  <c r="C155" i="33"/>
  <c r="U154" i="33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C154" i="33"/>
  <c r="D154" i="33" s="1"/>
  <c r="E154" i="33" s="1"/>
  <c r="F154" i="33" s="1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R154" i="33" s="1"/>
  <c r="S154" i="33" s="1"/>
  <c r="T154" i="33" s="1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C153" i="33"/>
  <c r="D152" i="33"/>
  <c r="E152" i="33" s="1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C152" i="33"/>
  <c r="J151" i="33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I151" i="33"/>
  <c r="D151" i="33"/>
  <c r="E151" i="33" s="1"/>
  <c r="F151" i="33" s="1"/>
  <c r="G151" i="33" s="1"/>
  <c r="H151" i="33" s="1"/>
  <c r="C151" i="33"/>
  <c r="D150" i="33"/>
  <c r="E150" i="33" s="1"/>
  <c r="F150" i="33" s="1"/>
  <c r="G150" i="33" s="1"/>
  <c r="H150" i="33" s="1"/>
  <c r="I150" i="33" s="1"/>
  <c r="J150" i="33" s="1"/>
  <c r="K150" i="33" s="1"/>
  <c r="L150" i="33" s="1"/>
  <c r="M150" i="33" s="1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C150" i="33"/>
  <c r="D149" i="33"/>
  <c r="E149" i="33" s="1"/>
  <c r="F149" i="33" s="1"/>
  <c r="G149" i="33" s="1"/>
  <c r="H149" i="33" s="1"/>
  <c r="I149" i="33" s="1"/>
  <c r="J149" i="33" s="1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C149" i="33"/>
  <c r="G148" i="33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C148" i="33"/>
  <c r="D148" i="33" s="1"/>
  <c r="E148" i="33" s="1"/>
  <c r="F148" i="33" s="1"/>
  <c r="F147" i="33"/>
  <c r="G147" i="33" s="1"/>
  <c r="H147" i="33" s="1"/>
  <c r="I147" i="33" s="1"/>
  <c r="J147" i="33" s="1"/>
  <c r="K147" i="33" s="1"/>
  <c r="L147" i="33" s="1"/>
  <c r="M147" i="33" s="1"/>
  <c r="N147" i="33" s="1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AA147" i="33" s="1"/>
  <c r="AB147" i="33" s="1"/>
  <c r="AC147" i="33" s="1"/>
  <c r="AD147" i="33" s="1"/>
  <c r="AE147" i="33" s="1"/>
  <c r="AF147" i="33" s="1"/>
  <c r="D147" i="33"/>
  <c r="E147" i="33" s="1"/>
  <c r="C147" i="33"/>
  <c r="C146" i="33"/>
  <c r="D146" i="33" s="1"/>
  <c r="E146" i="33" s="1"/>
  <c r="F146" i="33" s="1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Q145" i="33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C145" i="33"/>
  <c r="D145" i="33" s="1"/>
  <c r="E145" i="33" s="1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C144" i="33"/>
  <c r="D144" i="33" s="1"/>
  <c r="E144" i="33" s="1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J143" i="33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E143" i="33"/>
  <c r="F143" i="33" s="1"/>
  <c r="G143" i="33" s="1"/>
  <c r="H143" i="33" s="1"/>
  <c r="I143" i="33" s="1"/>
  <c r="D143" i="33"/>
  <c r="C143" i="33"/>
  <c r="C142" i="33"/>
  <c r="D142" i="33" s="1"/>
  <c r="E142" i="33" s="1"/>
  <c r="F142" i="33" s="1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F141" i="33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C141" i="33"/>
  <c r="D141" i="33" s="1"/>
  <c r="E141" i="33" s="1"/>
  <c r="C140" i="33"/>
  <c r="D140" i="33" s="1"/>
  <c r="E140" i="33" s="1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C139" i="33"/>
  <c r="D139" i="33" s="1"/>
  <c r="E139" i="33" s="1"/>
  <c r="F139" i="33" s="1"/>
  <c r="G139" i="33" s="1"/>
  <c r="H139" i="33" s="1"/>
  <c r="I139" i="33" s="1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K138" i="33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D138" i="33"/>
  <c r="E138" i="33" s="1"/>
  <c r="F138" i="33" s="1"/>
  <c r="G138" i="33" s="1"/>
  <c r="H138" i="33" s="1"/>
  <c r="I138" i="33" s="1"/>
  <c r="J138" i="33" s="1"/>
  <c r="C138" i="33"/>
  <c r="I137" i="33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C137" i="33"/>
  <c r="D137" i="33" s="1"/>
  <c r="E137" i="33" s="1"/>
  <c r="F137" i="33" s="1"/>
  <c r="G137" i="33" s="1"/>
  <c r="H137" i="33" s="1"/>
  <c r="C136" i="33"/>
  <c r="D136" i="33" s="1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F135" i="33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C135" i="33"/>
  <c r="D135" i="33" s="1"/>
  <c r="E135" i="33" s="1"/>
  <c r="G134" i="33"/>
  <c r="H134" i="33" s="1"/>
  <c r="I134" i="33" s="1"/>
  <c r="J134" i="33" s="1"/>
  <c r="K134" i="33" s="1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D134" i="33"/>
  <c r="E134" i="33" s="1"/>
  <c r="F134" i="33" s="1"/>
  <c r="C134" i="33"/>
  <c r="C133" i="33"/>
  <c r="D133" i="33" s="1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C132" i="33"/>
  <c r="D132" i="33" s="1"/>
  <c r="E132" i="33" s="1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K131" i="33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C131" i="33"/>
  <c r="D131" i="33" s="1"/>
  <c r="E131" i="33" s="1"/>
  <c r="F131" i="33" s="1"/>
  <c r="G131" i="33" s="1"/>
  <c r="H131" i="33" s="1"/>
  <c r="I131" i="33" s="1"/>
  <c r="J131" i="33" s="1"/>
  <c r="H130" i="33"/>
  <c r="I130" i="33" s="1"/>
  <c r="J130" i="33" s="1"/>
  <c r="K130" i="33" s="1"/>
  <c r="L130" i="33" s="1"/>
  <c r="M130" i="33" s="1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C130" i="33"/>
  <c r="D130" i="33" s="1"/>
  <c r="E130" i="33" s="1"/>
  <c r="F130" i="33" s="1"/>
  <c r="G130" i="33" s="1"/>
  <c r="F129" i="33"/>
  <c r="G129" i="33" s="1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C129" i="33"/>
  <c r="D129" i="33" s="1"/>
  <c r="E129" i="33" s="1"/>
  <c r="T128" i="33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D128" i="33"/>
  <c r="E128" i="33" s="1"/>
  <c r="F128" i="33" s="1"/>
  <c r="G128" i="33" s="1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C128" i="33"/>
  <c r="J127" i="33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C127" i="33"/>
  <c r="D127" i="33" s="1"/>
  <c r="E127" i="33" s="1"/>
  <c r="F127" i="33" s="1"/>
  <c r="G127" i="33" s="1"/>
  <c r="H127" i="33" s="1"/>
  <c r="I127" i="33" s="1"/>
  <c r="C126" i="33"/>
  <c r="D126" i="33" s="1"/>
  <c r="E126" i="33" s="1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C125" i="33"/>
  <c r="D125" i="33" s="1"/>
  <c r="E125" i="33" s="1"/>
  <c r="F125" i="33" s="1"/>
  <c r="G125" i="33" s="1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E124" i="33"/>
  <c r="F124" i="33" s="1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D124" i="33"/>
  <c r="C124" i="33"/>
  <c r="G123" i="33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C123" i="33"/>
  <c r="D123" i="33" s="1"/>
  <c r="E123" i="33" s="1"/>
  <c r="F123" i="33" s="1"/>
  <c r="E122" i="33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C122" i="33"/>
  <c r="D122" i="33" s="1"/>
  <c r="F121" i="33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C121" i="33"/>
  <c r="D121" i="33" s="1"/>
  <c r="E121" i="33" s="1"/>
  <c r="D120" i="33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C120" i="33"/>
  <c r="C119" i="33"/>
  <c r="D119" i="33" s="1"/>
  <c r="E119" i="33" s="1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C118" i="33"/>
  <c r="D118" i="33" s="1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C117" i="33"/>
  <c r="D117" i="33" s="1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L116" i="33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E116" i="33"/>
  <c r="F116" i="33" s="1"/>
  <c r="G116" i="33" s="1"/>
  <c r="H116" i="33" s="1"/>
  <c r="I116" i="33" s="1"/>
  <c r="J116" i="33" s="1"/>
  <c r="K116" i="33" s="1"/>
  <c r="D116" i="33"/>
  <c r="C116" i="33"/>
  <c r="E115" i="33"/>
  <c r="F115" i="33" s="1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C115" i="33"/>
  <c r="D115" i="33" s="1"/>
  <c r="D114" i="33"/>
  <c r="E114" i="33" s="1"/>
  <c r="F114" i="33" s="1"/>
  <c r="G114" i="33" s="1"/>
  <c r="H114" i="33" s="1"/>
  <c r="I114" i="33" s="1"/>
  <c r="J114" i="33" s="1"/>
  <c r="K114" i="33" s="1"/>
  <c r="L114" i="33" s="1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C114" i="33"/>
  <c r="O113" i="33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J113" i="33"/>
  <c r="K113" i="33" s="1"/>
  <c r="L113" i="33" s="1"/>
  <c r="M113" i="33" s="1"/>
  <c r="N113" i="33" s="1"/>
  <c r="D113" i="33"/>
  <c r="E113" i="33" s="1"/>
  <c r="F113" i="33" s="1"/>
  <c r="G113" i="33" s="1"/>
  <c r="H113" i="33" s="1"/>
  <c r="I113" i="33" s="1"/>
  <c r="C113" i="33"/>
  <c r="H112" i="33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E112" i="33"/>
  <c r="F112" i="33" s="1"/>
  <c r="G112" i="33" s="1"/>
  <c r="D112" i="33"/>
  <c r="C112" i="33"/>
  <c r="H111" i="33"/>
  <c r="I111" i="33" s="1"/>
  <c r="J111" i="33" s="1"/>
  <c r="K111" i="33" s="1"/>
  <c r="L111" i="33" s="1"/>
  <c r="M111" i="33" s="1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C111" i="33"/>
  <c r="D111" i="33" s="1"/>
  <c r="E111" i="33" s="1"/>
  <c r="F111" i="33" s="1"/>
  <c r="G111" i="33" s="1"/>
  <c r="D110" i="33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C110" i="33"/>
  <c r="D109" i="33"/>
  <c r="E109" i="33" s="1"/>
  <c r="F109" i="33" s="1"/>
  <c r="G109" i="33" s="1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C109" i="33"/>
  <c r="D108" i="33"/>
  <c r="E108" i="33" s="1"/>
  <c r="F108" i="33" s="1"/>
  <c r="G108" i="33" s="1"/>
  <c r="H108" i="33" s="1"/>
  <c r="I108" i="33" s="1"/>
  <c r="J108" i="33" s="1"/>
  <c r="K108" i="33" s="1"/>
  <c r="L108" i="33" s="1"/>
  <c r="M108" i="33" s="1"/>
  <c r="N108" i="33" s="1"/>
  <c r="O108" i="33" s="1"/>
  <c r="P108" i="33" s="1"/>
  <c r="Q108" i="33" s="1"/>
  <c r="R108" i="33" s="1"/>
  <c r="S108" i="33" s="1"/>
  <c r="T108" i="33" s="1"/>
  <c r="U108" i="33" s="1"/>
  <c r="V108" i="33" s="1"/>
  <c r="W108" i="33" s="1"/>
  <c r="X108" i="33" s="1"/>
  <c r="Y108" i="33" s="1"/>
  <c r="Z108" i="33" s="1"/>
  <c r="AA108" i="33" s="1"/>
  <c r="AB108" i="33" s="1"/>
  <c r="AC108" i="33" s="1"/>
  <c r="AD108" i="33" s="1"/>
  <c r="AE108" i="33" s="1"/>
  <c r="AF108" i="33" s="1"/>
  <c r="C108" i="33"/>
  <c r="E107" i="33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C107" i="33"/>
  <c r="D107" i="33" s="1"/>
  <c r="C106" i="33"/>
  <c r="D106" i="33" s="1"/>
  <c r="E106" i="33" s="1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G105" i="33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E105" i="33"/>
  <c r="F105" i="33" s="1"/>
  <c r="C105" i="33"/>
  <c r="D105" i="33" s="1"/>
  <c r="Q104" i="33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C104" i="33"/>
  <c r="D104" i="33" s="1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C103" i="33"/>
  <c r="D103" i="33" s="1"/>
  <c r="E103" i="33" s="1"/>
  <c r="F103" i="33" s="1"/>
  <c r="G103" i="33" s="1"/>
  <c r="H103" i="33" s="1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O102" i="33"/>
  <c r="P102" i="33" s="1"/>
  <c r="Q102" i="33" s="1"/>
  <c r="R102" i="33" s="1"/>
  <c r="S102" i="33" s="1"/>
  <c r="T102" i="33" s="1"/>
  <c r="U102" i="33" s="1"/>
  <c r="V102" i="33" s="1"/>
  <c r="W102" i="33" s="1"/>
  <c r="X102" i="33" s="1"/>
  <c r="Y102" i="33" s="1"/>
  <c r="Z102" i="33" s="1"/>
  <c r="AA102" i="33" s="1"/>
  <c r="AB102" i="33" s="1"/>
  <c r="AC102" i="33" s="1"/>
  <c r="AD102" i="33" s="1"/>
  <c r="AE102" i="33" s="1"/>
  <c r="AF102" i="33" s="1"/>
  <c r="F102" i="33"/>
  <c r="G102" i="33" s="1"/>
  <c r="H102" i="33" s="1"/>
  <c r="I102" i="33" s="1"/>
  <c r="J102" i="33" s="1"/>
  <c r="K102" i="33" s="1"/>
  <c r="L102" i="33" s="1"/>
  <c r="M102" i="33" s="1"/>
  <c r="N102" i="33" s="1"/>
  <c r="D102" i="33"/>
  <c r="E102" i="33" s="1"/>
  <c r="C102" i="33"/>
  <c r="C101" i="33"/>
  <c r="D101" i="33" s="1"/>
  <c r="E101" i="33" s="1"/>
  <c r="F101" i="33" s="1"/>
  <c r="G101" i="33" s="1"/>
  <c r="H101" i="33" s="1"/>
  <c r="I101" i="33" s="1"/>
  <c r="J101" i="33" s="1"/>
  <c r="K101" i="33" s="1"/>
  <c r="L101" i="33" s="1"/>
  <c r="M101" i="33" s="1"/>
  <c r="N101" i="33" s="1"/>
  <c r="O101" i="33" s="1"/>
  <c r="P101" i="33" s="1"/>
  <c r="Q101" i="33" s="1"/>
  <c r="R101" i="33" s="1"/>
  <c r="S101" i="33" s="1"/>
  <c r="T101" i="33" s="1"/>
  <c r="U101" i="33" s="1"/>
  <c r="V101" i="33" s="1"/>
  <c r="W101" i="33" s="1"/>
  <c r="X101" i="33" s="1"/>
  <c r="Y101" i="33" s="1"/>
  <c r="Z101" i="33" s="1"/>
  <c r="AA101" i="33" s="1"/>
  <c r="AB101" i="33" s="1"/>
  <c r="AC101" i="33" s="1"/>
  <c r="AD101" i="33" s="1"/>
  <c r="AE101" i="33" s="1"/>
  <c r="AF101" i="33" s="1"/>
  <c r="D100" i="33"/>
  <c r="E100" i="33" s="1"/>
  <c r="F100" i="33" s="1"/>
  <c r="G100" i="33" s="1"/>
  <c r="H100" i="33" s="1"/>
  <c r="I100" i="33" s="1"/>
  <c r="J100" i="33" s="1"/>
  <c r="K100" i="33" s="1"/>
  <c r="L100" i="33" s="1"/>
  <c r="M100" i="33" s="1"/>
  <c r="N100" i="33" s="1"/>
  <c r="O100" i="33" s="1"/>
  <c r="P100" i="33" s="1"/>
  <c r="Q100" i="33" s="1"/>
  <c r="R100" i="33" s="1"/>
  <c r="S100" i="33" s="1"/>
  <c r="T100" i="33" s="1"/>
  <c r="U100" i="33" s="1"/>
  <c r="V100" i="33" s="1"/>
  <c r="W100" i="33" s="1"/>
  <c r="X100" i="33" s="1"/>
  <c r="Y100" i="33" s="1"/>
  <c r="Z100" i="33" s="1"/>
  <c r="AA100" i="33" s="1"/>
  <c r="AB100" i="33" s="1"/>
  <c r="AC100" i="33" s="1"/>
  <c r="AD100" i="33" s="1"/>
  <c r="AE100" i="33" s="1"/>
  <c r="AF100" i="33" s="1"/>
  <c r="C100" i="33"/>
  <c r="J99" i="33"/>
  <c r="K99" i="33" s="1"/>
  <c r="L99" i="33" s="1"/>
  <c r="M99" i="33" s="1"/>
  <c r="N99" i="33" s="1"/>
  <c r="O99" i="33" s="1"/>
  <c r="P99" i="33" s="1"/>
  <c r="Q99" i="33" s="1"/>
  <c r="R99" i="33" s="1"/>
  <c r="S99" i="33" s="1"/>
  <c r="T99" i="33" s="1"/>
  <c r="U99" i="33" s="1"/>
  <c r="V99" i="33" s="1"/>
  <c r="W99" i="33" s="1"/>
  <c r="X99" i="33" s="1"/>
  <c r="Y99" i="33" s="1"/>
  <c r="Z99" i="33" s="1"/>
  <c r="AA99" i="33" s="1"/>
  <c r="AB99" i="33" s="1"/>
  <c r="AC99" i="33" s="1"/>
  <c r="AD99" i="33" s="1"/>
  <c r="AE99" i="33" s="1"/>
  <c r="AF99" i="33" s="1"/>
  <c r="G99" i="33"/>
  <c r="H99" i="33" s="1"/>
  <c r="C99" i="33"/>
  <c r="D99" i="33" s="1"/>
  <c r="E99" i="33" s="1"/>
  <c r="F99" i="33" s="1"/>
  <c r="J98" i="33"/>
  <c r="K98" i="33" s="1"/>
  <c r="L98" i="33" s="1"/>
  <c r="M98" i="33" s="1"/>
  <c r="N98" i="33" s="1"/>
  <c r="O98" i="33" s="1"/>
  <c r="P98" i="33" s="1"/>
  <c r="Q98" i="33" s="1"/>
  <c r="R98" i="33" s="1"/>
  <c r="S98" i="33" s="1"/>
  <c r="T98" i="33" s="1"/>
  <c r="U98" i="33" s="1"/>
  <c r="V98" i="33" s="1"/>
  <c r="W98" i="33" s="1"/>
  <c r="X98" i="33" s="1"/>
  <c r="Y98" i="33" s="1"/>
  <c r="Z98" i="33" s="1"/>
  <c r="AA98" i="33" s="1"/>
  <c r="AB98" i="33" s="1"/>
  <c r="AC98" i="33" s="1"/>
  <c r="AD98" i="33" s="1"/>
  <c r="AE98" i="33" s="1"/>
  <c r="AF98" i="33" s="1"/>
  <c r="C98" i="33"/>
  <c r="D98" i="33" s="1"/>
  <c r="E98" i="33" s="1"/>
  <c r="F98" i="33" s="1"/>
  <c r="G98" i="33" s="1"/>
  <c r="H98" i="33" s="1"/>
  <c r="I98" i="33" s="1"/>
  <c r="D97" i="33"/>
  <c r="E97" i="33" s="1"/>
  <c r="F97" i="33" s="1"/>
  <c r="G97" i="33" s="1"/>
  <c r="H97" i="33" s="1"/>
  <c r="I97" i="33" s="1"/>
  <c r="J97" i="33" s="1"/>
  <c r="K97" i="33" s="1"/>
  <c r="L97" i="33" s="1"/>
  <c r="M97" i="33" s="1"/>
  <c r="N97" i="33" s="1"/>
  <c r="O97" i="33" s="1"/>
  <c r="P97" i="33" s="1"/>
  <c r="Q97" i="33" s="1"/>
  <c r="R97" i="33" s="1"/>
  <c r="S97" i="33" s="1"/>
  <c r="T97" i="33" s="1"/>
  <c r="U97" i="33" s="1"/>
  <c r="V97" i="33" s="1"/>
  <c r="W97" i="33" s="1"/>
  <c r="X97" i="33" s="1"/>
  <c r="Y97" i="33" s="1"/>
  <c r="Z97" i="33" s="1"/>
  <c r="AA97" i="33" s="1"/>
  <c r="AB97" i="33" s="1"/>
  <c r="AC97" i="33" s="1"/>
  <c r="AD97" i="33" s="1"/>
  <c r="AE97" i="33" s="1"/>
  <c r="AF97" i="33" s="1"/>
  <c r="C97" i="33"/>
  <c r="D96" i="33"/>
  <c r="E96" i="33" s="1"/>
  <c r="F96" i="33" s="1"/>
  <c r="G96" i="33" s="1"/>
  <c r="H96" i="33" s="1"/>
  <c r="I96" i="33" s="1"/>
  <c r="J96" i="33" s="1"/>
  <c r="K96" i="33" s="1"/>
  <c r="L96" i="33" s="1"/>
  <c r="M96" i="33" s="1"/>
  <c r="N96" i="33" s="1"/>
  <c r="O96" i="33" s="1"/>
  <c r="P96" i="33" s="1"/>
  <c r="Q96" i="33" s="1"/>
  <c r="R96" i="33" s="1"/>
  <c r="S96" i="33" s="1"/>
  <c r="T96" i="33" s="1"/>
  <c r="U96" i="33" s="1"/>
  <c r="V96" i="33" s="1"/>
  <c r="W96" i="33" s="1"/>
  <c r="X96" i="33" s="1"/>
  <c r="Y96" i="33" s="1"/>
  <c r="Z96" i="33" s="1"/>
  <c r="AA96" i="33" s="1"/>
  <c r="AB96" i="33" s="1"/>
  <c r="AC96" i="33" s="1"/>
  <c r="AD96" i="33" s="1"/>
  <c r="AE96" i="33" s="1"/>
  <c r="AF96" i="33" s="1"/>
  <c r="C96" i="33"/>
  <c r="H95" i="33"/>
  <c r="I95" i="33" s="1"/>
  <c r="J95" i="33" s="1"/>
  <c r="K95" i="33" s="1"/>
  <c r="L95" i="33" s="1"/>
  <c r="M95" i="33" s="1"/>
  <c r="N95" i="33" s="1"/>
  <c r="O95" i="33" s="1"/>
  <c r="P95" i="33" s="1"/>
  <c r="Q95" i="33" s="1"/>
  <c r="R95" i="33" s="1"/>
  <c r="S95" i="33" s="1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AE95" i="33" s="1"/>
  <c r="AF95" i="33" s="1"/>
  <c r="D95" i="33"/>
  <c r="E95" i="33" s="1"/>
  <c r="F95" i="33" s="1"/>
  <c r="G95" i="33" s="1"/>
  <c r="C95" i="33"/>
  <c r="C94" i="33"/>
  <c r="C82" i="33" s="1"/>
  <c r="D93" i="33"/>
  <c r="E93" i="33" s="1"/>
  <c r="F93" i="33" s="1"/>
  <c r="G93" i="33" s="1"/>
  <c r="H93" i="33" s="1"/>
  <c r="I93" i="33" s="1"/>
  <c r="J93" i="33" s="1"/>
  <c r="K93" i="33" s="1"/>
  <c r="L93" i="33" s="1"/>
  <c r="M93" i="33" s="1"/>
  <c r="N93" i="33" s="1"/>
  <c r="O93" i="33" s="1"/>
  <c r="P93" i="33" s="1"/>
  <c r="Q93" i="33" s="1"/>
  <c r="R93" i="33" s="1"/>
  <c r="S93" i="33" s="1"/>
  <c r="T93" i="33" s="1"/>
  <c r="U93" i="33" s="1"/>
  <c r="V93" i="33" s="1"/>
  <c r="W93" i="33" s="1"/>
  <c r="X93" i="33" s="1"/>
  <c r="Y93" i="33" s="1"/>
  <c r="Z93" i="33" s="1"/>
  <c r="AA93" i="33" s="1"/>
  <c r="AB93" i="33" s="1"/>
  <c r="AC93" i="33" s="1"/>
  <c r="AD93" i="33" s="1"/>
  <c r="AE93" i="33" s="1"/>
  <c r="AF93" i="33" s="1"/>
  <c r="C93" i="33"/>
  <c r="D92" i="33"/>
  <c r="E92" i="33" s="1"/>
  <c r="F92" i="33" s="1"/>
  <c r="G92" i="33" s="1"/>
  <c r="H92" i="33" s="1"/>
  <c r="I92" i="33" s="1"/>
  <c r="J92" i="33" s="1"/>
  <c r="K92" i="33" s="1"/>
  <c r="L92" i="33" s="1"/>
  <c r="M92" i="33" s="1"/>
  <c r="N92" i="33" s="1"/>
  <c r="O92" i="33" s="1"/>
  <c r="P92" i="33" s="1"/>
  <c r="Q92" i="33" s="1"/>
  <c r="R92" i="33" s="1"/>
  <c r="S92" i="33" s="1"/>
  <c r="T92" i="33" s="1"/>
  <c r="U92" i="33" s="1"/>
  <c r="V92" i="33" s="1"/>
  <c r="W92" i="33" s="1"/>
  <c r="X92" i="33" s="1"/>
  <c r="Y92" i="33" s="1"/>
  <c r="Z92" i="33" s="1"/>
  <c r="AA92" i="33" s="1"/>
  <c r="AB92" i="33" s="1"/>
  <c r="AC92" i="33" s="1"/>
  <c r="AD92" i="33" s="1"/>
  <c r="AE92" i="33" s="1"/>
  <c r="AF92" i="33" s="1"/>
  <c r="C92" i="33"/>
  <c r="D91" i="33"/>
  <c r="E91" i="33" s="1"/>
  <c r="F91" i="33" s="1"/>
  <c r="G91" i="33" s="1"/>
  <c r="H91" i="33" s="1"/>
  <c r="I91" i="33" s="1"/>
  <c r="J91" i="33" s="1"/>
  <c r="K91" i="33" s="1"/>
  <c r="L91" i="33" s="1"/>
  <c r="M91" i="33" s="1"/>
  <c r="N91" i="33" s="1"/>
  <c r="O91" i="33" s="1"/>
  <c r="P91" i="33" s="1"/>
  <c r="Q91" i="33" s="1"/>
  <c r="R91" i="33" s="1"/>
  <c r="S91" i="33" s="1"/>
  <c r="T91" i="33" s="1"/>
  <c r="U91" i="33" s="1"/>
  <c r="V91" i="33" s="1"/>
  <c r="W91" i="33" s="1"/>
  <c r="X91" i="33" s="1"/>
  <c r="Y91" i="33" s="1"/>
  <c r="Z91" i="33" s="1"/>
  <c r="AA91" i="33" s="1"/>
  <c r="AB91" i="33" s="1"/>
  <c r="AC91" i="33" s="1"/>
  <c r="AD91" i="33" s="1"/>
  <c r="AE91" i="33" s="1"/>
  <c r="AF91" i="33" s="1"/>
  <c r="C91" i="33"/>
  <c r="H90" i="33"/>
  <c r="I90" i="33" s="1"/>
  <c r="J90" i="33" s="1"/>
  <c r="K90" i="33" s="1"/>
  <c r="L90" i="33" s="1"/>
  <c r="M90" i="33" s="1"/>
  <c r="N90" i="33" s="1"/>
  <c r="O90" i="33" s="1"/>
  <c r="P90" i="33" s="1"/>
  <c r="Q90" i="33" s="1"/>
  <c r="R90" i="33" s="1"/>
  <c r="S90" i="33" s="1"/>
  <c r="T90" i="33" s="1"/>
  <c r="U90" i="33" s="1"/>
  <c r="V90" i="33" s="1"/>
  <c r="W90" i="33" s="1"/>
  <c r="X90" i="33" s="1"/>
  <c r="Y90" i="33" s="1"/>
  <c r="Z90" i="33" s="1"/>
  <c r="AA90" i="33" s="1"/>
  <c r="AB90" i="33" s="1"/>
  <c r="AC90" i="33" s="1"/>
  <c r="AD90" i="33" s="1"/>
  <c r="AE90" i="33" s="1"/>
  <c r="AF90" i="33" s="1"/>
  <c r="F90" i="33"/>
  <c r="G90" i="33" s="1"/>
  <c r="C90" i="33"/>
  <c r="D90" i="33" s="1"/>
  <c r="E90" i="33" s="1"/>
  <c r="D89" i="33"/>
  <c r="C89" i="33"/>
  <c r="AH86" i="33"/>
  <c r="AI86" i="33" s="1"/>
  <c r="AH85" i="33"/>
  <c r="AI85" i="33" s="1"/>
  <c r="AH84" i="33"/>
  <c r="AI84" i="33" s="1"/>
  <c r="AH83" i="33"/>
  <c r="AI83" i="33" s="1"/>
  <c r="B82" i="33"/>
  <c r="AF80" i="33"/>
  <c r="AE80" i="33"/>
  <c r="AD80" i="33"/>
  <c r="AC80" i="33"/>
  <c r="AB80" i="33"/>
  <c r="AA80" i="33"/>
  <c r="Z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B80" i="33"/>
  <c r="AI79" i="33"/>
  <c r="AH79" i="33"/>
  <c r="AI78" i="33"/>
  <c r="AH78" i="33"/>
  <c r="AI77" i="33"/>
  <c r="AH77" i="33"/>
  <c r="AI76" i="33"/>
  <c r="AH76" i="33"/>
  <c r="AI75" i="33"/>
  <c r="AH75" i="33"/>
  <c r="AI74" i="33"/>
  <c r="AH74" i="33"/>
  <c r="AI73" i="33"/>
  <c r="AH73" i="33"/>
  <c r="AI72" i="33"/>
  <c r="AH72" i="33"/>
  <c r="AG71" i="33"/>
  <c r="O71" i="33"/>
  <c r="AI70" i="33"/>
  <c r="AH70" i="33"/>
  <c r="AF69" i="33"/>
  <c r="AE69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D69" i="33"/>
  <c r="C69" i="33"/>
  <c r="B69" i="33"/>
  <c r="AF68" i="33"/>
  <c r="AE68" i="33"/>
  <c r="AD68" i="33"/>
  <c r="AC68" i="33"/>
  <c r="AB68" i="33"/>
  <c r="AA68" i="33"/>
  <c r="Z68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AF67" i="33"/>
  <c r="AE67" i="33"/>
  <c r="AD67" i="33"/>
  <c r="AC67" i="33"/>
  <c r="AB67" i="33"/>
  <c r="AA67" i="33"/>
  <c r="Z67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AF66" i="33"/>
  <c r="AF71" i="33" s="1"/>
  <c r="AE66" i="33"/>
  <c r="AE71" i="33" s="1"/>
  <c r="AD66" i="33"/>
  <c r="AD71" i="33" s="1"/>
  <c r="AC66" i="33"/>
  <c r="AB66" i="33"/>
  <c r="AA66" i="33"/>
  <c r="Z66" i="33"/>
  <c r="Y66" i="33"/>
  <c r="Y71" i="33" s="1"/>
  <c r="X66" i="33"/>
  <c r="X71" i="33" s="1"/>
  <c r="W66" i="33"/>
  <c r="W71" i="33" s="1"/>
  <c r="V66" i="33"/>
  <c r="V71" i="33" s="1"/>
  <c r="U66" i="33"/>
  <c r="T66" i="33"/>
  <c r="S66" i="33"/>
  <c r="R66" i="33"/>
  <c r="Q66" i="33"/>
  <c r="P66" i="33"/>
  <c r="P71" i="33" s="1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AI64" i="33"/>
  <c r="AH64" i="33"/>
  <c r="AI63" i="33"/>
  <c r="AG63" i="33"/>
  <c r="AF63" i="33"/>
  <c r="AE63" i="33"/>
  <c r="AD63" i="33"/>
  <c r="AC63" i="33"/>
  <c r="AB63" i="33"/>
  <c r="AA63" i="33"/>
  <c r="Z63" i="33"/>
  <c r="Y63" i="33"/>
  <c r="X63" i="33"/>
  <c r="W63" i="33"/>
  <c r="V63" i="33"/>
  <c r="U63" i="33"/>
  <c r="T63" i="33"/>
  <c r="S63" i="33"/>
  <c r="R63" i="33"/>
  <c r="Q63" i="33"/>
  <c r="P63" i="33"/>
  <c r="O63" i="33"/>
  <c r="N63" i="33"/>
  <c r="M63" i="33"/>
  <c r="L63" i="33"/>
  <c r="K63" i="33"/>
  <c r="J63" i="33"/>
  <c r="I63" i="33"/>
  <c r="H63" i="33"/>
  <c r="G63" i="33"/>
  <c r="F63" i="33"/>
  <c r="E63" i="33"/>
  <c r="D63" i="33"/>
  <c r="C63" i="33"/>
  <c r="B63" i="33"/>
  <c r="AH63" i="33" s="1"/>
  <c r="AI62" i="33"/>
  <c r="AH62" i="33"/>
  <c r="AI61" i="33"/>
  <c r="AH61" i="33"/>
  <c r="AI60" i="33"/>
  <c r="AH60" i="33"/>
  <c r="AG59" i="33"/>
  <c r="AF59" i="33"/>
  <c r="AE59" i="33"/>
  <c r="AE5" i="33" s="1"/>
  <c r="AD59" i="33"/>
  <c r="AC59" i="33"/>
  <c r="AC5" i="33" s="1"/>
  <c r="AB59" i="33"/>
  <c r="AB5" i="33" s="1"/>
  <c r="AA59" i="33"/>
  <c r="AA5" i="33" s="1"/>
  <c r="Z59" i="33"/>
  <c r="Z5" i="33" s="1"/>
  <c r="Y59" i="33"/>
  <c r="Y5" i="33" s="1"/>
  <c r="X59" i="33"/>
  <c r="X5" i="33" s="1"/>
  <c r="W59" i="33"/>
  <c r="W5" i="33" s="1"/>
  <c r="V59" i="33"/>
  <c r="U59" i="33"/>
  <c r="U5" i="33" s="1"/>
  <c r="T59" i="33"/>
  <c r="S59" i="33"/>
  <c r="S5" i="33" s="1"/>
  <c r="R59" i="33"/>
  <c r="R5" i="33" s="1"/>
  <c r="Q59" i="33"/>
  <c r="Q5" i="33" s="1"/>
  <c r="P59" i="33"/>
  <c r="P5" i="33" s="1"/>
  <c r="O59" i="33"/>
  <c r="O5" i="33" s="1"/>
  <c r="N59" i="33"/>
  <c r="M59" i="33"/>
  <c r="M5" i="33" s="1"/>
  <c r="L59" i="33"/>
  <c r="L5" i="33" s="1"/>
  <c r="K59" i="33"/>
  <c r="K5" i="33" s="1"/>
  <c r="J59" i="33"/>
  <c r="I59" i="33"/>
  <c r="H59" i="33"/>
  <c r="G59" i="33"/>
  <c r="G5" i="33" s="1"/>
  <c r="F59" i="33"/>
  <c r="F5" i="33" s="1"/>
  <c r="E59" i="33"/>
  <c r="E5" i="33" s="1"/>
  <c r="D59" i="33"/>
  <c r="D5" i="33" s="1"/>
  <c r="C59" i="33"/>
  <c r="C5" i="33" s="1"/>
  <c r="B59" i="33"/>
  <c r="B5" i="33" s="1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G47" i="33"/>
  <c r="AF47" i="33"/>
  <c r="AE47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B47" i="33"/>
  <c r="AI46" i="33"/>
  <c r="AH46" i="33"/>
  <c r="AI45" i="33"/>
  <c r="AH45" i="33"/>
  <c r="AI44" i="33"/>
  <c r="AH44" i="33"/>
  <c r="AG42" i="33"/>
  <c r="AG43" i="33" s="1"/>
  <c r="AG65" i="33" s="1"/>
  <c r="B42" i="33"/>
  <c r="B43" i="33" s="1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G30" i="33"/>
  <c r="AF30" i="33"/>
  <c r="AE30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F5" i="33"/>
  <c r="AD5" i="33"/>
  <c r="V5" i="33"/>
  <c r="T5" i="33"/>
  <c r="N5" i="33"/>
  <c r="J5" i="33"/>
  <c r="I5" i="33"/>
  <c r="H5" i="33"/>
  <c r="AG4" i="33"/>
  <c r="K4" i="33"/>
  <c r="C4" i="33"/>
  <c r="AG3" i="33"/>
  <c r="AG2" i="33"/>
  <c r="W42" i="32"/>
  <c r="W43" i="32"/>
  <c r="C49" i="32"/>
  <c r="B49" i="32"/>
  <c r="AF49" i="31"/>
  <c r="AF219" i="32"/>
  <c r="AE219" i="32"/>
  <c r="AD219" i="32"/>
  <c r="AC219" i="32"/>
  <c r="AB219" i="32"/>
  <c r="AA219" i="32"/>
  <c r="Z219" i="32"/>
  <c r="Y219" i="32"/>
  <c r="X219" i="32"/>
  <c r="W219" i="32"/>
  <c r="V219" i="32"/>
  <c r="U219" i="32"/>
  <c r="T219" i="32"/>
  <c r="S219" i="32"/>
  <c r="R219" i="32"/>
  <c r="Q219" i="32"/>
  <c r="P219" i="32"/>
  <c r="O219" i="32"/>
  <c r="N219" i="32"/>
  <c r="M219" i="32"/>
  <c r="L219" i="32"/>
  <c r="K219" i="32"/>
  <c r="J219" i="32"/>
  <c r="I219" i="32"/>
  <c r="H219" i="32"/>
  <c r="G219" i="32"/>
  <c r="F219" i="32"/>
  <c r="E219" i="32"/>
  <c r="D219" i="32"/>
  <c r="C219" i="32"/>
  <c r="B219" i="32"/>
  <c r="A219" i="32"/>
  <c r="AF218" i="32"/>
  <c r="AE218" i="32"/>
  <c r="AD218" i="32"/>
  <c r="AC218" i="32"/>
  <c r="AB218" i="32"/>
  <c r="AA218" i="32"/>
  <c r="Z218" i="32"/>
  <c r="Y218" i="32"/>
  <c r="X218" i="32"/>
  <c r="W218" i="32"/>
  <c r="V218" i="32"/>
  <c r="U218" i="32"/>
  <c r="T218" i="32"/>
  <c r="S218" i="32"/>
  <c r="R218" i="32"/>
  <c r="Q218" i="32"/>
  <c r="P218" i="32"/>
  <c r="O218" i="32"/>
  <c r="N218" i="32"/>
  <c r="M218" i="32"/>
  <c r="L218" i="32"/>
  <c r="K218" i="32"/>
  <c r="J218" i="32"/>
  <c r="I218" i="32"/>
  <c r="H218" i="32"/>
  <c r="G218" i="32"/>
  <c r="F218" i="32"/>
  <c r="E218" i="32"/>
  <c r="D218" i="32"/>
  <c r="C218" i="32"/>
  <c r="B218" i="32"/>
  <c r="A218" i="32"/>
  <c r="AF217" i="32"/>
  <c r="AE217" i="32"/>
  <c r="AD217" i="32"/>
  <c r="AC217" i="32"/>
  <c r="AB217" i="32"/>
  <c r="AA217" i="32"/>
  <c r="Z217" i="32"/>
  <c r="Y217" i="32"/>
  <c r="X217" i="32"/>
  <c r="W217" i="32"/>
  <c r="V217" i="32"/>
  <c r="U217" i="32"/>
  <c r="T217" i="32"/>
  <c r="S217" i="32"/>
  <c r="R217" i="32"/>
  <c r="Q217" i="32"/>
  <c r="P217" i="32"/>
  <c r="O217" i="32"/>
  <c r="N217" i="32"/>
  <c r="M217" i="32"/>
  <c r="L217" i="32"/>
  <c r="K217" i="32"/>
  <c r="J217" i="32"/>
  <c r="I217" i="32"/>
  <c r="H217" i="32"/>
  <c r="G217" i="32"/>
  <c r="F217" i="32"/>
  <c r="E217" i="32"/>
  <c r="D217" i="32"/>
  <c r="C217" i="32"/>
  <c r="B217" i="32"/>
  <c r="A217" i="32"/>
  <c r="AF216" i="32"/>
  <c r="AE216" i="32"/>
  <c r="AD216" i="32"/>
  <c r="AC216" i="32"/>
  <c r="AB216" i="32"/>
  <c r="AA216" i="32"/>
  <c r="Z216" i="32"/>
  <c r="Y216" i="32"/>
  <c r="X216" i="32"/>
  <c r="W216" i="32"/>
  <c r="V216" i="32"/>
  <c r="U216" i="32"/>
  <c r="T216" i="32"/>
  <c r="S216" i="32"/>
  <c r="R216" i="32"/>
  <c r="Q216" i="32"/>
  <c r="P216" i="32"/>
  <c r="O216" i="32"/>
  <c r="N216" i="32"/>
  <c r="M216" i="32"/>
  <c r="L216" i="32"/>
  <c r="K216" i="32"/>
  <c r="J216" i="32"/>
  <c r="I216" i="32"/>
  <c r="H216" i="32"/>
  <c r="G216" i="32"/>
  <c r="F216" i="32"/>
  <c r="E216" i="32"/>
  <c r="D216" i="32"/>
  <c r="C216" i="32"/>
  <c r="B216" i="32"/>
  <c r="A216" i="32"/>
  <c r="B215" i="32"/>
  <c r="S190" i="32"/>
  <c r="AG180" i="32"/>
  <c r="B180" i="32"/>
  <c r="C179" i="32"/>
  <c r="X178" i="32"/>
  <c r="Y178" i="32" s="1"/>
  <c r="Z178" i="32" s="1"/>
  <c r="AA178" i="32" s="1"/>
  <c r="AB178" i="32" s="1"/>
  <c r="AC178" i="32" s="1"/>
  <c r="AD178" i="32" s="1"/>
  <c r="AE178" i="32" s="1"/>
  <c r="AF178" i="32" s="1"/>
  <c r="R178" i="32"/>
  <c r="S178" i="32" s="1"/>
  <c r="T178" i="32" s="1"/>
  <c r="U178" i="32" s="1"/>
  <c r="V178" i="32" s="1"/>
  <c r="W178" i="32" s="1"/>
  <c r="F178" i="32"/>
  <c r="G178" i="32" s="1"/>
  <c r="H178" i="32" s="1"/>
  <c r="I178" i="32" s="1"/>
  <c r="J178" i="32" s="1"/>
  <c r="K178" i="32" s="1"/>
  <c r="L178" i="32" s="1"/>
  <c r="M178" i="32" s="1"/>
  <c r="N178" i="32" s="1"/>
  <c r="O178" i="32" s="1"/>
  <c r="P178" i="32" s="1"/>
  <c r="Q178" i="32" s="1"/>
  <c r="C178" i="32"/>
  <c r="D178" i="32" s="1"/>
  <c r="E178" i="32" s="1"/>
  <c r="H177" i="32"/>
  <c r="I177" i="32" s="1"/>
  <c r="J177" i="32" s="1"/>
  <c r="K177" i="32" s="1"/>
  <c r="L177" i="32" s="1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D177" i="32"/>
  <c r="E177" i="32" s="1"/>
  <c r="F177" i="32" s="1"/>
  <c r="G177" i="32" s="1"/>
  <c r="C177" i="32"/>
  <c r="X176" i="32"/>
  <c r="Y176" i="32" s="1"/>
  <c r="Z176" i="32" s="1"/>
  <c r="AA176" i="32" s="1"/>
  <c r="AB176" i="32" s="1"/>
  <c r="AC176" i="32" s="1"/>
  <c r="AD176" i="32" s="1"/>
  <c r="AE176" i="32" s="1"/>
  <c r="AF176" i="32" s="1"/>
  <c r="C176" i="32"/>
  <c r="D176" i="32" s="1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C175" i="32"/>
  <c r="D175" i="32" s="1"/>
  <c r="E175" i="32" s="1"/>
  <c r="F175" i="32" s="1"/>
  <c r="G175" i="32" s="1"/>
  <c r="H175" i="32" s="1"/>
  <c r="I175" i="32" s="1"/>
  <c r="J175" i="32" s="1"/>
  <c r="K175" i="32" s="1"/>
  <c r="L175" i="32" s="1"/>
  <c r="M175" i="32" s="1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C174" i="32"/>
  <c r="C180" i="32" s="1"/>
  <c r="AG172" i="32"/>
  <c r="B172" i="32"/>
  <c r="I171" i="32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G171" i="32"/>
  <c r="H171" i="32" s="1"/>
  <c r="F171" i="32"/>
  <c r="D171" i="32"/>
  <c r="E171" i="32" s="1"/>
  <c r="C171" i="32"/>
  <c r="D170" i="32"/>
  <c r="E170" i="32" s="1"/>
  <c r="F170" i="32" s="1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C170" i="32"/>
  <c r="D169" i="32"/>
  <c r="E169" i="32" s="1"/>
  <c r="F169" i="32" s="1"/>
  <c r="G169" i="32" s="1"/>
  <c r="H169" i="32" s="1"/>
  <c r="I169" i="32" s="1"/>
  <c r="J169" i="32" s="1"/>
  <c r="K169" i="32" s="1"/>
  <c r="L169" i="32" s="1"/>
  <c r="M169" i="32" s="1"/>
  <c r="N169" i="32" s="1"/>
  <c r="O169" i="32" s="1"/>
  <c r="P169" i="32" s="1"/>
  <c r="Q169" i="32" s="1"/>
  <c r="R169" i="32" s="1"/>
  <c r="S169" i="32" s="1"/>
  <c r="T169" i="32" s="1"/>
  <c r="U169" i="32" s="1"/>
  <c r="V169" i="32" s="1"/>
  <c r="W169" i="32" s="1"/>
  <c r="X169" i="32" s="1"/>
  <c r="Y169" i="32" s="1"/>
  <c r="Z169" i="32" s="1"/>
  <c r="AA169" i="32" s="1"/>
  <c r="AB169" i="32" s="1"/>
  <c r="AC169" i="32" s="1"/>
  <c r="AD169" i="32" s="1"/>
  <c r="AE169" i="32" s="1"/>
  <c r="AF169" i="32" s="1"/>
  <c r="C169" i="32"/>
  <c r="F168" i="32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C168" i="32"/>
  <c r="D168" i="32" s="1"/>
  <c r="E168" i="32" s="1"/>
  <c r="V167" i="32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D167" i="32"/>
  <c r="E167" i="32" s="1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C167" i="32"/>
  <c r="F166" i="32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D166" i="32"/>
  <c r="E166" i="32" s="1"/>
  <c r="C166" i="32"/>
  <c r="S165" i="32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N165" i="32"/>
  <c r="O165" i="32" s="1"/>
  <c r="P165" i="32" s="1"/>
  <c r="Q165" i="32" s="1"/>
  <c r="R165" i="32" s="1"/>
  <c r="F165" i="32"/>
  <c r="G165" i="32" s="1"/>
  <c r="H165" i="32" s="1"/>
  <c r="I165" i="32" s="1"/>
  <c r="J165" i="32" s="1"/>
  <c r="K165" i="32" s="1"/>
  <c r="L165" i="32" s="1"/>
  <c r="M165" i="32" s="1"/>
  <c r="E165" i="32"/>
  <c r="C165" i="32"/>
  <c r="D165" i="32" s="1"/>
  <c r="F164" i="32"/>
  <c r="G164" i="32" s="1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D164" i="32"/>
  <c r="E164" i="32" s="1"/>
  <c r="C164" i="32"/>
  <c r="G163" i="32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F163" i="32"/>
  <c r="E163" i="32"/>
  <c r="D163" i="32"/>
  <c r="C163" i="32"/>
  <c r="C162" i="32"/>
  <c r="D162" i="32" s="1"/>
  <c r="E162" i="32" s="1"/>
  <c r="F162" i="32" s="1"/>
  <c r="G162" i="32" s="1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C161" i="32"/>
  <c r="D161" i="32" s="1"/>
  <c r="E161" i="32" s="1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F160" i="32"/>
  <c r="G160" i="32" s="1"/>
  <c r="H160" i="32" s="1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D160" i="32"/>
  <c r="E160" i="32" s="1"/>
  <c r="C160" i="32"/>
  <c r="V159" i="32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T159" i="32"/>
  <c r="U159" i="32" s="1"/>
  <c r="D159" i="32"/>
  <c r="E159" i="32" s="1"/>
  <c r="F159" i="32" s="1"/>
  <c r="G159" i="32" s="1"/>
  <c r="H159" i="32" s="1"/>
  <c r="I159" i="32" s="1"/>
  <c r="J159" i="32" s="1"/>
  <c r="K159" i="32" s="1"/>
  <c r="L159" i="32" s="1"/>
  <c r="M159" i="32" s="1"/>
  <c r="N159" i="32" s="1"/>
  <c r="O159" i="32" s="1"/>
  <c r="P159" i="32" s="1"/>
  <c r="Q159" i="32" s="1"/>
  <c r="R159" i="32" s="1"/>
  <c r="S159" i="32" s="1"/>
  <c r="C159" i="32"/>
  <c r="C158" i="32"/>
  <c r="D158" i="32" s="1"/>
  <c r="E158" i="32" s="1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J157" i="32"/>
  <c r="K157" i="32" s="1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C157" i="32"/>
  <c r="D157" i="32" s="1"/>
  <c r="E157" i="32" s="1"/>
  <c r="F157" i="32" s="1"/>
  <c r="G157" i="32" s="1"/>
  <c r="H157" i="32" s="1"/>
  <c r="I157" i="32" s="1"/>
  <c r="J156" i="32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C156" i="32"/>
  <c r="D156" i="32" s="1"/>
  <c r="E156" i="32" s="1"/>
  <c r="F156" i="32" s="1"/>
  <c r="G156" i="32" s="1"/>
  <c r="H156" i="32" s="1"/>
  <c r="I156" i="32" s="1"/>
  <c r="AB155" i="32"/>
  <c r="AC155" i="32" s="1"/>
  <c r="AD155" i="32" s="1"/>
  <c r="AE155" i="32" s="1"/>
  <c r="AF155" i="32" s="1"/>
  <c r="Q155" i="32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P155" i="32"/>
  <c r="D155" i="32"/>
  <c r="E155" i="32" s="1"/>
  <c r="F155" i="32" s="1"/>
  <c r="G155" i="32" s="1"/>
  <c r="H155" i="32" s="1"/>
  <c r="I155" i="32" s="1"/>
  <c r="J155" i="32" s="1"/>
  <c r="K155" i="32" s="1"/>
  <c r="L155" i="32" s="1"/>
  <c r="M155" i="32" s="1"/>
  <c r="N155" i="32" s="1"/>
  <c r="O155" i="32" s="1"/>
  <c r="C155" i="32"/>
  <c r="V154" i="32"/>
  <c r="W154" i="32" s="1"/>
  <c r="X154" i="32" s="1"/>
  <c r="Y154" i="32" s="1"/>
  <c r="Z154" i="32" s="1"/>
  <c r="AA154" i="32" s="1"/>
  <c r="AB154" i="32" s="1"/>
  <c r="AC154" i="32" s="1"/>
  <c r="AD154" i="32" s="1"/>
  <c r="AE154" i="32" s="1"/>
  <c r="AF154" i="32" s="1"/>
  <c r="G154" i="32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E154" i="32"/>
  <c r="F154" i="32" s="1"/>
  <c r="C154" i="32"/>
  <c r="D154" i="32" s="1"/>
  <c r="L153" i="32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D153" i="32"/>
  <c r="E153" i="32" s="1"/>
  <c r="F153" i="32" s="1"/>
  <c r="G153" i="32" s="1"/>
  <c r="H153" i="32" s="1"/>
  <c r="I153" i="32" s="1"/>
  <c r="J153" i="32" s="1"/>
  <c r="K153" i="32" s="1"/>
  <c r="C153" i="32"/>
  <c r="Q152" i="32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I152" i="32"/>
  <c r="J152" i="32" s="1"/>
  <c r="K152" i="32" s="1"/>
  <c r="L152" i="32" s="1"/>
  <c r="M152" i="32" s="1"/>
  <c r="N152" i="32" s="1"/>
  <c r="O152" i="32" s="1"/>
  <c r="P152" i="32" s="1"/>
  <c r="F152" i="32"/>
  <c r="G152" i="32" s="1"/>
  <c r="H152" i="32" s="1"/>
  <c r="C152" i="32"/>
  <c r="D152" i="32" s="1"/>
  <c r="E152" i="32" s="1"/>
  <c r="X151" i="32"/>
  <c r="Y151" i="32" s="1"/>
  <c r="Z151" i="32" s="1"/>
  <c r="AA151" i="32" s="1"/>
  <c r="AB151" i="32" s="1"/>
  <c r="AC151" i="32" s="1"/>
  <c r="AD151" i="32" s="1"/>
  <c r="AE151" i="32" s="1"/>
  <c r="AF151" i="32" s="1"/>
  <c r="U151" i="32"/>
  <c r="V151" i="32" s="1"/>
  <c r="W151" i="32" s="1"/>
  <c r="M151" i="32"/>
  <c r="N151" i="32" s="1"/>
  <c r="O151" i="32" s="1"/>
  <c r="P151" i="32" s="1"/>
  <c r="Q151" i="32" s="1"/>
  <c r="R151" i="32" s="1"/>
  <c r="S151" i="32" s="1"/>
  <c r="T151" i="32" s="1"/>
  <c r="E151" i="32"/>
  <c r="F151" i="32" s="1"/>
  <c r="G151" i="32" s="1"/>
  <c r="H151" i="32" s="1"/>
  <c r="I151" i="32" s="1"/>
  <c r="J151" i="32" s="1"/>
  <c r="K151" i="32" s="1"/>
  <c r="L151" i="32" s="1"/>
  <c r="D151" i="32"/>
  <c r="C151" i="32"/>
  <c r="O150" i="32"/>
  <c r="P150" i="32" s="1"/>
  <c r="Q150" i="32" s="1"/>
  <c r="R150" i="32" s="1"/>
  <c r="S150" i="32" s="1"/>
  <c r="T150" i="32" s="1"/>
  <c r="U150" i="32" s="1"/>
  <c r="V150" i="32" s="1"/>
  <c r="W150" i="32" s="1"/>
  <c r="X150" i="32" s="1"/>
  <c r="Y150" i="32" s="1"/>
  <c r="Z150" i="32" s="1"/>
  <c r="AA150" i="32" s="1"/>
  <c r="AB150" i="32" s="1"/>
  <c r="AC150" i="32" s="1"/>
  <c r="AD150" i="32" s="1"/>
  <c r="AE150" i="32" s="1"/>
  <c r="AF150" i="32" s="1"/>
  <c r="K150" i="32"/>
  <c r="L150" i="32" s="1"/>
  <c r="M150" i="32" s="1"/>
  <c r="N150" i="32" s="1"/>
  <c r="F150" i="32"/>
  <c r="G150" i="32" s="1"/>
  <c r="H150" i="32" s="1"/>
  <c r="I150" i="32" s="1"/>
  <c r="J150" i="32" s="1"/>
  <c r="C150" i="32"/>
  <c r="D150" i="32" s="1"/>
  <c r="E150" i="32" s="1"/>
  <c r="X149" i="32"/>
  <c r="Y149" i="32" s="1"/>
  <c r="Z149" i="32" s="1"/>
  <c r="AA149" i="32" s="1"/>
  <c r="AB149" i="32" s="1"/>
  <c r="AC149" i="32" s="1"/>
  <c r="AD149" i="32" s="1"/>
  <c r="AE149" i="32" s="1"/>
  <c r="AF149" i="32" s="1"/>
  <c r="T149" i="32"/>
  <c r="U149" i="32" s="1"/>
  <c r="V149" i="32" s="1"/>
  <c r="W149" i="32" s="1"/>
  <c r="S149" i="32"/>
  <c r="E149" i="32"/>
  <c r="F149" i="32" s="1"/>
  <c r="G149" i="32" s="1"/>
  <c r="H149" i="32" s="1"/>
  <c r="I149" i="32" s="1"/>
  <c r="J149" i="32" s="1"/>
  <c r="K149" i="32" s="1"/>
  <c r="L149" i="32" s="1"/>
  <c r="M149" i="32" s="1"/>
  <c r="N149" i="32" s="1"/>
  <c r="O149" i="32" s="1"/>
  <c r="P149" i="32" s="1"/>
  <c r="Q149" i="32" s="1"/>
  <c r="R149" i="32" s="1"/>
  <c r="C149" i="32"/>
  <c r="D149" i="32" s="1"/>
  <c r="K148" i="32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I148" i="32"/>
  <c r="J148" i="32" s="1"/>
  <c r="C148" i="32"/>
  <c r="D148" i="32" s="1"/>
  <c r="E148" i="32" s="1"/>
  <c r="F148" i="32" s="1"/>
  <c r="G148" i="32" s="1"/>
  <c r="H148" i="32" s="1"/>
  <c r="W147" i="32"/>
  <c r="X147" i="32" s="1"/>
  <c r="Y147" i="32" s="1"/>
  <c r="Z147" i="32" s="1"/>
  <c r="AA147" i="32" s="1"/>
  <c r="AB147" i="32" s="1"/>
  <c r="AC147" i="32" s="1"/>
  <c r="AD147" i="32" s="1"/>
  <c r="AE147" i="32" s="1"/>
  <c r="AF147" i="32" s="1"/>
  <c r="D147" i="32"/>
  <c r="E147" i="32" s="1"/>
  <c r="F147" i="32" s="1"/>
  <c r="G147" i="32" s="1"/>
  <c r="H147" i="32" s="1"/>
  <c r="I147" i="32" s="1"/>
  <c r="J147" i="32" s="1"/>
  <c r="K147" i="32" s="1"/>
  <c r="L147" i="32" s="1"/>
  <c r="M147" i="32" s="1"/>
  <c r="N147" i="32" s="1"/>
  <c r="O147" i="32" s="1"/>
  <c r="P147" i="32" s="1"/>
  <c r="Q147" i="32" s="1"/>
  <c r="R147" i="32" s="1"/>
  <c r="S147" i="32" s="1"/>
  <c r="T147" i="32" s="1"/>
  <c r="U147" i="32" s="1"/>
  <c r="V147" i="32" s="1"/>
  <c r="C147" i="32"/>
  <c r="C146" i="32"/>
  <c r="D146" i="32" s="1"/>
  <c r="E146" i="32" s="1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W146" i="32" s="1"/>
  <c r="X146" i="32" s="1"/>
  <c r="Y146" i="32" s="1"/>
  <c r="Z146" i="32" s="1"/>
  <c r="AA146" i="32" s="1"/>
  <c r="AB146" i="32" s="1"/>
  <c r="AC146" i="32" s="1"/>
  <c r="AD146" i="32" s="1"/>
  <c r="AE146" i="32" s="1"/>
  <c r="AF146" i="32" s="1"/>
  <c r="U145" i="32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E145" i="32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C145" i="32"/>
  <c r="D145" i="32" s="1"/>
  <c r="T144" i="32"/>
  <c r="U144" i="32" s="1"/>
  <c r="V144" i="32" s="1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D144" i="32"/>
  <c r="E144" i="32" s="1"/>
  <c r="F144" i="32" s="1"/>
  <c r="G144" i="32" s="1"/>
  <c r="H144" i="32" s="1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C144" i="32"/>
  <c r="C143" i="32"/>
  <c r="D143" i="32" s="1"/>
  <c r="E143" i="32" s="1"/>
  <c r="F143" i="32" s="1"/>
  <c r="G143" i="32" s="1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Q142" i="32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F142" i="32"/>
  <c r="G142" i="32" s="1"/>
  <c r="H142" i="32" s="1"/>
  <c r="I142" i="32" s="1"/>
  <c r="J142" i="32" s="1"/>
  <c r="K142" i="32" s="1"/>
  <c r="L142" i="32" s="1"/>
  <c r="M142" i="32" s="1"/>
  <c r="N142" i="32" s="1"/>
  <c r="O142" i="32" s="1"/>
  <c r="P142" i="32" s="1"/>
  <c r="C142" i="32"/>
  <c r="D142" i="32" s="1"/>
  <c r="E142" i="32" s="1"/>
  <c r="AA141" i="32"/>
  <c r="AB141" i="32" s="1"/>
  <c r="AC141" i="32" s="1"/>
  <c r="AD141" i="32" s="1"/>
  <c r="AE141" i="32" s="1"/>
  <c r="AF141" i="32" s="1"/>
  <c r="H141" i="32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F141" i="32"/>
  <c r="G141" i="32" s="1"/>
  <c r="E141" i="32"/>
  <c r="C141" i="32"/>
  <c r="D141" i="32" s="1"/>
  <c r="AB140" i="32"/>
  <c r="AC140" i="32" s="1"/>
  <c r="AD140" i="32" s="1"/>
  <c r="AE140" i="32" s="1"/>
  <c r="AF140" i="32" s="1"/>
  <c r="C140" i="32"/>
  <c r="D140" i="32" s="1"/>
  <c r="E140" i="32" s="1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P139" i="32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C139" i="32"/>
  <c r="D139" i="32" s="1"/>
  <c r="E139" i="32" s="1"/>
  <c r="F139" i="32" s="1"/>
  <c r="G139" i="32" s="1"/>
  <c r="H139" i="32" s="1"/>
  <c r="I139" i="32" s="1"/>
  <c r="J139" i="32" s="1"/>
  <c r="K139" i="32" s="1"/>
  <c r="L139" i="32" s="1"/>
  <c r="M139" i="32" s="1"/>
  <c r="N139" i="32" s="1"/>
  <c r="O139" i="32" s="1"/>
  <c r="H138" i="32"/>
  <c r="I138" i="32" s="1"/>
  <c r="J138" i="32" s="1"/>
  <c r="K138" i="32" s="1"/>
  <c r="L138" i="32" s="1"/>
  <c r="M138" i="32" s="1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AF138" i="32" s="1"/>
  <c r="F138" i="32"/>
  <c r="G138" i="32" s="1"/>
  <c r="E138" i="32"/>
  <c r="C138" i="32"/>
  <c r="D138" i="32" s="1"/>
  <c r="AC137" i="32"/>
  <c r="AD137" i="32" s="1"/>
  <c r="AE137" i="32" s="1"/>
  <c r="AF137" i="32" s="1"/>
  <c r="H137" i="32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C137" i="32"/>
  <c r="D137" i="32" s="1"/>
  <c r="E137" i="32" s="1"/>
  <c r="F137" i="32" s="1"/>
  <c r="G137" i="32" s="1"/>
  <c r="T136" i="32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L136" i="32"/>
  <c r="M136" i="32" s="1"/>
  <c r="N136" i="32" s="1"/>
  <c r="O136" i="32" s="1"/>
  <c r="P136" i="32" s="1"/>
  <c r="Q136" i="32" s="1"/>
  <c r="R136" i="32" s="1"/>
  <c r="S136" i="32" s="1"/>
  <c r="F136" i="32"/>
  <c r="G136" i="32" s="1"/>
  <c r="H136" i="32" s="1"/>
  <c r="I136" i="32" s="1"/>
  <c r="J136" i="32" s="1"/>
  <c r="K136" i="32" s="1"/>
  <c r="E136" i="32"/>
  <c r="D136" i="32"/>
  <c r="C136" i="32"/>
  <c r="E135" i="32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D135" i="32"/>
  <c r="C135" i="32"/>
  <c r="L134" i="32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C134" i="32"/>
  <c r="D134" i="32" s="1"/>
  <c r="E134" i="32" s="1"/>
  <c r="F134" i="32" s="1"/>
  <c r="G134" i="32" s="1"/>
  <c r="H134" i="32" s="1"/>
  <c r="I134" i="32" s="1"/>
  <c r="J134" i="32" s="1"/>
  <c r="K134" i="32" s="1"/>
  <c r="G133" i="32"/>
  <c r="H133" i="32" s="1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F133" i="32"/>
  <c r="E133" i="32"/>
  <c r="C133" i="32"/>
  <c r="D133" i="32" s="1"/>
  <c r="P132" i="32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K132" i="32"/>
  <c r="L132" i="32" s="1"/>
  <c r="M132" i="32" s="1"/>
  <c r="N132" i="32" s="1"/>
  <c r="O132" i="32" s="1"/>
  <c r="F132" i="32"/>
  <c r="G132" i="32" s="1"/>
  <c r="H132" i="32" s="1"/>
  <c r="I132" i="32" s="1"/>
  <c r="J132" i="32" s="1"/>
  <c r="E132" i="32"/>
  <c r="D132" i="32"/>
  <c r="C132" i="32"/>
  <c r="J131" i="32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D131" i="32"/>
  <c r="E131" i="32" s="1"/>
  <c r="F131" i="32" s="1"/>
  <c r="G131" i="32" s="1"/>
  <c r="H131" i="32" s="1"/>
  <c r="I131" i="32" s="1"/>
  <c r="C131" i="32"/>
  <c r="G130" i="32"/>
  <c r="H130" i="32" s="1"/>
  <c r="I130" i="32" s="1"/>
  <c r="J130" i="32" s="1"/>
  <c r="K130" i="32" s="1"/>
  <c r="L130" i="32" s="1"/>
  <c r="M130" i="32" s="1"/>
  <c r="N130" i="32" s="1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D130" i="32"/>
  <c r="E130" i="32" s="1"/>
  <c r="F130" i="32" s="1"/>
  <c r="C130" i="32"/>
  <c r="C129" i="32"/>
  <c r="D129" i="32" s="1"/>
  <c r="E129" i="32" s="1"/>
  <c r="F129" i="32" s="1"/>
  <c r="G129" i="32" s="1"/>
  <c r="H129" i="32" s="1"/>
  <c r="I129" i="32" s="1"/>
  <c r="J129" i="32" s="1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E128" i="32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D128" i="32"/>
  <c r="C128" i="32"/>
  <c r="K127" i="32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F127" i="32"/>
  <c r="G127" i="32" s="1"/>
  <c r="H127" i="32" s="1"/>
  <c r="I127" i="32" s="1"/>
  <c r="J127" i="32" s="1"/>
  <c r="C127" i="32"/>
  <c r="D127" i="32" s="1"/>
  <c r="E127" i="32" s="1"/>
  <c r="G126" i="32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D126" i="32"/>
  <c r="E126" i="32" s="1"/>
  <c r="F126" i="32" s="1"/>
  <c r="C126" i="32"/>
  <c r="M125" i="32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C125" i="32"/>
  <c r="D125" i="32" s="1"/>
  <c r="E125" i="32" s="1"/>
  <c r="F125" i="32" s="1"/>
  <c r="G125" i="32" s="1"/>
  <c r="H125" i="32" s="1"/>
  <c r="I125" i="32" s="1"/>
  <c r="J125" i="32" s="1"/>
  <c r="K125" i="32" s="1"/>
  <c r="L125" i="32" s="1"/>
  <c r="N124" i="32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E124" i="32"/>
  <c r="F124" i="32" s="1"/>
  <c r="G124" i="32" s="1"/>
  <c r="H124" i="32" s="1"/>
  <c r="I124" i="32" s="1"/>
  <c r="J124" i="32" s="1"/>
  <c r="K124" i="32" s="1"/>
  <c r="L124" i="32" s="1"/>
  <c r="M124" i="32" s="1"/>
  <c r="D124" i="32"/>
  <c r="C124" i="32"/>
  <c r="D123" i="32"/>
  <c r="E123" i="32" s="1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C123" i="32"/>
  <c r="K122" i="32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J122" i="32"/>
  <c r="E122" i="32"/>
  <c r="F122" i="32" s="1"/>
  <c r="G122" i="32" s="1"/>
  <c r="H122" i="32" s="1"/>
  <c r="I122" i="32" s="1"/>
  <c r="D122" i="32"/>
  <c r="C122" i="32"/>
  <c r="G121" i="32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E121" i="32"/>
  <c r="F121" i="32" s="1"/>
  <c r="D121" i="32"/>
  <c r="C121" i="32"/>
  <c r="E120" i="32"/>
  <c r="F120" i="32" s="1"/>
  <c r="G120" i="32" s="1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C120" i="32"/>
  <c r="D120" i="32" s="1"/>
  <c r="C119" i="32"/>
  <c r="D119" i="32" s="1"/>
  <c r="E119" i="32" s="1"/>
  <c r="F119" i="32" s="1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J118" i="32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F118" i="32"/>
  <c r="G118" i="32" s="1"/>
  <c r="H118" i="32" s="1"/>
  <c r="I118" i="32" s="1"/>
  <c r="C118" i="32"/>
  <c r="D118" i="32" s="1"/>
  <c r="E118" i="32" s="1"/>
  <c r="D117" i="32"/>
  <c r="E117" i="32" s="1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C117" i="32"/>
  <c r="G116" i="32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F116" i="32"/>
  <c r="E116" i="32"/>
  <c r="C116" i="32"/>
  <c r="D116" i="32" s="1"/>
  <c r="D115" i="32"/>
  <c r="E115" i="32" s="1"/>
  <c r="F115" i="32" s="1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C115" i="32"/>
  <c r="C114" i="32"/>
  <c r="D114" i="32" s="1"/>
  <c r="E114" i="32" s="1"/>
  <c r="F114" i="32" s="1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G113" i="32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D113" i="32"/>
  <c r="E113" i="32" s="1"/>
  <c r="F113" i="32" s="1"/>
  <c r="C113" i="32"/>
  <c r="J112" i="32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I112" i="32"/>
  <c r="E112" i="32"/>
  <c r="F112" i="32" s="1"/>
  <c r="G112" i="32" s="1"/>
  <c r="H112" i="32" s="1"/>
  <c r="C112" i="32"/>
  <c r="D112" i="32" s="1"/>
  <c r="C111" i="32"/>
  <c r="D111" i="32" s="1"/>
  <c r="E111" i="32" s="1"/>
  <c r="F111" i="32" s="1"/>
  <c r="G111" i="32" s="1"/>
  <c r="H111" i="32" s="1"/>
  <c r="I111" i="32" s="1"/>
  <c r="J111" i="32" s="1"/>
  <c r="K111" i="32" s="1"/>
  <c r="L111" i="32" s="1"/>
  <c r="M111" i="32" s="1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I110" i="32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F110" i="32"/>
  <c r="G110" i="32" s="1"/>
  <c r="H110" i="32" s="1"/>
  <c r="E110" i="32"/>
  <c r="C110" i="32"/>
  <c r="D110" i="32" s="1"/>
  <c r="C109" i="32"/>
  <c r="D109" i="32" s="1"/>
  <c r="E109" i="32" s="1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V108" i="32"/>
  <c r="W108" i="32" s="1"/>
  <c r="X108" i="32" s="1"/>
  <c r="Y108" i="32" s="1"/>
  <c r="Z108" i="32" s="1"/>
  <c r="AA108" i="32" s="1"/>
  <c r="AB108" i="32" s="1"/>
  <c r="AC108" i="32" s="1"/>
  <c r="AD108" i="32" s="1"/>
  <c r="AE108" i="32" s="1"/>
  <c r="AF108" i="32" s="1"/>
  <c r="G108" i="32"/>
  <c r="H108" i="32" s="1"/>
  <c r="I108" i="32" s="1"/>
  <c r="J108" i="32" s="1"/>
  <c r="K108" i="32" s="1"/>
  <c r="L108" i="32" s="1"/>
  <c r="M108" i="32" s="1"/>
  <c r="N108" i="32" s="1"/>
  <c r="O108" i="32" s="1"/>
  <c r="P108" i="32" s="1"/>
  <c r="Q108" i="32" s="1"/>
  <c r="R108" i="32" s="1"/>
  <c r="S108" i="32" s="1"/>
  <c r="T108" i="32" s="1"/>
  <c r="U108" i="32" s="1"/>
  <c r="E108" i="32"/>
  <c r="F108" i="32" s="1"/>
  <c r="C108" i="32"/>
  <c r="D108" i="32" s="1"/>
  <c r="K107" i="32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E107" i="32"/>
  <c r="F107" i="32" s="1"/>
  <c r="G107" i="32" s="1"/>
  <c r="H107" i="32" s="1"/>
  <c r="I107" i="32" s="1"/>
  <c r="J107" i="32" s="1"/>
  <c r="C107" i="32"/>
  <c r="D107" i="32" s="1"/>
  <c r="S106" i="32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G106" i="32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C106" i="32"/>
  <c r="D106" i="32" s="1"/>
  <c r="E106" i="32" s="1"/>
  <c r="F106" i="32" s="1"/>
  <c r="AB105" i="32"/>
  <c r="AC105" i="32" s="1"/>
  <c r="AD105" i="32" s="1"/>
  <c r="AE105" i="32" s="1"/>
  <c r="AF105" i="32" s="1"/>
  <c r="G105" i="32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E105" i="32"/>
  <c r="F105" i="32" s="1"/>
  <c r="D105" i="32"/>
  <c r="C105" i="32"/>
  <c r="U104" i="32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G104" i="32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E104" i="32"/>
  <c r="F104" i="32" s="1"/>
  <c r="C104" i="32"/>
  <c r="D104" i="32" s="1"/>
  <c r="H103" i="32"/>
  <c r="I103" i="32" s="1"/>
  <c r="J103" i="32" s="1"/>
  <c r="K103" i="32" s="1"/>
  <c r="L103" i="32" s="1"/>
  <c r="M103" i="32" s="1"/>
  <c r="N103" i="32" s="1"/>
  <c r="O103" i="32" s="1"/>
  <c r="P103" i="32" s="1"/>
  <c r="Q103" i="32" s="1"/>
  <c r="R103" i="32" s="1"/>
  <c r="S103" i="32" s="1"/>
  <c r="T103" i="32" s="1"/>
  <c r="U103" i="32" s="1"/>
  <c r="V103" i="32" s="1"/>
  <c r="W103" i="32" s="1"/>
  <c r="X103" i="32" s="1"/>
  <c r="Y103" i="32" s="1"/>
  <c r="Z103" i="32" s="1"/>
  <c r="AA103" i="32" s="1"/>
  <c r="AB103" i="32" s="1"/>
  <c r="AC103" i="32" s="1"/>
  <c r="AD103" i="32" s="1"/>
  <c r="AE103" i="32" s="1"/>
  <c r="AF103" i="32" s="1"/>
  <c r="C103" i="32"/>
  <c r="D103" i="32" s="1"/>
  <c r="E103" i="32" s="1"/>
  <c r="F103" i="32" s="1"/>
  <c r="G103" i="32" s="1"/>
  <c r="G102" i="32"/>
  <c r="H102" i="32" s="1"/>
  <c r="I102" i="32" s="1"/>
  <c r="J102" i="32" s="1"/>
  <c r="K102" i="32" s="1"/>
  <c r="L102" i="32" s="1"/>
  <c r="M102" i="32" s="1"/>
  <c r="N102" i="32" s="1"/>
  <c r="O102" i="32" s="1"/>
  <c r="P102" i="32" s="1"/>
  <c r="Q102" i="32" s="1"/>
  <c r="R102" i="32" s="1"/>
  <c r="S102" i="32" s="1"/>
  <c r="T102" i="32" s="1"/>
  <c r="U102" i="32" s="1"/>
  <c r="V102" i="32" s="1"/>
  <c r="W102" i="32" s="1"/>
  <c r="X102" i="32" s="1"/>
  <c r="Y102" i="32" s="1"/>
  <c r="Z102" i="32" s="1"/>
  <c r="AA102" i="32" s="1"/>
  <c r="AB102" i="32" s="1"/>
  <c r="AC102" i="32" s="1"/>
  <c r="AD102" i="32" s="1"/>
  <c r="AE102" i="32" s="1"/>
  <c r="AF102" i="32" s="1"/>
  <c r="E102" i="32"/>
  <c r="F102" i="32" s="1"/>
  <c r="C102" i="32"/>
  <c r="D102" i="32" s="1"/>
  <c r="C101" i="32"/>
  <c r="D101" i="32" s="1"/>
  <c r="E101" i="32" s="1"/>
  <c r="F101" i="32" s="1"/>
  <c r="G101" i="32" s="1"/>
  <c r="H101" i="32" s="1"/>
  <c r="I101" i="32" s="1"/>
  <c r="J101" i="32" s="1"/>
  <c r="K101" i="32" s="1"/>
  <c r="L101" i="32" s="1"/>
  <c r="M101" i="32" s="1"/>
  <c r="N101" i="32" s="1"/>
  <c r="O101" i="32" s="1"/>
  <c r="P101" i="32" s="1"/>
  <c r="Q101" i="32" s="1"/>
  <c r="R101" i="32" s="1"/>
  <c r="S101" i="32" s="1"/>
  <c r="T101" i="32" s="1"/>
  <c r="U101" i="32" s="1"/>
  <c r="V101" i="32" s="1"/>
  <c r="W101" i="32" s="1"/>
  <c r="X101" i="32" s="1"/>
  <c r="Y101" i="32" s="1"/>
  <c r="Z101" i="32" s="1"/>
  <c r="AA101" i="32" s="1"/>
  <c r="AB101" i="32" s="1"/>
  <c r="AC101" i="32" s="1"/>
  <c r="AD101" i="32" s="1"/>
  <c r="AE101" i="32" s="1"/>
  <c r="AF101" i="32" s="1"/>
  <c r="L100" i="32"/>
  <c r="M100" i="32" s="1"/>
  <c r="N100" i="32" s="1"/>
  <c r="O100" i="32" s="1"/>
  <c r="P100" i="32" s="1"/>
  <c r="Q100" i="32" s="1"/>
  <c r="R100" i="32" s="1"/>
  <c r="S100" i="32" s="1"/>
  <c r="T100" i="32" s="1"/>
  <c r="U100" i="32" s="1"/>
  <c r="V100" i="32" s="1"/>
  <c r="W100" i="32" s="1"/>
  <c r="X100" i="32" s="1"/>
  <c r="Y100" i="32" s="1"/>
  <c r="Z100" i="32" s="1"/>
  <c r="AA100" i="32" s="1"/>
  <c r="AB100" i="32" s="1"/>
  <c r="AC100" i="32" s="1"/>
  <c r="AD100" i="32" s="1"/>
  <c r="AE100" i="32" s="1"/>
  <c r="AF100" i="32" s="1"/>
  <c r="K100" i="32"/>
  <c r="J100" i="32"/>
  <c r="H100" i="32"/>
  <c r="D100" i="32"/>
  <c r="E100" i="32" s="1"/>
  <c r="F100" i="32" s="1"/>
  <c r="G100" i="32" s="1"/>
  <c r="C100" i="32"/>
  <c r="D99" i="32"/>
  <c r="E99" i="32" s="1"/>
  <c r="F99" i="32" s="1"/>
  <c r="G99" i="32" s="1"/>
  <c r="H99" i="32" s="1"/>
  <c r="I99" i="32" s="1"/>
  <c r="J99" i="32" s="1"/>
  <c r="K99" i="32" s="1"/>
  <c r="L99" i="32" s="1"/>
  <c r="M99" i="32" s="1"/>
  <c r="N99" i="32" s="1"/>
  <c r="O99" i="32" s="1"/>
  <c r="P99" i="32" s="1"/>
  <c r="Q99" i="32" s="1"/>
  <c r="R99" i="32" s="1"/>
  <c r="S99" i="32" s="1"/>
  <c r="T99" i="32" s="1"/>
  <c r="U99" i="32" s="1"/>
  <c r="V99" i="32" s="1"/>
  <c r="W99" i="32" s="1"/>
  <c r="X99" i="32" s="1"/>
  <c r="Y99" i="32" s="1"/>
  <c r="Z99" i="32" s="1"/>
  <c r="AA99" i="32" s="1"/>
  <c r="AB99" i="32" s="1"/>
  <c r="AC99" i="32" s="1"/>
  <c r="AD99" i="32" s="1"/>
  <c r="AE99" i="32" s="1"/>
  <c r="AF99" i="32" s="1"/>
  <c r="C99" i="32"/>
  <c r="F98" i="32"/>
  <c r="G98" i="32" s="1"/>
  <c r="H98" i="32" s="1"/>
  <c r="I98" i="32" s="1"/>
  <c r="J98" i="32" s="1"/>
  <c r="K98" i="32" s="1"/>
  <c r="L98" i="32" s="1"/>
  <c r="M98" i="32" s="1"/>
  <c r="N98" i="32" s="1"/>
  <c r="O98" i="32" s="1"/>
  <c r="P98" i="32" s="1"/>
  <c r="Q98" i="32" s="1"/>
  <c r="R98" i="32" s="1"/>
  <c r="S98" i="32" s="1"/>
  <c r="T98" i="32" s="1"/>
  <c r="U98" i="32" s="1"/>
  <c r="V98" i="32" s="1"/>
  <c r="W98" i="32" s="1"/>
  <c r="X98" i="32" s="1"/>
  <c r="Y98" i="32" s="1"/>
  <c r="Z98" i="32" s="1"/>
  <c r="AA98" i="32" s="1"/>
  <c r="AB98" i="32" s="1"/>
  <c r="AC98" i="32" s="1"/>
  <c r="AD98" i="32" s="1"/>
  <c r="AE98" i="32" s="1"/>
  <c r="AF98" i="32" s="1"/>
  <c r="E98" i="32"/>
  <c r="D98" i="32"/>
  <c r="C98" i="32"/>
  <c r="H97" i="32"/>
  <c r="I97" i="32" s="1"/>
  <c r="J97" i="32" s="1"/>
  <c r="K97" i="32" s="1"/>
  <c r="L97" i="32" s="1"/>
  <c r="M97" i="32" s="1"/>
  <c r="N97" i="32" s="1"/>
  <c r="O97" i="32" s="1"/>
  <c r="P97" i="32" s="1"/>
  <c r="Q97" i="32" s="1"/>
  <c r="R97" i="32" s="1"/>
  <c r="S97" i="32" s="1"/>
  <c r="T97" i="32" s="1"/>
  <c r="U97" i="32" s="1"/>
  <c r="V97" i="32" s="1"/>
  <c r="W97" i="32" s="1"/>
  <c r="X97" i="32" s="1"/>
  <c r="Y97" i="32" s="1"/>
  <c r="Z97" i="32" s="1"/>
  <c r="AA97" i="32" s="1"/>
  <c r="AB97" i="32" s="1"/>
  <c r="AC97" i="32" s="1"/>
  <c r="AD97" i="32" s="1"/>
  <c r="AE97" i="32" s="1"/>
  <c r="AF97" i="32" s="1"/>
  <c r="F97" i="32"/>
  <c r="G97" i="32" s="1"/>
  <c r="D97" i="32"/>
  <c r="E97" i="32" s="1"/>
  <c r="C97" i="32"/>
  <c r="P96" i="32"/>
  <c r="Q96" i="32" s="1"/>
  <c r="R96" i="32" s="1"/>
  <c r="S96" i="32" s="1"/>
  <c r="T96" i="32" s="1"/>
  <c r="U96" i="32" s="1"/>
  <c r="V96" i="32" s="1"/>
  <c r="W96" i="32" s="1"/>
  <c r="X96" i="32" s="1"/>
  <c r="Y96" i="32" s="1"/>
  <c r="Z96" i="32" s="1"/>
  <c r="AA96" i="32" s="1"/>
  <c r="AB96" i="32" s="1"/>
  <c r="AC96" i="32" s="1"/>
  <c r="AD96" i="32" s="1"/>
  <c r="AE96" i="32" s="1"/>
  <c r="AF96" i="32" s="1"/>
  <c r="C96" i="32"/>
  <c r="D96" i="32" s="1"/>
  <c r="E96" i="32" s="1"/>
  <c r="F96" i="32" s="1"/>
  <c r="G96" i="32" s="1"/>
  <c r="H96" i="32" s="1"/>
  <c r="I96" i="32" s="1"/>
  <c r="J96" i="32" s="1"/>
  <c r="K96" i="32" s="1"/>
  <c r="L96" i="32" s="1"/>
  <c r="M96" i="32" s="1"/>
  <c r="N96" i="32" s="1"/>
  <c r="O96" i="32" s="1"/>
  <c r="C95" i="32"/>
  <c r="D95" i="32" s="1"/>
  <c r="E94" i="32"/>
  <c r="F94" i="32" s="1"/>
  <c r="G94" i="32" s="1"/>
  <c r="H94" i="32" s="1"/>
  <c r="I94" i="32" s="1"/>
  <c r="J94" i="32" s="1"/>
  <c r="K94" i="32" s="1"/>
  <c r="L94" i="32" s="1"/>
  <c r="M94" i="32" s="1"/>
  <c r="N94" i="32" s="1"/>
  <c r="O94" i="32" s="1"/>
  <c r="P94" i="32" s="1"/>
  <c r="Q94" i="32" s="1"/>
  <c r="R94" i="32" s="1"/>
  <c r="S94" i="32" s="1"/>
  <c r="T94" i="32" s="1"/>
  <c r="U94" i="32" s="1"/>
  <c r="V94" i="32" s="1"/>
  <c r="W94" i="32" s="1"/>
  <c r="X94" i="32" s="1"/>
  <c r="Y94" i="32" s="1"/>
  <c r="Z94" i="32" s="1"/>
  <c r="AA94" i="32" s="1"/>
  <c r="AB94" i="32" s="1"/>
  <c r="AC94" i="32" s="1"/>
  <c r="AD94" i="32" s="1"/>
  <c r="AE94" i="32" s="1"/>
  <c r="AF94" i="32" s="1"/>
  <c r="D94" i="32"/>
  <c r="C94" i="32"/>
  <c r="C93" i="32"/>
  <c r="D93" i="32" s="1"/>
  <c r="E93" i="32" s="1"/>
  <c r="F93" i="32" s="1"/>
  <c r="G93" i="32" s="1"/>
  <c r="H93" i="32" s="1"/>
  <c r="I93" i="32" s="1"/>
  <c r="J93" i="32" s="1"/>
  <c r="K93" i="32" s="1"/>
  <c r="L93" i="32" s="1"/>
  <c r="M93" i="32" s="1"/>
  <c r="N93" i="32" s="1"/>
  <c r="O93" i="32" s="1"/>
  <c r="P93" i="32" s="1"/>
  <c r="Q93" i="32" s="1"/>
  <c r="R93" i="32" s="1"/>
  <c r="S93" i="32" s="1"/>
  <c r="T93" i="32" s="1"/>
  <c r="U93" i="32" s="1"/>
  <c r="V93" i="32" s="1"/>
  <c r="W93" i="32" s="1"/>
  <c r="X93" i="32" s="1"/>
  <c r="Y93" i="32" s="1"/>
  <c r="Z93" i="32" s="1"/>
  <c r="AA93" i="32" s="1"/>
  <c r="AB93" i="32" s="1"/>
  <c r="AC93" i="32" s="1"/>
  <c r="AD93" i="32" s="1"/>
  <c r="AE93" i="32" s="1"/>
  <c r="AF93" i="32" s="1"/>
  <c r="D92" i="32"/>
  <c r="E92" i="32" s="1"/>
  <c r="F92" i="32" s="1"/>
  <c r="G92" i="32" s="1"/>
  <c r="H92" i="32" s="1"/>
  <c r="I92" i="32" s="1"/>
  <c r="J92" i="32" s="1"/>
  <c r="K92" i="32" s="1"/>
  <c r="L92" i="32" s="1"/>
  <c r="M92" i="32" s="1"/>
  <c r="N92" i="32" s="1"/>
  <c r="O92" i="32" s="1"/>
  <c r="P92" i="32" s="1"/>
  <c r="Q92" i="32" s="1"/>
  <c r="R92" i="32" s="1"/>
  <c r="S92" i="32" s="1"/>
  <c r="T92" i="32" s="1"/>
  <c r="U92" i="32" s="1"/>
  <c r="V92" i="32" s="1"/>
  <c r="W92" i="32" s="1"/>
  <c r="X92" i="32" s="1"/>
  <c r="Y92" i="32" s="1"/>
  <c r="Z92" i="32" s="1"/>
  <c r="AA92" i="32" s="1"/>
  <c r="AB92" i="32" s="1"/>
  <c r="AC92" i="32" s="1"/>
  <c r="AD92" i="32" s="1"/>
  <c r="AE92" i="32" s="1"/>
  <c r="AF92" i="32" s="1"/>
  <c r="C92" i="32"/>
  <c r="C91" i="32"/>
  <c r="D91" i="32" s="1"/>
  <c r="E91" i="32" s="1"/>
  <c r="F91" i="32" s="1"/>
  <c r="G91" i="32" s="1"/>
  <c r="H91" i="32" s="1"/>
  <c r="I91" i="32" s="1"/>
  <c r="J91" i="32" s="1"/>
  <c r="K91" i="32" s="1"/>
  <c r="L91" i="32" s="1"/>
  <c r="M91" i="32" s="1"/>
  <c r="N91" i="32" s="1"/>
  <c r="O91" i="32" s="1"/>
  <c r="P91" i="32" s="1"/>
  <c r="Q91" i="32" s="1"/>
  <c r="R91" i="32" s="1"/>
  <c r="S91" i="32" s="1"/>
  <c r="T91" i="32" s="1"/>
  <c r="U91" i="32" s="1"/>
  <c r="V91" i="32" s="1"/>
  <c r="W91" i="32" s="1"/>
  <c r="X91" i="32" s="1"/>
  <c r="Y91" i="32" s="1"/>
  <c r="Z91" i="32" s="1"/>
  <c r="AA91" i="32" s="1"/>
  <c r="AB91" i="32" s="1"/>
  <c r="AC91" i="32" s="1"/>
  <c r="AD91" i="32" s="1"/>
  <c r="AE91" i="32" s="1"/>
  <c r="AF91" i="32" s="1"/>
  <c r="D90" i="32"/>
  <c r="C90" i="32"/>
  <c r="AH87" i="32"/>
  <c r="AI87" i="32" s="1"/>
  <c r="AH86" i="32"/>
  <c r="AI86" i="32" s="1"/>
  <c r="AH85" i="32"/>
  <c r="AI85" i="32" s="1"/>
  <c r="AH84" i="32"/>
  <c r="AI84" i="32" s="1"/>
  <c r="AH83" i="32"/>
  <c r="AI83" i="32" s="1"/>
  <c r="B82" i="32"/>
  <c r="AF80" i="32"/>
  <c r="AE80" i="32"/>
  <c r="AD80" i="32"/>
  <c r="AC80" i="32"/>
  <c r="AB80" i="32"/>
  <c r="AA80" i="32"/>
  <c r="Z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C80" i="32"/>
  <c r="B80" i="32"/>
  <c r="AI79" i="32"/>
  <c r="AH79" i="32"/>
  <c r="AI78" i="32"/>
  <c r="AH78" i="32"/>
  <c r="AI77" i="32"/>
  <c r="AH77" i="32"/>
  <c r="AI76" i="32"/>
  <c r="AH76" i="32"/>
  <c r="AI75" i="32"/>
  <c r="AH75" i="32"/>
  <c r="AI74" i="32"/>
  <c r="AH74" i="32"/>
  <c r="AI73" i="32"/>
  <c r="AH73" i="32"/>
  <c r="AI72" i="32"/>
  <c r="AH72" i="32"/>
  <c r="AG71" i="32"/>
  <c r="AI70" i="32"/>
  <c r="AH70" i="32"/>
  <c r="AF69" i="32"/>
  <c r="AE69" i="32"/>
  <c r="AD69" i="32"/>
  <c r="AC69" i="32"/>
  <c r="AB69" i="32"/>
  <c r="AA69" i="32"/>
  <c r="Z69" i="32"/>
  <c r="Y69" i="32"/>
  <c r="X69" i="32"/>
  <c r="W69" i="32"/>
  <c r="V69" i="32"/>
  <c r="U69" i="32"/>
  <c r="T69" i="32"/>
  <c r="S69" i="32"/>
  <c r="R69" i="32"/>
  <c r="Q69" i="32"/>
  <c r="P69" i="32"/>
  <c r="O69" i="32"/>
  <c r="N69" i="32"/>
  <c r="M69" i="32"/>
  <c r="L69" i="32"/>
  <c r="K69" i="32"/>
  <c r="J69" i="32"/>
  <c r="I69" i="32"/>
  <c r="H69" i="32"/>
  <c r="G69" i="32"/>
  <c r="F69" i="32"/>
  <c r="E69" i="32"/>
  <c r="D69" i="32"/>
  <c r="C69" i="32"/>
  <c r="B69" i="32"/>
  <c r="AF68" i="32"/>
  <c r="AE68" i="32"/>
  <c r="AD68" i="32"/>
  <c r="AC68" i="32"/>
  <c r="AB68" i="32"/>
  <c r="AA68" i="32"/>
  <c r="Z68" i="32"/>
  <c r="Y68" i="32"/>
  <c r="X68" i="32"/>
  <c r="W68" i="32"/>
  <c r="V68" i="32"/>
  <c r="U68" i="32"/>
  <c r="T68" i="32"/>
  <c r="S68" i="32"/>
  <c r="R68" i="32"/>
  <c r="Q68" i="32"/>
  <c r="P68" i="32"/>
  <c r="O68" i="32"/>
  <c r="N68" i="32"/>
  <c r="M68" i="32"/>
  <c r="L68" i="32"/>
  <c r="K68" i="32"/>
  <c r="J68" i="32"/>
  <c r="I68" i="32"/>
  <c r="H68" i="32"/>
  <c r="G68" i="32"/>
  <c r="F68" i="32"/>
  <c r="E68" i="32"/>
  <c r="D68" i="32"/>
  <c r="C68" i="32"/>
  <c r="B68" i="32"/>
  <c r="AF67" i="32"/>
  <c r="AF71" i="32" s="1"/>
  <c r="AE67" i="32"/>
  <c r="AD67" i="32"/>
  <c r="AC67" i="32"/>
  <c r="AB67" i="32"/>
  <c r="AA67" i="32"/>
  <c r="Z67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E71" i="32" s="1"/>
  <c r="D67" i="32"/>
  <c r="D71" i="32" s="1"/>
  <c r="C67" i="32"/>
  <c r="B67" i="32"/>
  <c r="AF66" i="32"/>
  <c r="AE66" i="32"/>
  <c r="AE71" i="32" s="1"/>
  <c r="AD66" i="32"/>
  <c r="AC66" i="32"/>
  <c r="AB66" i="32"/>
  <c r="AA66" i="32"/>
  <c r="AA71" i="32" s="1"/>
  <c r="Z66" i="32"/>
  <c r="Y66" i="32"/>
  <c r="X66" i="32"/>
  <c r="W66" i="32"/>
  <c r="W71" i="32" s="1"/>
  <c r="V66" i="32"/>
  <c r="U66" i="32"/>
  <c r="T66" i="32"/>
  <c r="S66" i="32"/>
  <c r="R66" i="32"/>
  <c r="Q66" i="32"/>
  <c r="Q71" i="32" s="1"/>
  <c r="P66" i="32"/>
  <c r="O66" i="32"/>
  <c r="N66" i="32"/>
  <c r="M66" i="32"/>
  <c r="L66" i="32"/>
  <c r="K66" i="32"/>
  <c r="J66" i="32"/>
  <c r="I66" i="32"/>
  <c r="H66" i="32"/>
  <c r="G66" i="32"/>
  <c r="G71" i="32" s="1"/>
  <c r="F66" i="32"/>
  <c r="E66" i="32"/>
  <c r="D66" i="32"/>
  <c r="C66" i="32"/>
  <c r="B66" i="32"/>
  <c r="AI64" i="32"/>
  <c r="AH64" i="32"/>
  <c r="AG63" i="32"/>
  <c r="AF63" i="32"/>
  <c r="AE63" i="32"/>
  <c r="AD63" i="32"/>
  <c r="AC63" i="32"/>
  <c r="AB63" i="32"/>
  <c r="AA63" i="32"/>
  <c r="Z63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AI63" i="32" s="1"/>
  <c r="B63" i="32"/>
  <c r="AI62" i="32"/>
  <c r="AH62" i="32"/>
  <c r="AI61" i="32"/>
  <c r="AH61" i="32"/>
  <c r="AI60" i="32"/>
  <c r="AH60" i="32"/>
  <c r="AG59" i="32"/>
  <c r="AF59" i="32"/>
  <c r="AE59" i="32"/>
  <c r="AE5" i="32" s="1"/>
  <c r="AD59" i="32"/>
  <c r="AC59" i="32"/>
  <c r="AB59" i="32"/>
  <c r="AA59" i="32"/>
  <c r="AA5" i="32" s="1"/>
  <c r="Z59" i="32"/>
  <c r="Y59" i="32"/>
  <c r="Y5" i="32" s="1"/>
  <c r="X59" i="32"/>
  <c r="W59" i="32"/>
  <c r="W5" i="32" s="1"/>
  <c r="V59" i="32"/>
  <c r="V5" i="32" s="1"/>
  <c r="U59" i="32"/>
  <c r="U5" i="32" s="1"/>
  <c r="T59" i="32"/>
  <c r="T5" i="32" s="1"/>
  <c r="S59" i="32"/>
  <c r="S5" i="32" s="1"/>
  <c r="R59" i="32"/>
  <c r="R5" i="32" s="1"/>
  <c r="Q59" i="32"/>
  <c r="Q5" i="32" s="1"/>
  <c r="P59" i="32"/>
  <c r="P5" i="32" s="1"/>
  <c r="O59" i="32"/>
  <c r="O5" i="32" s="1"/>
  <c r="N59" i="32"/>
  <c r="N5" i="32" s="1"/>
  <c r="M59" i="32"/>
  <c r="M5" i="32" s="1"/>
  <c r="L59" i="32"/>
  <c r="L5" i="32" s="1"/>
  <c r="K59" i="32"/>
  <c r="K5" i="32" s="1"/>
  <c r="J59" i="32"/>
  <c r="I59" i="32"/>
  <c r="I5" i="32" s="1"/>
  <c r="H59" i="32"/>
  <c r="H5" i="32" s="1"/>
  <c r="G59" i="32"/>
  <c r="G5" i="32" s="1"/>
  <c r="F59" i="32"/>
  <c r="F5" i="32" s="1"/>
  <c r="E59" i="32"/>
  <c r="E5" i="32" s="1"/>
  <c r="D59" i="32"/>
  <c r="D5" i="32" s="1"/>
  <c r="C59" i="32"/>
  <c r="B59" i="32"/>
  <c r="B5" i="32" s="1"/>
  <c r="AI58" i="32"/>
  <c r="AH58" i="32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B47" i="32"/>
  <c r="AI46" i="32"/>
  <c r="AH46" i="32"/>
  <c r="AI45" i="32"/>
  <c r="AH45" i="32"/>
  <c r="AI44" i="32"/>
  <c r="AH44" i="32"/>
  <c r="AG42" i="32"/>
  <c r="AG43" i="32" s="1"/>
  <c r="AG3" i="32" s="1"/>
  <c r="C42" i="32"/>
  <c r="C43" i="32" s="1"/>
  <c r="B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G30" i="32"/>
  <c r="AG2" i="32" s="1"/>
  <c r="AG6" i="32" s="1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F5" i="32"/>
  <c r="AD5" i="32"/>
  <c r="AC5" i="32"/>
  <c r="AB5" i="32"/>
  <c r="Z5" i="32"/>
  <c r="X5" i="32"/>
  <c r="J5" i="32"/>
  <c r="C5" i="32"/>
  <c r="AG4" i="32"/>
  <c r="K4" i="32"/>
  <c r="C4" i="32"/>
  <c r="AF71" i="34" l="1"/>
  <c r="AE71" i="34"/>
  <c r="AC71" i="34"/>
  <c r="AB71" i="34"/>
  <c r="AA71" i="34"/>
  <c r="Z71" i="34"/>
  <c r="Y71" i="34"/>
  <c r="S71" i="34"/>
  <c r="T71" i="34"/>
  <c r="U71" i="34"/>
  <c r="W71" i="34"/>
  <c r="X71" i="34"/>
  <c r="P71" i="34"/>
  <c r="Q71" i="34"/>
  <c r="O71" i="34"/>
  <c r="AI66" i="34"/>
  <c r="J71" i="34"/>
  <c r="I71" i="34"/>
  <c r="H71" i="34"/>
  <c r="AH68" i="34"/>
  <c r="AI68" i="34"/>
  <c r="AI69" i="34"/>
  <c r="D71" i="34"/>
  <c r="C71" i="34"/>
  <c r="AI80" i="34"/>
  <c r="AH47" i="34"/>
  <c r="AH30" i="34"/>
  <c r="AI59" i="34"/>
  <c r="AG3" i="34"/>
  <c r="AG6" i="34" s="1"/>
  <c r="AG65" i="34"/>
  <c r="AI30" i="34"/>
  <c r="AI47" i="34"/>
  <c r="AI67" i="34"/>
  <c r="B43" i="34"/>
  <c r="E82" i="34"/>
  <c r="F94" i="34"/>
  <c r="D190" i="34"/>
  <c r="S190" i="34"/>
  <c r="D4" i="34"/>
  <c r="F171" i="34"/>
  <c r="G89" i="34"/>
  <c r="E71" i="34"/>
  <c r="M71" i="34"/>
  <c r="AH59" i="34"/>
  <c r="F71" i="34"/>
  <c r="N71" i="34"/>
  <c r="V71" i="34"/>
  <c r="AD71" i="34"/>
  <c r="B71" i="34"/>
  <c r="AH66" i="34"/>
  <c r="AH80" i="34"/>
  <c r="AH67" i="34"/>
  <c r="C5" i="34"/>
  <c r="AH69" i="34"/>
  <c r="C171" i="34"/>
  <c r="D171" i="34"/>
  <c r="E171" i="34"/>
  <c r="E173" i="34"/>
  <c r="D179" i="34"/>
  <c r="D42" i="34" s="1"/>
  <c r="D43" i="34" s="1"/>
  <c r="D65" i="34" s="1"/>
  <c r="E214" i="34"/>
  <c r="F178" i="34"/>
  <c r="C179" i="34"/>
  <c r="C42" i="34" s="1"/>
  <c r="C43" i="34" s="1"/>
  <c r="C65" i="34" s="1"/>
  <c r="C214" i="34"/>
  <c r="AA71" i="33"/>
  <c r="S71" i="33"/>
  <c r="Q71" i="33"/>
  <c r="N71" i="33"/>
  <c r="I71" i="33"/>
  <c r="G71" i="33"/>
  <c r="F71" i="33"/>
  <c r="H71" i="33"/>
  <c r="K71" i="33"/>
  <c r="AH69" i="33"/>
  <c r="AI69" i="33"/>
  <c r="AI47" i="33"/>
  <c r="C71" i="33"/>
  <c r="AH67" i="33"/>
  <c r="S190" i="33"/>
  <c r="D190" i="33"/>
  <c r="D4" i="33"/>
  <c r="D71" i="33"/>
  <c r="L71" i="33"/>
  <c r="T71" i="33"/>
  <c r="AB71" i="33"/>
  <c r="AH80" i="33"/>
  <c r="E71" i="33"/>
  <c r="AH66" i="33"/>
  <c r="M71" i="33"/>
  <c r="U71" i="33"/>
  <c r="AC71" i="33"/>
  <c r="AI30" i="33"/>
  <c r="AH30" i="33"/>
  <c r="AH59" i="33"/>
  <c r="AI59" i="33"/>
  <c r="AI68" i="33"/>
  <c r="AH47" i="33"/>
  <c r="AI67" i="33"/>
  <c r="AI80" i="33"/>
  <c r="E89" i="33"/>
  <c r="AG6" i="33"/>
  <c r="AI66" i="33"/>
  <c r="J71" i="33"/>
  <c r="R71" i="33"/>
  <c r="Z71" i="33"/>
  <c r="B65" i="33"/>
  <c r="B71" i="33"/>
  <c r="AH68" i="33"/>
  <c r="D94" i="33"/>
  <c r="C171" i="33"/>
  <c r="F178" i="33"/>
  <c r="E214" i="33"/>
  <c r="E173" i="33"/>
  <c r="D179" i="33"/>
  <c r="D42" i="33" s="1"/>
  <c r="D43" i="33" s="1"/>
  <c r="D65" i="33" s="1"/>
  <c r="C179" i="33"/>
  <c r="C42" i="33" s="1"/>
  <c r="C43" i="33" s="1"/>
  <c r="AD71" i="32"/>
  <c r="AC71" i="32"/>
  <c r="Y71" i="32"/>
  <c r="X71" i="32"/>
  <c r="Z71" i="32"/>
  <c r="V71" i="32"/>
  <c r="U71" i="32"/>
  <c r="S71" i="32"/>
  <c r="R71" i="32"/>
  <c r="P71" i="32"/>
  <c r="O71" i="32"/>
  <c r="N71" i="32"/>
  <c r="M71" i="32"/>
  <c r="AH68" i="32"/>
  <c r="K71" i="32"/>
  <c r="J71" i="32"/>
  <c r="H71" i="32"/>
  <c r="C71" i="32"/>
  <c r="C65" i="32"/>
  <c r="U194" i="32" s="1"/>
  <c r="F71" i="32"/>
  <c r="I71" i="32"/>
  <c r="L71" i="32"/>
  <c r="AB71" i="32"/>
  <c r="AH30" i="32"/>
  <c r="AI30" i="32"/>
  <c r="AG65" i="32"/>
  <c r="AI66" i="32"/>
  <c r="AH67" i="32"/>
  <c r="AI68" i="32"/>
  <c r="AI69" i="32"/>
  <c r="E95" i="32"/>
  <c r="D82" i="32"/>
  <c r="AI80" i="32"/>
  <c r="AI67" i="32"/>
  <c r="AI59" i="32"/>
  <c r="AI47" i="32"/>
  <c r="T71" i="32"/>
  <c r="B43" i="32"/>
  <c r="B65" i="32" s="1"/>
  <c r="AH80" i="32"/>
  <c r="AH59" i="32"/>
  <c r="AH66" i="32"/>
  <c r="AH47" i="32"/>
  <c r="S191" i="32"/>
  <c r="D191" i="32"/>
  <c r="D4" i="32"/>
  <c r="AH63" i="32"/>
  <c r="AH69" i="32"/>
  <c r="C82" i="32"/>
  <c r="B71" i="32"/>
  <c r="C172" i="32"/>
  <c r="D172" i="32"/>
  <c r="E90" i="32"/>
  <c r="C215" i="32"/>
  <c r="D179" i="32"/>
  <c r="D174" i="32"/>
  <c r="V193" i="34" l="1"/>
  <c r="D7" i="34"/>
  <c r="G178" i="34"/>
  <c r="F214" i="34"/>
  <c r="G94" i="34"/>
  <c r="F82" i="34"/>
  <c r="E179" i="34"/>
  <c r="E42" i="34" s="1"/>
  <c r="E43" i="34" s="1"/>
  <c r="E65" i="34" s="1"/>
  <c r="F173" i="34"/>
  <c r="U193" i="34"/>
  <c r="C7" i="34"/>
  <c r="G171" i="34"/>
  <c r="H89" i="34"/>
  <c r="AI71" i="34"/>
  <c r="AH71" i="34"/>
  <c r="B65" i="34"/>
  <c r="V193" i="33"/>
  <c r="D7" i="33"/>
  <c r="C65" i="33"/>
  <c r="E94" i="33"/>
  <c r="E171" i="33" s="1"/>
  <c r="D82" i="33"/>
  <c r="D171" i="33"/>
  <c r="F173" i="33"/>
  <c r="E179" i="33"/>
  <c r="E42" i="33" s="1"/>
  <c r="E43" i="33" s="1"/>
  <c r="E65" i="33" s="1"/>
  <c r="AI71" i="33"/>
  <c r="AH71" i="33"/>
  <c r="T193" i="33"/>
  <c r="B7" i="33"/>
  <c r="G178" i="33"/>
  <c r="F214" i="33"/>
  <c r="F89" i="33"/>
  <c r="C7" i="32"/>
  <c r="AH71" i="32"/>
  <c r="AI71" i="32"/>
  <c r="E174" i="32"/>
  <c r="D180" i="32"/>
  <c r="D42" i="32" s="1"/>
  <c r="D215" i="32"/>
  <c r="E179" i="32"/>
  <c r="T194" i="32"/>
  <c r="B7" i="32"/>
  <c r="F95" i="32"/>
  <c r="E82" i="32"/>
  <c r="E172" i="32"/>
  <c r="G173" i="34" l="1"/>
  <c r="F179" i="34"/>
  <c r="F42" i="34" s="1"/>
  <c r="H178" i="34"/>
  <c r="G214" i="34"/>
  <c r="W193" i="34"/>
  <c r="E7" i="34"/>
  <c r="T193" i="34"/>
  <c r="B7" i="34"/>
  <c r="I89" i="34"/>
  <c r="G82" i="34"/>
  <c r="H94" i="34"/>
  <c r="G89" i="33"/>
  <c r="E82" i="33"/>
  <c r="F94" i="33"/>
  <c r="G214" i="33"/>
  <c r="H178" i="33"/>
  <c r="W193" i="33"/>
  <c r="E7" i="33"/>
  <c r="F179" i="33"/>
  <c r="F42" i="33" s="1"/>
  <c r="G173" i="33"/>
  <c r="U193" i="33"/>
  <c r="C7" i="33"/>
  <c r="G95" i="32"/>
  <c r="F82" i="32"/>
  <c r="E215" i="32"/>
  <c r="F179" i="32"/>
  <c r="D43" i="32"/>
  <c r="F174" i="32"/>
  <c r="E180" i="32"/>
  <c r="E42" i="32" s="1"/>
  <c r="E43" i="32" s="1"/>
  <c r="E65" i="32" s="1"/>
  <c r="F172" i="32"/>
  <c r="G90" i="32"/>
  <c r="H82" i="34" l="1"/>
  <c r="I94" i="34"/>
  <c r="I178" i="34"/>
  <c r="H214" i="34"/>
  <c r="F43" i="34"/>
  <c r="I171" i="34"/>
  <c r="J89" i="34"/>
  <c r="G179" i="34"/>
  <c r="G42" i="34" s="1"/>
  <c r="G43" i="34" s="1"/>
  <c r="G65" i="34" s="1"/>
  <c r="H173" i="34"/>
  <c r="H171" i="34"/>
  <c r="H173" i="33"/>
  <c r="G179" i="33"/>
  <c r="G42" i="33" s="1"/>
  <c r="G43" i="33" s="1"/>
  <c r="G65" i="33" s="1"/>
  <c r="G94" i="33"/>
  <c r="F82" i="33"/>
  <c r="F43" i="33"/>
  <c r="H89" i="33"/>
  <c r="I178" i="33"/>
  <c r="H214" i="33"/>
  <c r="F171" i="33"/>
  <c r="G172" i="32"/>
  <c r="H90" i="32"/>
  <c r="W194" i="32"/>
  <c r="E7" i="32"/>
  <c r="G174" i="32"/>
  <c r="F180" i="32"/>
  <c r="F42" i="32" s="1"/>
  <c r="H95" i="32"/>
  <c r="G82" i="32"/>
  <c r="G179" i="32"/>
  <c r="F215" i="32"/>
  <c r="D65" i="32"/>
  <c r="H179" i="34" l="1"/>
  <c r="H42" i="34" s="1"/>
  <c r="I173" i="34"/>
  <c r="I214" i="34"/>
  <c r="J178" i="34"/>
  <c r="F65" i="34"/>
  <c r="Y193" i="34"/>
  <c r="G7" i="34"/>
  <c r="K89" i="34"/>
  <c r="I82" i="34"/>
  <c r="J94" i="34"/>
  <c r="J178" i="33"/>
  <c r="I214" i="33"/>
  <c r="G82" i="33"/>
  <c r="H94" i="33"/>
  <c r="Y193" i="33"/>
  <c r="G7" i="33"/>
  <c r="G171" i="33"/>
  <c r="H179" i="33"/>
  <c r="H42" i="33" s="1"/>
  <c r="I173" i="33"/>
  <c r="F65" i="33"/>
  <c r="H171" i="33"/>
  <c r="I89" i="33"/>
  <c r="G180" i="32"/>
  <c r="G42" i="32" s="1"/>
  <c r="G43" i="32" s="1"/>
  <c r="G65" i="32" s="1"/>
  <c r="H174" i="32"/>
  <c r="V194" i="32"/>
  <c r="D7" i="32"/>
  <c r="H172" i="32"/>
  <c r="I90" i="32"/>
  <c r="H82" i="32"/>
  <c r="I95" i="32"/>
  <c r="F43" i="32"/>
  <c r="H179" i="32"/>
  <c r="G215" i="32"/>
  <c r="J82" i="34" l="1"/>
  <c r="K94" i="34"/>
  <c r="X193" i="34"/>
  <c r="F7" i="34"/>
  <c r="K178" i="34"/>
  <c r="J214" i="34"/>
  <c r="K171" i="34"/>
  <c r="L89" i="34"/>
  <c r="J171" i="34"/>
  <c r="J173" i="34"/>
  <c r="I179" i="34"/>
  <c r="I42" i="34" s="1"/>
  <c r="H43" i="34"/>
  <c r="J89" i="33"/>
  <c r="H82" i="33"/>
  <c r="I94" i="33"/>
  <c r="X193" i="33"/>
  <c r="F7" i="33"/>
  <c r="J173" i="33"/>
  <c r="I179" i="33"/>
  <c r="I42" i="33" s="1"/>
  <c r="I43" i="33" s="1"/>
  <c r="I65" i="33" s="1"/>
  <c r="K178" i="33"/>
  <c r="J214" i="33"/>
  <c r="H43" i="33"/>
  <c r="I172" i="32"/>
  <c r="J90" i="32"/>
  <c r="I179" i="32"/>
  <c r="H215" i="32"/>
  <c r="F65" i="32"/>
  <c r="J95" i="32"/>
  <c r="I82" i="32"/>
  <c r="H180" i="32"/>
  <c r="H42" i="32" s="1"/>
  <c r="I174" i="32"/>
  <c r="Y194" i="32"/>
  <c r="G7" i="32"/>
  <c r="H65" i="34" l="1"/>
  <c r="I43" i="34"/>
  <c r="I65" i="34" s="1"/>
  <c r="K173" i="34"/>
  <c r="J179" i="34"/>
  <c r="J42" i="34" s="1"/>
  <c r="J43" i="34" s="1"/>
  <c r="J65" i="34" s="1"/>
  <c r="M89" i="34"/>
  <c r="K82" i="34"/>
  <c r="L94" i="34"/>
  <c r="L178" i="34"/>
  <c r="K214" i="34"/>
  <c r="H65" i="33"/>
  <c r="L178" i="33"/>
  <c r="K214" i="33"/>
  <c r="AA193" i="33"/>
  <c r="I7" i="33"/>
  <c r="I82" i="33"/>
  <c r="J94" i="33"/>
  <c r="J179" i="33"/>
  <c r="J42" i="33" s="1"/>
  <c r="K173" i="33"/>
  <c r="J171" i="33"/>
  <c r="K89" i="33"/>
  <c r="I171" i="33"/>
  <c r="X194" i="32"/>
  <c r="F7" i="32"/>
  <c r="J174" i="32"/>
  <c r="I180" i="32"/>
  <c r="I42" i="32" s="1"/>
  <c r="I43" i="32" s="1"/>
  <c r="I65" i="32" s="1"/>
  <c r="H43" i="32"/>
  <c r="J179" i="32"/>
  <c r="I215" i="32"/>
  <c r="J172" i="32"/>
  <c r="K90" i="32"/>
  <c r="K95" i="32"/>
  <c r="J82" i="32"/>
  <c r="AB193" i="34" l="1"/>
  <c r="J7" i="34"/>
  <c r="M178" i="34"/>
  <c r="L214" i="34"/>
  <c r="L173" i="34"/>
  <c r="K179" i="34"/>
  <c r="K42" i="34" s="1"/>
  <c r="K43" i="34" s="1"/>
  <c r="K65" i="34" s="1"/>
  <c r="L82" i="34"/>
  <c r="M94" i="34"/>
  <c r="AA193" i="34"/>
  <c r="I7" i="34"/>
  <c r="N89" i="34"/>
  <c r="L171" i="34"/>
  <c r="Z193" i="34"/>
  <c r="H7" i="34"/>
  <c r="L89" i="33"/>
  <c r="L214" i="33"/>
  <c r="M178" i="33"/>
  <c r="K179" i="33"/>
  <c r="K42" i="33" s="1"/>
  <c r="K43" i="33" s="1"/>
  <c r="K65" i="33" s="1"/>
  <c r="L173" i="33"/>
  <c r="J43" i="33"/>
  <c r="J65" i="33" s="1"/>
  <c r="J82" i="33"/>
  <c r="K94" i="33"/>
  <c r="Z193" i="33"/>
  <c r="H7" i="33"/>
  <c r="L95" i="32"/>
  <c r="K82" i="32"/>
  <c r="AA194" i="32"/>
  <c r="I7" i="32"/>
  <c r="K172" i="32"/>
  <c r="L90" i="32"/>
  <c r="K174" i="32"/>
  <c r="J180" i="32"/>
  <c r="J42" i="32" s="1"/>
  <c r="J43" i="32" s="1"/>
  <c r="J65" i="32" s="1"/>
  <c r="K179" i="32"/>
  <c r="J215" i="32"/>
  <c r="H65" i="32"/>
  <c r="M82" i="34" l="1"/>
  <c r="N94" i="34"/>
  <c r="N171" i="34"/>
  <c r="O89" i="34"/>
  <c r="M173" i="34"/>
  <c r="L179" i="34"/>
  <c r="L42" i="34" s="1"/>
  <c r="L43" i="34" s="1"/>
  <c r="L65" i="34" s="1"/>
  <c r="M171" i="34"/>
  <c r="M214" i="34"/>
  <c r="N178" i="34"/>
  <c r="AC193" i="34"/>
  <c r="K7" i="34"/>
  <c r="AC193" i="33"/>
  <c r="K7" i="33"/>
  <c r="AB193" i="33"/>
  <c r="J7" i="33"/>
  <c r="M214" i="33"/>
  <c r="N178" i="33"/>
  <c r="L179" i="33"/>
  <c r="L42" i="33" s="1"/>
  <c r="L43" i="33" s="1"/>
  <c r="L65" i="33" s="1"/>
  <c r="M173" i="33"/>
  <c r="K82" i="33"/>
  <c r="L94" i="33"/>
  <c r="L171" i="33"/>
  <c r="M89" i="33"/>
  <c r="K171" i="33"/>
  <c r="AB194" i="32"/>
  <c r="J7" i="32"/>
  <c r="K180" i="32"/>
  <c r="K42" i="32" s="1"/>
  <c r="K43" i="32" s="1"/>
  <c r="L174" i="32"/>
  <c r="Z194" i="32"/>
  <c r="H7" i="32"/>
  <c r="L172" i="32"/>
  <c r="M90" i="32"/>
  <c r="K215" i="32"/>
  <c r="L179" i="32"/>
  <c r="M95" i="32"/>
  <c r="L82" i="32"/>
  <c r="AD193" i="34" l="1"/>
  <c r="L7" i="34"/>
  <c r="M179" i="34"/>
  <c r="M42" i="34" s="1"/>
  <c r="M43" i="34" s="1"/>
  <c r="M65" i="34" s="1"/>
  <c r="C188" i="34" s="1"/>
  <c r="N173" i="34"/>
  <c r="O171" i="34"/>
  <c r="P89" i="34"/>
  <c r="N214" i="34"/>
  <c r="O178" i="34"/>
  <c r="O94" i="34"/>
  <c r="N82" i="34"/>
  <c r="O178" i="33"/>
  <c r="N214" i="33"/>
  <c r="N89" i="33"/>
  <c r="M94" i="33"/>
  <c r="L82" i="33"/>
  <c r="N173" i="33"/>
  <c r="M179" i="33"/>
  <c r="M42" i="33" s="1"/>
  <c r="M43" i="33" s="1"/>
  <c r="M65" i="33" s="1"/>
  <c r="AD193" i="33"/>
  <c r="L7" i="33"/>
  <c r="N95" i="32"/>
  <c r="M82" i="32"/>
  <c r="L215" i="32"/>
  <c r="M179" i="32"/>
  <c r="M172" i="32"/>
  <c r="N90" i="32"/>
  <c r="M174" i="32"/>
  <c r="L180" i="32"/>
  <c r="L42" i="32" s="1"/>
  <c r="L43" i="32" s="1"/>
  <c r="L65" i="32" s="1"/>
  <c r="K65" i="32"/>
  <c r="P178" i="34" l="1"/>
  <c r="O214" i="34"/>
  <c r="O173" i="34"/>
  <c r="N179" i="34"/>
  <c r="N42" i="34" s="1"/>
  <c r="N43" i="34" s="1"/>
  <c r="N65" i="34" s="1"/>
  <c r="Q89" i="34"/>
  <c r="O82" i="34"/>
  <c r="P94" i="34"/>
  <c r="P171" i="34" s="1"/>
  <c r="AE193" i="34"/>
  <c r="M7" i="34"/>
  <c r="B188" i="34"/>
  <c r="K6" i="34" s="1"/>
  <c r="O173" i="33"/>
  <c r="N179" i="33"/>
  <c r="N42" i="33" s="1"/>
  <c r="N43" i="33" s="1"/>
  <c r="N65" i="33" s="1"/>
  <c r="AE193" i="33"/>
  <c r="M7" i="33"/>
  <c r="M82" i="33"/>
  <c r="N94" i="33"/>
  <c r="C188" i="33"/>
  <c r="O89" i="33"/>
  <c r="B188" i="33"/>
  <c r="M171" i="33"/>
  <c r="O214" i="33"/>
  <c r="P178" i="33"/>
  <c r="AD194" i="32"/>
  <c r="L7" i="32"/>
  <c r="M180" i="32"/>
  <c r="M42" i="32" s="1"/>
  <c r="M43" i="32" s="1"/>
  <c r="M65" i="32" s="1"/>
  <c r="B189" i="32" s="1"/>
  <c r="N174" i="32"/>
  <c r="N172" i="32"/>
  <c r="O90" i="32"/>
  <c r="M215" i="32"/>
  <c r="N179" i="32"/>
  <c r="AC194" i="32"/>
  <c r="K7" i="32"/>
  <c r="O95" i="32"/>
  <c r="N82" i="32"/>
  <c r="R89" i="34" l="1"/>
  <c r="P82" i="34"/>
  <c r="Q94" i="34"/>
  <c r="AF193" i="34"/>
  <c r="N7" i="34"/>
  <c r="P173" i="34"/>
  <c r="O179" i="34"/>
  <c r="O42" i="34" s="1"/>
  <c r="O43" i="34" s="1"/>
  <c r="O65" i="34" s="1"/>
  <c r="Q178" i="34"/>
  <c r="P214" i="34"/>
  <c r="O94" i="33"/>
  <c r="N82" i="33"/>
  <c r="Q178" i="33"/>
  <c r="P214" i="33"/>
  <c r="K6" i="33"/>
  <c r="O171" i="33"/>
  <c r="P89" i="33"/>
  <c r="AF193" i="33"/>
  <c r="N7" i="33"/>
  <c r="N171" i="33"/>
  <c r="P173" i="33"/>
  <c r="O179" i="33"/>
  <c r="O42" i="33" s="1"/>
  <c r="O43" i="33" s="1"/>
  <c r="O65" i="33" s="1"/>
  <c r="C189" i="32"/>
  <c r="O179" i="32"/>
  <c r="N215" i="32"/>
  <c r="P95" i="32"/>
  <c r="O82" i="32"/>
  <c r="K6" i="32"/>
  <c r="O172" i="32"/>
  <c r="P90" i="32"/>
  <c r="O174" i="32"/>
  <c r="N180" i="32"/>
  <c r="N42" i="32" s="1"/>
  <c r="N43" i="32" s="1"/>
  <c r="N65" i="32" s="1"/>
  <c r="AE194" i="32"/>
  <c r="M7" i="32"/>
  <c r="P179" i="34" l="1"/>
  <c r="P42" i="34" s="1"/>
  <c r="P43" i="34" s="1"/>
  <c r="P65" i="34" s="1"/>
  <c r="Q173" i="34"/>
  <c r="AG193" i="34"/>
  <c r="O7" i="34"/>
  <c r="R94" i="34"/>
  <c r="R171" i="34" s="1"/>
  <c r="S89" i="34"/>
  <c r="Q214" i="34"/>
  <c r="R178" i="34"/>
  <c r="Q171" i="34"/>
  <c r="Q89" i="33"/>
  <c r="AG193" i="33"/>
  <c r="O7" i="33"/>
  <c r="P179" i="33"/>
  <c r="P42" i="33" s="1"/>
  <c r="P43" i="33" s="1"/>
  <c r="P65" i="33" s="1"/>
  <c r="Q173" i="33"/>
  <c r="R178" i="33"/>
  <c r="Q214" i="33"/>
  <c r="O82" i="33"/>
  <c r="P94" i="33"/>
  <c r="P174" i="32"/>
  <c r="O180" i="32"/>
  <c r="O42" i="32" s="1"/>
  <c r="O43" i="32" s="1"/>
  <c r="O65" i="32" s="1"/>
  <c r="P172" i="32"/>
  <c r="Q90" i="32"/>
  <c r="Q95" i="32"/>
  <c r="P82" i="32"/>
  <c r="AF194" i="32"/>
  <c r="N7" i="32"/>
  <c r="O215" i="32"/>
  <c r="P179" i="32"/>
  <c r="R82" i="34" l="1"/>
  <c r="S94" i="34"/>
  <c r="S171" i="34"/>
  <c r="T89" i="34"/>
  <c r="S178" i="34"/>
  <c r="R214" i="34"/>
  <c r="R173" i="34"/>
  <c r="Q179" i="34"/>
  <c r="Q42" i="34" s="1"/>
  <c r="Q43" i="34" s="1"/>
  <c r="Q65" i="34" s="1"/>
  <c r="AH193" i="34"/>
  <c r="P7" i="34"/>
  <c r="S178" i="33"/>
  <c r="R214" i="33"/>
  <c r="Q179" i="33"/>
  <c r="Q42" i="33" s="1"/>
  <c r="Q43" i="33" s="1"/>
  <c r="Q65" i="33" s="1"/>
  <c r="R173" i="33"/>
  <c r="AH193" i="33"/>
  <c r="P7" i="33"/>
  <c r="P82" i="33"/>
  <c r="Q94" i="33"/>
  <c r="R89" i="33"/>
  <c r="P171" i="33"/>
  <c r="Q82" i="32"/>
  <c r="R95" i="32"/>
  <c r="Q172" i="32"/>
  <c r="R90" i="32"/>
  <c r="Q179" i="32"/>
  <c r="P215" i="32"/>
  <c r="AG194" i="32"/>
  <c r="O7" i="32"/>
  <c r="P180" i="32"/>
  <c r="P42" i="32" s="1"/>
  <c r="P43" i="32" s="1"/>
  <c r="P65" i="32" s="1"/>
  <c r="Q174" i="32"/>
  <c r="R179" i="34" l="1"/>
  <c r="R42" i="34" s="1"/>
  <c r="R43" i="34" s="1"/>
  <c r="R65" i="34" s="1"/>
  <c r="S173" i="34"/>
  <c r="T178" i="34"/>
  <c r="S214" i="34"/>
  <c r="T171" i="34"/>
  <c r="U89" i="34"/>
  <c r="AI193" i="34"/>
  <c r="Q7" i="34"/>
  <c r="S82" i="34"/>
  <c r="T94" i="34"/>
  <c r="Q82" i="33"/>
  <c r="R94" i="33"/>
  <c r="S173" i="33"/>
  <c r="R179" i="33"/>
  <c r="R42" i="33" s="1"/>
  <c r="R43" i="33" s="1"/>
  <c r="R65" i="33" s="1"/>
  <c r="AI193" i="33"/>
  <c r="Q7" i="33"/>
  <c r="R171" i="33"/>
  <c r="S89" i="33"/>
  <c r="Q171" i="33"/>
  <c r="T178" i="33"/>
  <c r="S214" i="33"/>
  <c r="Q215" i="32"/>
  <c r="R179" i="32"/>
  <c r="Q180" i="32"/>
  <c r="Q42" i="32" s="1"/>
  <c r="Q43" i="32" s="1"/>
  <c r="Q65" i="32" s="1"/>
  <c r="R174" i="32"/>
  <c r="S95" i="32"/>
  <c r="R82" i="32"/>
  <c r="R172" i="32"/>
  <c r="S90" i="32"/>
  <c r="AH194" i="32"/>
  <c r="P7" i="32"/>
  <c r="V89" i="34" l="1"/>
  <c r="U178" i="34"/>
  <c r="T214" i="34"/>
  <c r="T82" i="34"/>
  <c r="U94" i="34"/>
  <c r="T173" i="34"/>
  <c r="S179" i="34"/>
  <c r="S42" i="34" s="1"/>
  <c r="S43" i="34" s="1"/>
  <c r="S65" i="34" s="1"/>
  <c r="AJ193" i="34"/>
  <c r="R7" i="34"/>
  <c r="AJ193" i="33"/>
  <c r="R7" i="33"/>
  <c r="S171" i="33"/>
  <c r="T89" i="33"/>
  <c r="S179" i="33"/>
  <c r="S42" i="33" s="1"/>
  <c r="S43" i="33" s="1"/>
  <c r="S65" i="33" s="1"/>
  <c r="T173" i="33"/>
  <c r="U178" i="33"/>
  <c r="T214" i="33"/>
  <c r="R82" i="33"/>
  <c r="S94" i="33"/>
  <c r="T95" i="32"/>
  <c r="S82" i="32"/>
  <c r="S172" i="32"/>
  <c r="T90" i="32"/>
  <c r="S174" i="32"/>
  <c r="R180" i="32"/>
  <c r="R42" i="32" s="1"/>
  <c r="R43" i="32" s="1"/>
  <c r="R65" i="32" s="1"/>
  <c r="AI194" i="32"/>
  <c r="Q7" i="32"/>
  <c r="S179" i="32"/>
  <c r="R215" i="32"/>
  <c r="U173" i="34" l="1"/>
  <c r="T179" i="34"/>
  <c r="T42" i="34" s="1"/>
  <c r="T43" i="34" s="1"/>
  <c r="T65" i="34" s="1"/>
  <c r="U82" i="34"/>
  <c r="V94" i="34"/>
  <c r="AK193" i="34"/>
  <c r="S7" i="34"/>
  <c r="V178" i="34"/>
  <c r="U214" i="34"/>
  <c r="W89" i="34"/>
  <c r="U171" i="34"/>
  <c r="U214" i="33"/>
  <c r="V178" i="33"/>
  <c r="U173" i="33"/>
  <c r="T179" i="33"/>
  <c r="T42" i="33" s="1"/>
  <c r="T43" i="33" s="1"/>
  <c r="T65" i="33" s="1"/>
  <c r="AK193" i="33"/>
  <c r="S7" i="33"/>
  <c r="T171" i="33"/>
  <c r="U89" i="33"/>
  <c r="S82" i="33"/>
  <c r="T94" i="33"/>
  <c r="AJ194" i="32"/>
  <c r="R7" i="32"/>
  <c r="S180" i="32"/>
  <c r="S42" i="32" s="1"/>
  <c r="S43" i="32" s="1"/>
  <c r="S65" i="32" s="1"/>
  <c r="T174" i="32"/>
  <c r="T172" i="32"/>
  <c r="U90" i="32"/>
  <c r="T179" i="32"/>
  <c r="S215" i="32"/>
  <c r="U95" i="32"/>
  <c r="T82" i="32"/>
  <c r="V214" i="34" l="1"/>
  <c r="W178" i="34"/>
  <c r="W94" i="34"/>
  <c r="V82" i="34"/>
  <c r="W171" i="34"/>
  <c r="X89" i="34"/>
  <c r="AL193" i="34"/>
  <c r="T7" i="34"/>
  <c r="V171" i="34"/>
  <c r="U179" i="34"/>
  <c r="U42" i="34" s="1"/>
  <c r="U43" i="34" s="1"/>
  <c r="U65" i="34" s="1"/>
  <c r="V173" i="34"/>
  <c r="AL193" i="33"/>
  <c r="T7" i="33"/>
  <c r="U179" i="33"/>
  <c r="U42" i="33" s="1"/>
  <c r="U43" i="33" s="1"/>
  <c r="U65" i="33" s="1"/>
  <c r="V173" i="33"/>
  <c r="V89" i="33"/>
  <c r="U94" i="33"/>
  <c r="T82" i="33"/>
  <c r="V214" i="33"/>
  <c r="W178" i="33"/>
  <c r="U172" i="32"/>
  <c r="V90" i="32"/>
  <c r="T215" i="32"/>
  <c r="U179" i="32"/>
  <c r="U174" i="32"/>
  <c r="T180" i="32"/>
  <c r="T42" i="32" s="1"/>
  <c r="T43" i="32" s="1"/>
  <c r="T65" i="32" s="1"/>
  <c r="AK194" i="32"/>
  <c r="S7" i="32"/>
  <c r="V95" i="32"/>
  <c r="U82" i="32"/>
  <c r="Y89" i="34" l="1"/>
  <c r="W173" i="34"/>
  <c r="V179" i="34"/>
  <c r="V42" i="34" s="1"/>
  <c r="V43" i="34" s="1"/>
  <c r="V65" i="34" s="1"/>
  <c r="W82" i="34"/>
  <c r="X94" i="34"/>
  <c r="AM193" i="34"/>
  <c r="U7" i="34"/>
  <c r="W214" i="34"/>
  <c r="X178" i="34"/>
  <c r="U82" i="33"/>
  <c r="V94" i="33"/>
  <c r="V171" i="33"/>
  <c r="W89" i="33"/>
  <c r="U171" i="33"/>
  <c r="W173" i="33"/>
  <c r="V179" i="33"/>
  <c r="V42" i="33" s="1"/>
  <c r="V43" i="33" s="1"/>
  <c r="V65" i="33" s="1"/>
  <c r="AM193" i="33"/>
  <c r="U7" i="33"/>
  <c r="W214" i="33"/>
  <c r="X178" i="33"/>
  <c r="AL194" i="32"/>
  <c r="T7" i="32"/>
  <c r="V174" i="32"/>
  <c r="U180" i="32"/>
  <c r="U42" i="32" s="1"/>
  <c r="U43" i="32" s="1"/>
  <c r="U65" i="32" s="1"/>
  <c r="U215" i="32"/>
  <c r="V179" i="32"/>
  <c r="V172" i="32"/>
  <c r="W90" i="32"/>
  <c r="W95" i="32"/>
  <c r="V82" i="32"/>
  <c r="X82" i="34" l="1"/>
  <c r="Y94" i="34"/>
  <c r="AN193" i="34"/>
  <c r="V7" i="34"/>
  <c r="X173" i="34"/>
  <c r="W179" i="34"/>
  <c r="W42" i="34" s="1"/>
  <c r="W43" i="34" s="1"/>
  <c r="W65" i="34" s="1"/>
  <c r="Y178" i="34"/>
  <c r="X214" i="34"/>
  <c r="Y171" i="34"/>
  <c r="Z89" i="34"/>
  <c r="X171" i="34"/>
  <c r="AN193" i="33"/>
  <c r="V7" i="33"/>
  <c r="X173" i="33"/>
  <c r="W179" i="33"/>
  <c r="W42" i="33" s="1"/>
  <c r="W43" i="33" s="1"/>
  <c r="W65" i="33" s="1"/>
  <c r="W171" i="33"/>
  <c r="X89" i="33"/>
  <c r="Y178" i="33"/>
  <c r="X214" i="33"/>
  <c r="W94" i="33"/>
  <c r="V82" i="33"/>
  <c r="W179" i="32"/>
  <c r="V215" i="32"/>
  <c r="AM194" i="32"/>
  <c r="U7" i="32"/>
  <c r="W172" i="32"/>
  <c r="X90" i="32"/>
  <c r="V180" i="32"/>
  <c r="V42" i="32" s="1"/>
  <c r="V43" i="32" s="1"/>
  <c r="V65" i="32" s="1"/>
  <c r="W174" i="32"/>
  <c r="W82" i="32"/>
  <c r="X95" i="32"/>
  <c r="Y214" i="34" l="1"/>
  <c r="Z178" i="34"/>
  <c r="AO193" i="34"/>
  <c r="W7" i="34"/>
  <c r="Y173" i="34"/>
  <c r="X179" i="34"/>
  <c r="X42" i="34" s="1"/>
  <c r="X43" i="34" s="1"/>
  <c r="X65" i="34" s="1"/>
  <c r="Z171" i="34"/>
  <c r="AA89" i="34"/>
  <c r="Y82" i="34"/>
  <c r="Z94" i="34"/>
  <c r="Z178" i="33"/>
  <c r="Y214" i="33"/>
  <c r="X171" i="33"/>
  <c r="Y89" i="33"/>
  <c r="AO193" i="33"/>
  <c r="W7" i="33"/>
  <c r="Y173" i="33"/>
  <c r="X179" i="33"/>
  <c r="X42" i="33" s="1"/>
  <c r="X43" i="33" s="1"/>
  <c r="X65" i="33" s="1"/>
  <c r="W82" i="33"/>
  <c r="X94" i="33"/>
  <c r="AN194" i="32"/>
  <c r="V7" i="32"/>
  <c r="X172" i="32"/>
  <c r="Y90" i="32"/>
  <c r="X174" i="32"/>
  <c r="W180" i="32"/>
  <c r="W65" i="32" s="1"/>
  <c r="X82" i="32"/>
  <c r="Y95" i="32"/>
  <c r="W215" i="32"/>
  <c r="X179" i="32"/>
  <c r="AP193" i="34" l="1"/>
  <c r="X7" i="34"/>
  <c r="Z173" i="34"/>
  <c r="Y179" i="34"/>
  <c r="Y42" i="34" s="1"/>
  <c r="Y43" i="34" s="1"/>
  <c r="Y65" i="34" s="1"/>
  <c r="AB89" i="34"/>
  <c r="Z82" i="34"/>
  <c r="AA94" i="34"/>
  <c r="AA171" i="34" s="1"/>
  <c r="AA178" i="34"/>
  <c r="Z214" i="34"/>
  <c r="Y179" i="33"/>
  <c r="Y42" i="33" s="1"/>
  <c r="Y43" i="33" s="1"/>
  <c r="Y65" i="33" s="1"/>
  <c r="Z173" i="33"/>
  <c r="AP193" i="33"/>
  <c r="X7" i="33"/>
  <c r="Z89" i="33"/>
  <c r="X82" i="33"/>
  <c r="Y94" i="33"/>
  <c r="Y171" i="33" s="1"/>
  <c r="AA178" i="33"/>
  <c r="Z214" i="33"/>
  <c r="Z95" i="32"/>
  <c r="Y82" i="32"/>
  <c r="AO194" i="32"/>
  <c r="W7" i="32"/>
  <c r="X180" i="32"/>
  <c r="X42" i="32" s="1"/>
  <c r="X43" i="32" s="1"/>
  <c r="X65" i="32" s="1"/>
  <c r="Y174" i="32"/>
  <c r="Y172" i="32"/>
  <c r="Z90" i="32"/>
  <c r="X215" i="32"/>
  <c r="Y179" i="32"/>
  <c r="AC89" i="34" l="1"/>
  <c r="AA82" i="34"/>
  <c r="AB94" i="34"/>
  <c r="AQ193" i="34"/>
  <c r="Y7" i="34"/>
  <c r="Z179" i="34"/>
  <c r="Z42" i="34" s="1"/>
  <c r="Z43" i="34" s="1"/>
  <c r="Z65" i="34" s="1"/>
  <c r="AA173" i="34"/>
  <c r="AB178" i="34"/>
  <c r="AA214" i="34"/>
  <c r="AA89" i="33"/>
  <c r="Z179" i="33"/>
  <c r="Z42" i="33" s="1"/>
  <c r="Z43" i="33" s="1"/>
  <c r="Z65" i="33" s="1"/>
  <c r="AA173" i="33"/>
  <c r="Y82" i="33"/>
  <c r="Z94" i="33"/>
  <c r="AB178" i="33"/>
  <c r="AA214" i="33"/>
  <c r="AQ193" i="33"/>
  <c r="Y7" i="33"/>
  <c r="Z172" i="32"/>
  <c r="AA90" i="32"/>
  <c r="Y180" i="32"/>
  <c r="Y42" i="32" s="1"/>
  <c r="Y43" i="32" s="1"/>
  <c r="Y65" i="32" s="1"/>
  <c r="Z174" i="32"/>
  <c r="AP194" i="32"/>
  <c r="X7" i="32"/>
  <c r="Z179" i="32"/>
  <c r="Y215" i="32"/>
  <c r="AA95" i="32"/>
  <c r="Z82" i="32"/>
  <c r="AR193" i="34" l="1"/>
  <c r="Z7" i="34"/>
  <c r="AA179" i="34"/>
  <c r="AA43" i="34" s="1"/>
  <c r="AA65" i="34" s="1"/>
  <c r="AB173" i="34"/>
  <c r="AB82" i="34"/>
  <c r="AC94" i="34"/>
  <c r="AC171" i="34"/>
  <c r="AD89" i="34"/>
  <c r="AC178" i="34"/>
  <c r="AB214" i="34"/>
  <c r="AB171" i="34"/>
  <c r="AC178" i="33"/>
  <c r="AB214" i="33"/>
  <c r="Z82" i="33"/>
  <c r="AA94" i="33"/>
  <c r="AA179" i="33"/>
  <c r="AA43" i="33" s="1"/>
  <c r="AA65" i="33" s="1"/>
  <c r="AB173" i="33"/>
  <c r="AR193" i="33"/>
  <c r="Z7" i="33"/>
  <c r="AB89" i="33"/>
  <c r="Z171" i="33"/>
  <c r="Z180" i="32"/>
  <c r="Z43" i="32" s="1"/>
  <c r="Z65" i="32" s="1"/>
  <c r="AA174" i="32"/>
  <c r="AA179" i="32"/>
  <c r="Z215" i="32"/>
  <c r="AQ194" i="32"/>
  <c r="Y7" i="32"/>
  <c r="AA172" i="32"/>
  <c r="AB90" i="32"/>
  <c r="AB95" i="32"/>
  <c r="AA82" i="32"/>
  <c r="AC82" i="34" l="1"/>
  <c r="AD94" i="34"/>
  <c r="AC173" i="34"/>
  <c r="AB179" i="34"/>
  <c r="AB42" i="34" s="1"/>
  <c r="AB43" i="34" s="1"/>
  <c r="AB65" i="34" s="1"/>
  <c r="AS193" i="34"/>
  <c r="AA7" i="34"/>
  <c r="AD171" i="34"/>
  <c r="AE89" i="34"/>
  <c r="AD178" i="34"/>
  <c r="AC214" i="34"/>
  <c r="AB179" i="33"/>
  <c r="AB42" i="33" s="1"/>
  <c r="AB43" i="33" s="1"/>
  <c r="AB65" i="33" s="1"/>
  <c r="AC173" i="33"/>
  <c r="AS193" i="33"/>
  <c r="AA7" i="33"/>
  <c r="AA82" i="33"/>
  <c r="AB94" i="33"/>
  <c r="AB171" i="33"/>
  <c r="AC89" i="33"/>
  <c r="AA171" i="33"/>
  <c r="AD178" i="33"/>
  <c r="AC214" i="33"/>
  <c r="AB172" i="32"/>
  <c r="AC90" i="32"/>
  <c r="AB179" i="32"/>
  <c r="AA215" i="32"/>
  <c r="AB174" i="32"/>
  <c r="AA180" i="32"/>
  <c r="AA42" i="32" s="1"/>
  <c r="AA43" i="32" s="1"/>
  <c r="AA65" i="32" s="1"/>
  <c r="AC95" i="32"/>
  <c r="AB82" i="32"/>
  <c r="AR194" i="32"/>
  <c r="Z7" i="32"/>
  <c r="AF89" i="34" l="1"/>
  <c r="AT193" i="34"/>
  <c r="AB7" i="34"/>
  <c r="AC179" i="34"/>
  <c r="AC42" i="34" s="1"/>
  <c r="AC43" i="34" s="1"/>
  <c r="AC65" i="34" s="1"/>
  <c r="AD173" i="34"/>
  <c r="AE94" i="34"/>
  <c r="AD82" i="34"/>
  <c r="AE178" i="34"/>
  <c r="AD214" i="34"/>
  <c r="AD89" i="33"/>
  <c r="AC94" i="33"/>
  <c r="AB82" i="33"/>
  <c r="AD214" i="33"/>
  <c r="AE178" i="33"/>
  <c r="AD173" i="33"/>
  <c r="AC179" i="33"/>
  <c r="AC42" i="33" s="1"/>
  <c r="AC43" i="33" s="1"/>
  <c r="AC65" i="33" s="1"/>
  <c r="AT193" i="33"/>
  <c r="AB7" i="33"/>
  <c r="AD95" i="32"/>
  <c r="AC82" i="32"/>
  <c r="AS194" i="32"/>
  <c r="AA7" i="32"/>
  <c r="AC174" i="32"/>
  <c r="AB180" i="32"/>
  <c r="AB42" i="32" s="1"/>
  <c r="AB43" i="32" s="1"/>
  <c r="AB65" i="32" s="1"/>
  <c r="AB215" i="32"/>
  <c r="AC179" i="32"/>
  <c r="AC172" i="32"/>
  <c r="AD90" i="32"/>
  <c r="AE82" i="34" l="1"/>
  <c r="AF94" i="34"/>
  <c r="AF82" i="34" s="1"/>
  <c r="AE173" i="34"/>
  <c r="AD179" i="34"/>
  <c r="AD42" i="34" s="1"/>
  <c r="AD43" i="34" s="1"/>
  <c r="AD65" i="34" s="1"/>
  <c r="AU193" i="34"/>
  <c r="AC7" i="34"/>
  <c r="AF171" i="34"/>
  <c r="AE214" i="34"/>
  <c r="AF178" i="34"/>
  <c r="AF214" i="34" s="1"/>
  <c r="AE171" i="34"/>
  <c r="AU193" i="33"/>
  <c r="AC7" i="33"/>
  <c r="AD179" i="33"/>
  <c r="AD42" i="33" s="1"/>
  <c r="AD43" i="33" s="1"/>
  <c r="AD65" i="33" s="1"/>
  <c r="AE173" i="33"/>
  <c r="AE214" i="33"/>
  <c r="AF178" i="33"/>
  <c r="AF214" i="33" s="1"/>
  <c r="AC82" i="33"/>
  <c r="AD94" i="33"/>
  <c r="AE89" i="33"/>
  <c r="AC171" i="33"/>
  <c r="AC215" i="32"/>
  <c r="AD179" i="32"/>
  <c r="AC180" i="32"/>
  <c r="AC42" i="32" s="1"/>
  <c r="AC43" i="32" s="1"/>
  <c r="AC65" i="32" s="1"/>
  <c r="AD174" i="32"/>
  <c r="AT194" i="32"/>
  <c r="AB7" i="32"/>
  <c r="AD172" i="32"/>
  <c r="AE90" i="32"/>
  <c r="AE95" i="32"/>
  <c r="AD82" i="32"/>
  <c r="AV193" i="34" l="1"/>
  <c r="AD7" i="34"/>
  <c r="AF173" i="34"/>
  <c r="AF179" i="34" s="1"/>
  <c r="AF42" i="34" s="1"/>
  <c r="AE179" i="34"/>
  <c r="AE42" i="34" s="1"/>
  <c r="AE43" i="34" s="1"/>
  <c r="AE65" i="34" s="1"/>
  <c r="AI82" i="34"/>
  <c r="AH82" i="34"/>
  <c r="AE94" i="33"/>
  <c r="AD82" i="33"/>
  <c r="AF173" i="33"/>
  <c r="AF179" i="33" s="1"/>
  <c r="AF42" i="33" s="1"/>
  <c r="AE179" i="33"/>
  <c r="AE42" i="33" s="1"/>
  <c r="AE43" i="33" s="1"/>
  <c r="AE65" i="33" s="1"/>
  <c r="AV193" i="33"/>
  <c r="AD7" i="33"/>
  <c r="AE171" i="33"/>
  <c r="AF89" i="33"/>
  <c r="AD171" i="33"/>
  <c r="AE172" i="32"/>
  <c r="AF90" i="32"/>
  <c r="AD180" i="32"/>
  <c r="AD42" i="32" s="1"/>
  <c r="AD43" i="32" s="1"/>
  <c r="AD65" i="32" s="1"/>
  <c r="AE174" i="32"/>
  <c r="AU194" i="32"/>
  <c r="AC7" i="32"/>
  <c r="AE179" i="32"/>
  <c r="AD215" i="32"/>
  <c r="AF95" i="32"/>
  <c r="AF82" i="32" s="1"/>
  <c r="AE82" i="32"/>
  <c r="AW193" i="34" l="1"/>
  <c r="AE7" i="34"/>
  <c r="AF43" i="34"/>
  <c r="AI42" i="34"/>
  <c r="AH42" i="34"/>
  <c r="AW193" i="33"/>
  <c r="AE7" i="33"/>
  <c r="AF43" i="33"/>
  <c r="AI42" i="33"/>
  <c r="AH42" i="33"/>
  <c r="AE82" i="33"/>
  <c r="AF94" i="33"/>
  <c r="AF82" i="33" s="1"/>
  <c r="AE215" i="32"/>
  <c r="AF179" i="32"/>
  <c r="AF215" i="32" s="1"/>
  <c r="AE180" i="32"/>
  <c r="AE42" i="32" s="1"/>
  <c r="AE43" i="32" s="1"/>
  <c r="AE65" i="32" s="1"/>
  <c r="AF174" i="32"/>
  <c r="AF180" i="32" s="1"/>
  <c r="AF42" i="32" s="1"/>
  <c r="AV194" i="32"/>
  <c r="AD7" i="32"/>
  <c r="AF172" i="32"/>
  <c r="AH82" i="32"/>
  <c r="AI82" i="32"/>
  <c r="AF65" i="34" l="1"/>
  <c r="AH43" i="34"/>
  <c r="AI43" i="34"/>
  <c r="AI82" i="33"/>
  <c r="AH82" i="33"/>
  <c r="AF65" i="33"/>
  <c r="AH43" i="33"/>
  <c r="AI43" i="33"/>
  <c r="AF171" i="33"/>
  <c r="AW194" i="32"/>
  <c r="AE7" i="32"/>
  <c r="AF43" i="32"/>
  <c r="AI42" i="32"/>
  <c r="AH42" i="32"/>
  <c r="AX193" i="34" l="1"/>
  <c r="AF7" i="34"/>
  <c r="A7" i="34" s="1"/>
  <c r="AH65" i="34"/>
  <c r="AI65" i="34"/>
  <c r="AX193" i="33"/>
  <c r="AF7" i="33"/>
  <c r="A7" i="33" s="1"/>
  <c r="AH65" i="33"/>
  <c r="AI65" i="33"/>
  <c r="AF65" i="32"/>
  <c r="AH43" i="32"/>
  <c r="AI43" i="32"/>
  <c r="AX194" i="32" l="1"/>
  <c r="AF7" i="32"/>
  <c r="A7" i="32" s="1"/>
  <c r="AH65" i="32"/>
  <c r="AI65" i="32"/>
  <c r="AH87" i="31" l="1"/>
  <c r="AI87" i="31" s="1"/>
  <c r="C84" i="31"/>
  <c r="B84" i="31"/>
  <c r="B82" i="31"/>
  <c r="B80" i="31"/>
  <c r="B69" i="31"/>
  <c r="B68" i="31"/>
  <c r="B67" i="31"/>
  <c r="B66" i="31"/>
  <c r="B63" i="31"/>
  <c r="B59" i="31"/>
  <c r="B5" i="31" s="1"/>
  <c r="B47" i="31"/>
  <c r="B42" i="31"/>
  <c r="B43" i="31" s="1"/>
  <c r="B30" i="31"/>
  <c r="AF218" i="31"/>
  <c r="AE218" i="31"/>
  <c r="AD218" i="31"/>
  <c r="AC218" i="31"/>
  <c r="AB218" i="31"/>
  <c r="AA218" i="31"/>
  <c r="Z218" i="31"/>
  <c r="Y218" i="31"/>
  <c r="X218" i="31"/>
  <c r="W218" i="31"/>
  <c r="V218" i="31"/>
  <c r="U218" i="31"/>
  <c r="T218" i="31"/>
  <c r="S218" i="31"/>
  <c r="R218" i="31"/>
  <c r="Q218" i="31"/>
  <c r="P218" i="31"/>
  <c r="O218" i="31"/>
  <c r="N218" i="31"/>
  <c r="M218" i="31"/>
  <c r="L218" i="31"/>
  <c r="K218" i="31"/>
  <c r="J218" i="31"/>
  <c r="I218" i="31"/>
  <c r="H218" i="31"/>
  <c r="G218" i="31"/>
  <c r="F218" i="31"/>
  <c r="E218" i="31"/>
  <c r="D218" i="31"/>
  <c r="C218" i="31"/>
  <c r="B218" i="31"/>
  <c r="A218" i="31"/>
  <c r="AF217" i="31"/>
  <c r="AE217" i="31"/>
  <c r="AD217" i="31"/>
  <c r="AC217" i="31"/>
  <c r="AB217" i="31"/>
  <c r="AA217" i="31"/>
  <c r="Z217" i="31"/>
  <c r="Y217" i="31"/>
  <c r="X217" i="31"/>
  <c r="W217" i="31"/>
  <c r="V217" i="31"/>
  <c r="U217" i="31"/>
  <c r="T217" i="31"/>
  <c r="S217" i="31"/>
  <c r="R217" i="31"/>
  <c r="Q217" i="31"/>
  <c r="P217" i="31"/>
  <c r="O217" i="31"/>
  <c r="N217" i="31"/>
  <c r="M217" i="31"/>
  <c r="L217" i="31"/>
  <c r="K217" i="31"/>
  <c r="J217" i="31"/>
  <c r="I217" i="31"/>
  <c r="H217" i="31"/>
  <c r="G217" i="31"/>
  <c r="F217" i="31"/>
  <c r="E217" i="31"/>
  <c r="D217" i="31"/>
  <c r="C217" i="31"/>
  <c r="B217" i="31"/>
  <c r="A217" i="31"/>
  <c r="AF216" i="31"/>
  <c r="AE216" i="31"/>
  <c r="AD216" i="31"/>
  <c r="AC216" i="31"/>
  <c r="AB216" i="31"/>
  <c r="AA216" i="31"/>
  <c r="Z216" i="31"/>
  <c r="Y216" i="31"/>
  <c r="X216" i="31"/>
  <c r="W216" i="31"/>
  <c r="V216" i="31"/>
  <c r="U216" i="31"/>
  <c r="T216" i="31"/>
  <c r="S216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E216" i="31"/>
  <c r="D216" i="31"/>
  <c r="C216" i="31"/>
  <c r="B216" i="31"/>
  <c r="A216" i="31"/>
  <c r="AF215" i="31"/>
  <c r="AE215" i="31"/>
  <c r="AD215" i="31"/>
  <c r="AC215" i="31"/>
  <c r="AB215" i="31"/>
  <c r="AA215" i="31"/>
  <c r="Z215" i="31"/>
  <c r="Y215" i="31"/>
  <c r="X215" i="31"/>
  <c r="W215" i="31"/>
  <c r="V215" i="31"/>
  <c r="U215" i="31"/>
  <c r="T215" i="31"/>
  <c r="S215" i="31"/>
  <c r="R215" i="31"/>
  <c r="Q215" i="31"/>
  <c r="P215" i="31"/>
  <c r="O215" i="31"/>
  <c r="N215" i="31"/>
  <c r="M215" i="31"/>
  <c r="L215" i="31"/>
  <c r="K215" i="31"/>
  <c r="J215" i="31"/>
  <c r="I215" i="31"/>
  <c r="H215" i="31"/>
  <c r="G215" i="31"/>
  <c r="F215" i="31"/>
  <c r="E215" i="31"/>
  <c r="D215" i="31"/>
  <c r="C215" i="31"/>
  <c r="B215" i="31"/>
  <c r="A215" i="31"/>
  <c r="B214" i="31"/>
  <c r="S189" i="31"/>
  <c r="AG179" i="31"/>
  <c r="B179" i="31"/>
  <c r="C178" i="31"/>
  <c r="D178" i="31" s="1"/>
  <c r="C177" i="31"/>
  <c r="D177" i="31" s="1"/>
  <c r="E177" i="31" s="1"/>
  <c r="F177" i="31" s="1"/>
  <c r="G177" i="31" s="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F176" i="3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C176" i="31"/>
  <c r="D176" i="31" s="1"/>
  <c r="E176" i="31" s="1"/>
  <c r="D175" i="3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C175" i="31"/>
  <c r="C174" i="31"/>
  <c r="D174" i="31" s="1"/>
  <c r="E174" i="31" s="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E173" i="31"/>
  <c r="C173" i="31"/>
  <c r="D173" i="31" s="1"/>
  <c r="AG171" i="31"/>
  <c r="B171" i="31"/>
  <c r="C170" i="31"/>
  <c r="D170" i="31" s="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D169" i="31"/>
  <c r="E169" i="31" s="1"/>
  <c r="F169" i="31" s="1"/>
  <c r="G169" i="31" s="1"/>
  <c r="H169" i="31" s="1"/>
  <c r="I169" i="31" s="1"/>
  <c r="J169" i="31" s="1"/>
  <c r="K169" i="31" s="1"/>
  <c r="L169" i="31" s="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C169" i="31"/>
  <c r="C168" i="31"/>
  <c r="D168" i="31" s="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M167" i="3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D167" i="31"/>
  <c r="E167" i="31" s="1"/>
  <c r="F167" i="31" s="1"/>
  <c r="G167" i="31" s="1"/>
  <c r="H167" i="31" s="1"/>
  <c r="I167" i="31" s="1"/>
  <c r="J167" i="31" s="1"/>
  <c r="K167" i="31" s="1"/>
  <c r="L167" i="31" s="1"/>
  <c r="C167" i="31"/>
  <c r="G166" i="3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F166" i="31"/>
  <c r="C166" i="31"/>
  <c r="D166" i="31" s="1"/>
  <c r="E166" i="31" s="1"/>
  <c r="E165" i="3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D165" i="31"/>
  <c r="C165" i="31"/>
  <c r="C164" i="31"/>
  <c r="D164" i="31" s="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N163" i="3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F163" i="31"/>
  <c r="G163" i="31" s="1"/>
  <c r="H163" i="31" s="1"/>
  <c r="I163" i="31" s="1"/>
  <c r="J163" i="31" s="1"/>
  <c r="K163" i="31" s="1"/>
  <c r="L163" i="31" s="1"/>
  <c r="M163" i="31" s="1"/>
  <c r="E163" i="31"/>
  <c r="C163" i="31"/>
  <c r="D163" i="31" s="1"/>
  <c r="H162" i="3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F162" i="31"/>
  <c r="G162" i="31" s="1"/>
  <c r="D162" i="31"/>
  <c r="E162" i="31" s="1"/>
  <c r="C162" i="31"/>
  <c r="G161" i="3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E161" i="31"/>
  <c r="F161" i="31" s="1"/>
  <c r="D161" i="31"/>
  <c r="C161" i="31"/>
  <c r="C160" i="31"/>
  <c r="D160" i="31" s="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N159" i="3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H159" i="31"/>
  <c r="I159" i="31" s="1"/>
  <c r="J159" i="31" s="1"/>
  <c r="K159" i="31" s="1"/>
  <c r="L159" i="31" s="1"/>
  <c r="M159" i="31" s="1"/>
  <c r="E159" i="31"/>
  <c r="F159" i="31" s="1"/>
  <c r="G159" i="31" s="1"/>
  <c r="D159" i="31"/>
  <c r="C159" i="31"/>
  <c r="C158" i="31"/>
  <c r="D158" i="31" s="1"/>
  <c r="E158" i="31" s="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G157" i="3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F157" i="31"/>
  <c r="E157" i="31"/>
  <c r="C157" i="31"/>
  <c r="D157" i="31" s="1"/>
  <c r="U156" i="3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C156" i="31"/>
  <c r="D156" i="31" s="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C155" i="31"/>
  <c r="D155" i="31" s="1"/>
  <c r="E155" i="31" s="1"/>
  <c r="F155" i="31" s="1"/>
  <c r="G155" i="31" s="1"/>
  <c r="H155" i="31" s="1"/>
  <c r="I155" i="31" s="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C154" i="31"/>
  <c r="D154" i="31" s="1"/>
  <c r="E154" i="31" s="1"/>
  <c r="F154" i="31" s="1"/>
  <c r="G154" i="31" s="1"/>
  <c r="H154" i="31" s="1"/>
  <c r="I154" i="31" s="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H153" i="3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F153" i="31"/>
  <c r="G153" i="31" s="1"/>
  <c r="E153" i="31"/>
  <c r="D153" i="31"/>
  <c r="C153" i="31"/>
  <c r="G152" i="3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D152" i="31"/>
  <c r="E152" i="31" s="1"/>
  <c r="F152" i="31" s="1"/>
  <c r="C152" i="31"/>
  <c r="D151" i="31"/>
  <c r="E151" i="31" s="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C151" i="31"/>
  <c r="Z150" i="31"/>
  <c r="AA150" i="31" s="1"/>
  <c r="AB150" i="31" s="1"/>
  <c r="AC150" i="31" s="1"/>
  <c r="AD150" i="31" s="1"/>
  <c r="AE150" i="31" s="1"/>
  <c r="AF150" i="31" s="1"/>
  <c r="C150" i="31"/>
  <c r="D150" i="31" s="1"/>
  <c r="E150" i="31" s="1"/>
  <c r="F150" i="31" s="1"/>
  <c r="G150" i="31" s="1"/>
  <c r="H150" i="31" s="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F149" i="31"/>
  <c r="G149" i="31" s="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E149" i="31"/>
  <c r="D149" i="31"/>
  <c r="C149" i="31"/>
  <c r="D148" i="31"/>
  <c r="E148" i="31" s="1"/>
  <c r="F148" i="31" s="1"/>
  <c r="G148" i="31" s="1"/>
  <c r="H148" i="31" s="1"/>
  <c r="I148" i="31" s="1"/>
  <c r="J148" i="31" s="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C148" i="31"/>
  <c r="D147" i="31"/>
  <c r="E147" i="31" s="1"/>
  <c r="F147" i="31" s="1"/>
  <c r="G147" i="31" s="1"/>
  <c r="H147" i="31" s="1"/>
  <c r="I147" i="31" s="1"/>
  <c r="J147" i="31" s="1"/>
  <c r="K147" i="31" s="1"/>
  <c r="L147" i="31" s="1"/>
  <c r="M147" i="31" s="1"/>
  <c r="N147" i="31" s="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Y147" i="31" s="1"/>
  <c r="Z147" i="31" s="1"/>
  <c r="AA147" i="31" s="1"/>
  <c r="AB147" i="31" s="1"/>
  <c r="AC147" i="31" s="1"/>
  <c r="AD147" i="31" s="1"/>
  <c r="AE147" i="31" s="1"/>
  <c r="AF147" i="31" s="1"/>
  <c r="C147" i="31"/>
  <c r="H146" i="3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F146" i="31"/>
  <c r="G146" i="31" s="1"/>
  <c r="C146" i="31"/>
  <c r="D146" i="31" s="1"/>
  <c r="E146" i="31" s="1"/>
  <c r="V145" i="3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D145" i="31"/>
  <c r="E145" i="31" s="1"/>
  <c r="F145" i="31" s="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C145" i="31"/>
  <c r="H144" i="3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F144" i="31"/>
  <c r="G144" i="31" s="1"/>
  <c r="C144" i="31"/>
  <c r="D144" i="31" s="1"/>
  <c r="E144" i="31" s="1"/>
  <c r="F143" i="3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D143" i="31"/>
  <c r="E143" i="31" s="1"/>
  <c r="C143" i="31"/>
  <c r="I142" i="3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G142" i="31"/>
  <c r="H142" i="31" s="1"/>
  <c r="D142" i="31"/>
  <c r="E142" i="31" s="1"/>
  <c r="F142" i="31" s="1"/>
  <c r="C142" i="31"/>
  <c r="D141" i="31"/>
  <c r="E141" i="31" s="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C141" i="31"/>
  <c r="P140" i="3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D140" i="3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C140" i="31"/>
  <c r="O139" i="3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C139" i="31"/>
  <c r="D139" i="31" s="1"/>
  <c r="E139" i="31" s="1"/>
  <c r="F139" i="31" s="1"/>
  <c r="G139" i="31" s="1"/>
  <c r="H139" i="31" s="1"/>
  <c r="I139" i="31" s="1"/>
  <c r="J139" i="31" s="1"/>
  <c r="K139" i="31" s="1"/>
  <c r="L139" i="31" s="1"/>
  <c r="M139" i="31" s="1"/>
  <c r="N139" i="31" s="1"/>
  <c r="G138" i="31"/>
  <c r="H138" i="31" s="1"/>
  <c r="I138" i="31" s="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E138" i="31"/>
  <c r="F138" i="31" s="1"/>
  <c r="D138" i="31"/>
  <c r="C138" i="31"/>
  <c r="C137" i="31"/>
  <c r="D137" i="31" s="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Q136" i="3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F136" i="3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E136" i="31"/>
  <c r="C136" i="31"/>
  <c r="D136" i="31" s="1"/>
  <c r="N135" i="3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C135" i="31"/>
  <c r="D135" i="31" s="1"/>
  <c r="E135" i="31" s="1"/>
  <c r="F135" i="31" s="1"/>
  <c r="G135" i="31" s="1"/>
  <c r="H135" i="31" s="1"/>
  <c r="I135" i="31" s="1"/>
  <c r="J135" i="31" s="1"/>
  <c r="K135" i="31" s="1"/>
  <c r="L135" i="31" s="1"/>
  <c r="M135" i="31" s="1"/>
  <c r="C134" i="31"/>
  <c r="D134" i="31" s="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AF133" i="31"/>
  <c r="E133" i="3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D133" i="31"/>
  <c r="C133" i="31"/>
  <c r="G132" i="3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F132" i="31"/>
  <c r="E132" i="31"/>
  <c r="C132" i="31"/>
  <c r="D132" i="31" s="1"/>
  <c r="D131" i="3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C131" i="31"/>
  <c r="D130" i="31"/>
  <c r="E130" i="31" s="1"/>
  <c r="F130" i="31" s="1"/>
  <c r="G130" i="31" s="1"/>
  <c r="H130" i="31" s="1"/>
  <c r="I130" i="31" s="1"/>
  <c r="J130" i="31" s="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C130" i="31"/>
  <c r="C129" i="31"/>
  <c r="D129" i="31" s="1"/>
  <c r="E129" i="31" s="1"/>
  <c r="F129" i="31" s="1"/>
  <c r="G129" i="31" s="1"/>
  <c r="H129" i="31" s="1"/>
  <c r="I129" i="31" s="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I128" i="3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D128" i="31"/>
  <c r="E128" i="31" s="1"/>
  <c r="F128" i="31" s="1"/>
  <c r="G128" i="31" s="1"/>
  <c r="H128" i="31" s="1"/>
  <c r="C128" i="31"/>
  <c r="AF127" i="31"/>
  <c r="E127" i="3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D127" i="31"/>
  <c r="C127" i="31"/>
  <c r="P126" i="3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E126" i="3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C126" i="31"/>
  <c r="D126" i="31" s="1"/>
  <c r="C125" i="31"/>
  <c r="D125" i="31" s="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Q124" i="3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D124" i="3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C124" i="31"/>
  <c r="O123" i="3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H123" i="31"/>
  <c r="I123" i="31" s="1"/>
  <c r="J123" i="31" s="1"/>
  <c r="K123" i="31" s="1"/>
  <c r="L123" i="31" s="1"/>
  <c r="M123" i="31" s="1"/>
  <c r="N123" i="31" s="1"/>
  <c r="G123" i="31"/>
  <c r="E123" i="31"/>
  <c r="F123" i="31" s="1"/>
  <c r="D123" i="31"/>
  <c r="C123" i="31"/>
  <c r="C122" i="31"/>
  <c r="D122" i="31" s="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N121" i="3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L121" i="31"/>
  <c r="M121" i="31" s="1"/>
  <c r="C121" i="31"/>
  <c r="D121" i="31" s="1"/>
  <c r="E121" i="31" s="1"/>
  <c r="F121" i="31" s="1"/>
  <c r="G121" i="31" s="1"/>
  <c r="H121" i="31" s="1"/>
  <c r="I121" i="31" s="1"/>
  <c r="J121" i="31" s="1"/>
  <c r="K121" i="31" s="1"/>
  <c r="AB120" i="31"/>
  <c r="AC120" i="31" s="1"/>
  <c r="AD120" i="31" s="1"/>
  <c r="AE120" i="31" s="1"/>
  <c r="AF120" i="31" s="1"/>
  <c r="C120" i="31"/>
  <c r="D120" i="31" s="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Q119" i="3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H119" i="31"/>
  <c r="I119" i="31" s="1"/>
  <c r="J119" i="31" s="1"/>
  <c r="K119" i="31" s="1"/>
  <c r="L119" i="31" s="1"/>
  <c r="M119" i="31" s="1"/>
  <c r="N119" i="31" s="1"/>
  <c r="O119" i="31" s="1"/>
  <c r="P119" i="31" s="1"/>
  <c r="E119" i="31"/>
  <c r="F119" i="31" s="1"/>
  <c r="G119" i="31" s="1"/>
  <c r="D119" i="31"/>
  <c r="C119" i="31"/>
  <c r="C118" i="31"/>
  <c r="D118" i="31" s="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C117" i="31"/>
  <c r="D117" i="31" s="1"/>
  <c r="E117" i="31" s="1"/>
  <c r="F117" i="31" s="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G116" i="3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C116" i="31"/>
  <c r="D116" i="31" s="1"/>
  <c r="E116" i="31" s="1"/>
  <c r="F116" i="31" s="1"/>
  <c r="X115" i="31"/>
  <c r="Y115" i="31" s="1"/>
  <c r="Z115" i="31" s="1"/>
  <c r="AA115" i="31" s="1"/>
  <c r="AB115" i="31" s="1"/>
  <c r="AC115" i="31" s="1"/>
  <c r="AD115" i="31" s="1"/>
  <c r="AE115" i="31" s="1"/>
  <c r="AF115" i="31" s="1"/>
  <c r="G115" i="31"/>
  <c r="H115" i="31" s="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C115" i="31"/>
  <c r="D115" i="31" s="1"/>
  <c r="E115" i="31" s="1"/>
  <c r="F115" i="31" s="1"/>
  <c r="E114" i="31"/>
  <c r="F114" i="31" s="1"/>
  <c r="G114" i="31" s="1"/>
  <c r="H114" i="31" s="1"/>
  <c r="I114" i="31" s="1"/>
  <c r="J114" i="31" s="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C114" i="31"/>
  <c r="D114" i="31" s="1"/>
  <c r="K113" i="3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I113" i="31"/>
  <c r="J113" i="31" s="1"/>
  <c r="D113" i="31"/>
  <c r="E113" i="31" s="1"/>
  <c r="F113" i="31" s="1"/>
  <c r="G113" i="31" s="1"/>
  <c r="H113" i="31" s="1"/>
  <c r="C113" i="31"/>
  <c r="R112" i="3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D112" i="31"/>
  <c r="E112" i="31" s="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C112" i="31"/>
  <c r="I111" i="3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G111" i="31"/>
  <c r="H111" i="31" s="1"/>
  <c r="E111" i="31"/>
  <c r="F111" i="31" s="1"/>
  <c r="C111" i="31"/>
  <c r="D111" i="31" s="1"/>
  <c r="K110" i="3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F110" i="31"/>
  <c r="G110" i="31" s="1"/>
  <c r="H110" i="31" s="1"/>
  <c r="I110" i="31" s="1"/>
  <c r="J110" i="31" s="1"/>
  <c r="C110" i="31"/>
  <c r="D110" i="31" s="1"/>
  <c r="E110" i="31" s="1"/>
  <c r="C109" i="31"/>
  <c r="D109" i="31" s="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D108" i="31"/>
  <c r="E108" i="31" s="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T108" i="31" s="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C108" i="31"/>
  <c r="N107" i="3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C107" i="31"/>
  <c r="D107" i="31" s="1"/>
  <c r="E107" i="31" s="1"/>
  <c r="F107" i="31" s="1"/>
  <c r="G107" i="31" s="1"/>
  <c r="H107" i="31" s="1"/>
  <c r="I107" i="31" s="1"/>
  <c r="J107" i="31" s="1"/>
  <c r="K107" i="31" s="1"/>
  <c r="L107" i="31" s="1"/>
  <c r="M107" i="31" s="1"/>
  <c r="W106" i="3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C106" i="31"/>
  <c r="D106" i="31" s="1"/>
  <c r="E106" i="31" s="1"/>
  <c r="F106" i="31" s="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Q105" i="3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G105" i="31"/>
  <c r="H105" i="31" s="1"/>
  <c r="I105" i="31" s="1"/>
  <c r="J105" i="31" s="1"/>
  <c r="K105" i="31" s="1"/>
  <c r="L105" i="31" s="1"/>
  <c r="M105" i="31" s="1"/>
  <c r="N105" i="31" s="1"/>
  <c r="O105" i="31" s="1"/>
  <c r="P105" i="31" s="1"/>
  <c r="E105" i="31"/>
  <c r="F105" i="31" s="1"/>
  <c r="D105" i="31"/>
  <c r="C105" i="31"/>
  <c r="E104" i="3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D104" i="31"/>
  <c r="C104" i="31"/>
  <c r="K103" i="3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C103" i="31"/>
  <c r="D103" i="31" s="1"/>
  <c r="E103" i="31" s="1"/>
  <c r="F103" i="31" s="1"/>
  <c r="G103" i="31" s="1"/>
  <c r="H103" i="31" s="1"/>
  <c r="I103" i="31" s="1"/>
  <c r="J103" i="31" s="1"/>
  <c r="C102" i="31"/>
  <c r="D102" i="31" s="1"/>
  <c r="E102" i="31" s="1"/>
  <c r="F102" i="31" s="1"/>
  <c r="G102" i="31" s="1"/>
  <c r="H102" i="31" s="1"/>
  <c r="I102" i="31" s="1"/>
  <c r="J102" i="31" s="1"/>
  <c r="K102" i="31" s="1"/>
  <c r="L102" i="31" s="1"/>
  <c r="M102" i="31" s="1"/>
  <c r="N102" i="31" s="1"/>
  <c r="O102" i="31" s="1"/>
  <c r="P102" i="31" s="1"/>
  <c r="Q102" i="31" s="1"/>
  <c r="R102" i="31" s="1"/>
  <c r="S102" i="31" s="1"/>
  <c r="T102" i="31" s="1"/>
  <c r="U102" i="31" s="1"/>
  <c r="V102" i="31" s="1"/>
  <c r="W102" i="31" s="1"/>
  <c r="X102" i="31" s="1"/>
  <c r="Y102" i="31" s="1"/>
  <c r="Z102" i="31" s="1"/>
  <c r="AA102" i="31" s="1"/>
  <c r="AB102" i="31" s="1"/>
  <c r="AC102" i="31" s="1"/>
  <c r="AD102" i="31" s="1"/>
  <c r="AE102" i="31" s="1"/>
  <c r="AF102" i="31" s="1"/>
  <c r="G101" i="31"/>
  <c r="H101" i="31" s="1"/>
  <c r="I101" i="31" s="1"/>
  <c r="J101" i="31" s="1"/>
  <c r="K101" i="31" s="1"/>
  <c r="L101" i="31" s="1"/>
  <c r="M101" i="31" s="1"/>
  <c r="N101" i="31" s="1"/>
  <c r="O101" i="31" s="1"/>
  <c r="P101" i="31" s="1"/>
  <c r="Q101" i="31" s="1"/>
  <c r="R101" i="31" s="1"/>
  <c r="S101" i="31" s="1"/>
  <c r="T101" i="31" s="1"/>
  <c r="U101" i="31" s="1"/>
  <c r="V101" i="31" s="1"/>
  <c r="W101" i="31" s="1"/>
  <c r="X101" i="31" s="1"/>
  <c r="Y101" i="31" s="1"/>
  <c r="Z101" i="31" s="1"/>
  <c r="AA101" i="31" s="1"/>
  <c r="AB101" i="31" s="1"/>
  <c r="AC101" i="31" s="1"/>
  <c r="AD101" i="31" s="1"/>
  <c r="AE101" i="31" s="1"/>
  <c r="AF101" i="31" s="1"/>
  <c r="F101" i="31"/>
  <c r="D101" i="31"/>
  <c r="E101" i="31" s="1"/>
  <c r="C101" i="31"/>
  <c r="E100" i="31"/>
  <c r="F100" i="31" s="1"/>
  <c r="G100" i="31" s="1"/>
  <c r="H100" i="31" s="1"/>
  <c r="I100" i="31" s="1"/>
  <c r="J100" i="31" s="1"/>
  <c r="K100" i="31" s="1"/>
  <c r="L100" i="31" s="1"/>
  <c r="M100" i="31" s="1"/>
  <c r="N100" i="31" s="1"/>
  <c r="O100" i="31" s="1"/>
  <c r="P100" i="31" s="1"/>
  <c r="Q100" i="31" s="1"/>
  <c r="R100" i="31" s="1"/>
  <c r="S100" i="31" s="1"/>
  <c r="T100" i="31" s="1"/>
  <c r="U100" i="31" s="1"/>
  <c r="V100" i="31" s="1"/>
  <c r="W100" i="31" s="1"/>
  <c r="X100" i="31" s="1"/>
  <c r="Y100" i="31" s="1"/>
  <c r="Z100" i="31" s="1"/>
  <c r="AA100" i="31" s="1"/>
  <c r="AB100" i="31" s="1"/>
  <c r="AC100" i="31" s="1"/>
  <c r="AD100" i="31" s="1"/>
  <c r="AE100" i="31" s="1"/>
  <c r="AF100" i="31" s="1"/>
  <c r="D100" i="31"/>
  <c r="C100" i="31"/>
  <c r="S99" i="31"/>
  <c r="T99" i="31" s="1"/>
  <c r="U99" i="31" s="1"/>
  <c r="V99" i="31" s="1"/>
  <c r="W99" i="31" s="1"/>
  <c r="X99" i="31" s="1"/>
  <c r="Y99" i="31" s="1"/>
  <c r="Z99" i="31" s="1"/>
  <c r="AA99" i="31" s="1"/>
  <c r="AB99" i="31" s="1"/>
  <c r="AC99" i="31" s="1"/>
  <c r="AD99" i="31" s="1"/>
  <c r="AE99" i="31" s="1"/>
  <c r="AF99" i="31" s="1"/>
  <c r="K99" i="31"/>
  <c r="L99" i="31" s="1"/>
  <c r="M99" i="31" s="1"/>
  <c r="N99" i="31" s="1"/>
  <c r="O99" i="31" s="1"/>
  <c r="P99" i="31" s="1"/>
  <c r="Q99" i="31" s="1"/>
  <c r="R99" i="31" s="1"/>
  <c r="J99" i="31"/>
  <c r="E99" i="31"/>
  <c r="F99" i="31" s="1"/>
  <c r="G99" i="31" s="1"/>
  <c r="H99" i="31" s="1"/>
  <c r="D99" i="31"/>
  <c r="C99" i="31"/>
  <c r="C98" i="31"/>
  <c r="D98" i="31" s="1"/>
  <c r="E98" i="31" s="1"/>
  <c r="F98" i="31" s="1"/>
  <c r="G98" i="31" s="1"/>
  <c r="H98" i="31" s="1"/>
  <c r="I98" i="31" s="1"/>
  <c r="J98" i="31" s="1"/>
  <c r="K98" i="31" s="1"/>
  <c r="L98" i="31" s="1"/>
  <c r="M98" i="31" s="1"/>
  <c r="N98" i="31" s="1"/>
  <c r="O98" i="31" s="1"/>
  <c r="P98" i="31" s="1"/>
  <c r="Q98" i="31" s="1"/>
  <c r="R98" i="31" s="1"/>
  <c r="S98" i="31" s="1"/>
  <c r="T98" i="31" s="1"/>
  <c r="U98" i="31" s="1"/>
  <c r="V98" i="31" s="1"/>
  <c r="W98" i="31" s="1"/>
  <c r="X98" i="31" s="1"/>
  <c r="Y98" i="31" s="1"/>
  <c r="Z98" i="31" s="1"/>
  <c r="AA98" i="31" s="1"/>
  <c r="AB98" i="31" s="1"/>
  <c r="AC98" i="31" s="1"/>
  <c r="AD98" i="31" s="1"/>
  <c r="AE98" i="31" s="1"/>
  <c r="AF98" i="31" s="1"/>
  <c r="P97" i="31"/>
  <c r="Q97" i="31" s="1"/>
  <c r="R97" i="31" s="1"/>
  <c r="S97" i="31" s="1"/>
  <c r="T97" i="31" s="1"/>
  <c r="U97" i="31" s="1"/>
  <c r="V97" i="31" s="1"/>
  <c r="W97" i="31" s="1"/>
  <c r="X97" i="31" s="1"/>
  <c r="Y97" i="31" s="1"/>
  <c r="Z97" i="31" s="1"/>
  <c r="AA97" i="31" s="1"/>
  <c r="AB97" i="31" s="1"/>
  <c r="AC97" i="31" s="1"/>
  <c r="AD97" i="31" s="1"/>
  <c r="AE97" i="31" s="1"/>
  <c r="AF97" i="31" s="1"/>
  <c r="E97" i="31"/>
  <c r="F97" i="31" s="1"/>
  <c r="G97" i="31" s="1"/>
  <c r="H97" i="31" s="1"/>
  <c r="I97" i="31" s="1"/>
  <c r="J97" i="31" s="1"/>
  <c r="K97" i="31" s="1"/>
  <c r="L97" i="31" s="1"/>
  <c r="M97" i="31" s="1"/>
  <c r="N97" i="31" s="1"/>
  <c r="O97" i="31" s="1"/>
  <c r="D97" i="31"/>
  <c r="C97" i="31"/>
  <c r="H96" i="31"/>
  <c r="I96" i="31" s="1"/>
  <c r="J96" i="31" s="1"/>
  <c r="K96" i="31" s="1"/>
  <c r="L96" i="31" s="1"/>
  <c r="M96" i="31" s="1"/>
  <c r="N96" i="31" s="1"/>
  <c r="O96" i="31" s="1"/>
  <c r="P96" i="31" s="1"/>
  <c r="Q96" i="31" s="1"/>
  <c r="R96" i="31" s="1"/>
  <c r="S96" i="31" s="1"/>
  <c r="T96" i="31" s="1"/>
  <c r="U96" i="31" s="1"/>
  <c r="V96" i="31" s="1"/>
  <c r="W96" i="31" s="1"/>
  <c r="X96" i="31" s="1"/>
  <c r="Y96" i="31" s="1"/>
  <c r="Z96" i="31" s="1"/>
  <c r="AA96" i="31" s="1"/>
  <c r="AB96" i="31" s="1"/>
  <c r="AC96" i="31" s="1"/>
  <c r="AD96" i="31" s="1"/>
  <c r="AE96" i="31" s="1"/>
  <c r="AF96" i="31" s="1"/>
  <c r="C96" i="31"/>
  <c r="D96" i="31" s="1"/>
  <c r="E96" i="31" s="1"/>
  <c r="F96" i="31" s="1"/>
  <c r="G96" i="31" s="1"/>
  <c r="C95" i="31"/>
  <c r="D95" i="31" s="1"/>
  <c r="E95" i="31" s="1"/>
  <c r="F95" i="31" s="1"/>
  <c r="G95" i="31" s="1"/>
  <c r="H95" i="31" s="1"/>
  <c r="I95" i="31" s="1"/>
  <c r="J95" i="31" s="1"/>
  <c r="K95" i="31" s="1"/>
  <c r="L95" i="31" s="1"/>
  <c r="M95" i="31" s="1"/>
  <c r="N95" i="31" s="1"/>
  <c r="O95" i="31" s="1"/>
  <c r="P95" i="31" s="1"/>
  <c r="Q95" i="31" s="1"/>
  <c r="R95" i="31" s="1"/>
  <c r="S95" i="31" s="1"/>
  <c r="T95" i="31" s="1"/>
  <c r="U95" i="31" s="1"/>
  <c r="V95" i="31" s="1"/>
  <c r="W95" i="31" s="1"/>
  <c r="X95" i="31" s="1"/>
  <c r="Y95" i="31" s="1"/>
  <c r="Z95" i="31" s="1"/>
  <c r="AA95" i="31" s="1"/>
  <c r="AB95" i="31" s="1"/>
  <c r="AC95" i="31" s="1"/>
  <c r="AD95" i="31" s="1"/>
  <c r="AE95" i="31" s="1"/>
  <c r="AF95" i="31" s="1"/>
  <c r="D94" i="31"/>
  <c r="C94" i="31"/>
  <c r="C82" i="31" s="1"/>
  <c r="J93" i="31"/>
  <c r="K93" i="31" s="1"/>
  <c r="L93" i="31" s="1"/>
  <c r="M93" i="31" s="1"/>
  <c r="N93" i="31" s="1"/>
  <c r="O93" i="31" s="1"/>
  <c r="P93" i="31" s="1"/>
  <c r="Q93" i="31" s="1"/>
  <c r="R93" i="31" s="1"/>
  <c r="S93" i="31" s="1"/>
  <c r="T93" i="31" s="1"/>
  <c r="U93" i="31" s="1"/>
  <c r="V93" i="31" s="1"/>
  <c r="W93" i="31" s="1"/>
  <c r="X93" i="31" s="1"/>
  <c r="Y93" i="31" s="1"/>
  <c r="Z93" i="31" s="1"/>
  <c r="AA93" i="31" s="1"/>
  <c r="AB93" i="31" s="1"/>
  <c r="AC93" i="31" s="1"/>
  <c r="AD93" i="31" s="1"/>
  <c r="AE93" i="31" s="1"/>
  <c r="AF93" i="31" s="1"/>
  <c r="E93" i="31"/>
  <c r="F93" i="31" s="1"/>
  <c r="G93" i="31" s="1"/>
  <c r="H93" i="31" s="1"/>
  <c r="I93" i="31" s="1"/>
  <c r="D93" i="31"/>
  <c r="C93" i="31"/>
  <c r="C92" i="31"/>
  <c r="D92" i="31" s="1"/>
  <c r="E92" i="31" s="1"/>
  <c r="F92" i="31" s="1"/>
  <c r="G92" i="31" s="1"/>
  <c r="H92" i="31" s="1"/>
  <c r="I92" i="31" s="1"/>
  <c r="J92" i="31" s="1"/>
  <c r="K92" i="31" s="1"/>
  <c r="L92" i="31" s="1"/>
  <c r="M92" i="31" s="1"/>
  <c r="N92" i="31" s="1"/>
  <c r="O92" i="31" s="1"/>
  <c r="P92" i="31" s="1"/>
  <c r="Q92" i="31" s="1"/>
  <c r="R92" i="31" s="1"/>
  <c r="S92" i="31" s="1"/>
  <c r="T92" i="31" s="1"/>
  <c r="U92" i="31" s="1"/>
  <c r="V92" i="31" s="1"/>
  <c r="W92" i="31" s="1"/>
  <c r="X92" i="31" s="1"/>
  <c r="Y92" i="31" s="1"/>
  <c r="Z92" i="31" s="1"/>
  <c r="AA92" i="31" s="1"/>
  <c r="AB92" i="31" s="1"/>
  <c r="AC92" i="31" s="1"/>
  <c r="AD92" i="31" s="1"/>
  <c r="AE92" i="31" s="1"/>
  <c r="AF92" i="31" s="1"/>
  <c r="F91" i="31"/>
  <c r="G91" i="31" s="1"/>
  <c r="H91" i="31" s="1"/>
  <c r="I91" i="31" s="1"/>
  <c r="J91" i="31" s="1"/>
  <c r="K91" i="31" s="1"/>
  <c r="L91" i="31" s="1"/>
  <c r="M91" i="31" s="1"/>
  <c r="N91" i="31" s="1"/>
  <c r="O91" i="31" s="1"/>
  <c r="P91" i="31" s="1"/>
  <c r="Q91" i="31" s="1"/>
  <c r="R91" i="31" s="1"/>
  <c r="S91" i="31" s="1"/>
  <c r="T91" i="31" s="1"/>
  <c r="U91" i="31" s="1"/>
  <c r="V91" i="31" s="1"/>
  <c r="W91" i="31" s="1"/>
  <c r="X91" i="31" s="1"/>
  <c r="Y91" i="31" s="1"/>
  <c r="Z91" i="31" s="1"/>
  <c r="AA91" i="31" s="1"/>
  <c r="AB91" i="31" s="1"/>
  <c r="AC91" i="31" s="1"/>
  <c r="AD91" i="31" s="1"/>
  <c r="AE91" i="31" s="1"/>
  <c r="AF91" i="31" s="1"/>
  <c r="C91" i="31"/>
  <c r="D91" i="31" s="1"/>
  <c r="E91" i="31" s="1"/>
  <c r="L90" i="31"/>
  <c r="M90" i="31" s="1"/>
  <c r="N90" i="31" s="1"/>
  <c r="O90" i="31" s="1"/>
  <c r="P90" i="31" s="1"/>
  <c r="Q90" i="31" s="1"/>
  <c r="R90" i="31" s="1"/>
  <c r="S90" i="31" s="1"/>
  <c r="T90" i="31" s="1"/>
  <c r="U90" i="31" s="1"/>
  <c r="V90" i="31" s="1"/>
  <c r="W90" i="31" s="1"/>
  <c r="X90" i="31" s="1"/>
  <c r="Y90" i="31" s="1"/>
  <c r="Z90" i="31" s="1"/>
  <c r="AA90" i="31" s="1"/>
  <c r="AB90" i="31" s="1"/>
  <c r="AC90" i="31" s="1"/>
  <c r="AD90" i="31" s="1"/>
  <c r="AE90" i="31" s="1"/>
  <c r="AF90" i="31" s="1"/>
  <c r="D90" i="31"/>
  <c r="E90" i="31" s="1"/>
  <c r="F90" i="31" s="1"/>
  <c r="G90" i="31" s="1"/>
  <c r="H90" i="31" s="1"/>
  <c r="I90" i="31" s="1"/>
  <c r="J90" i="31" s="1"/>
  <c r="K90" i="31" s="1"/>
  <c r="C90" i="31"/>
  <c r="E89" i="31"/>
  <c r="D89" i="31"/>
  <c r="C89" i="31"/>
  <c r="AH86" i="31"/>
  <c r="AI86" i="31" s="1"/>
  <c r="AH85" i="31"/>
  <c r="AI85" i="31" s="1"/>
  <c r="AH84" i="31"/>
  <c r="AI84" i="31" s="1"/>
  <c r="AH83" i="31"/>
  <c r="AI83" i="31" s="1"/>
  <c r="AF80" i="31"/>
  <c r="AE80" i="31"/>
  <c r="AD80" i="3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AI79" i="31"/>
  <c r="AH79" i="31"/>
  <c r="AI78" i="31"/>
  <c r="AH78" i="31"/>
  <c r="AI77" i="31"/>
  <c r="AH77" i="31"/>
  <c r="AI76" i="31"/>
  <c r="AH76" i="31"/>
  <c r="AI75" i="31"/>
  <c r="AH75" i="31"/>
  <c r="AI74" i="31"/>
  <c r="AH74" i="31"/>
  <c r="AI73" i="31"/>
  <c r="AH73" i="31"/>
  <c r="AI72" i="31"/>
  <c r="AH72" i="31"/>
  <c r="AG71" i="31"/>
  <c r="AI70" i="31"/>
  <c r="AH70" i="31"/>
  <c r="AF69" i="31"/>
  <c r="AE69" i="31"/>
  <c r="AD69" i="31"/>
  <c r="AC69" i="31"/>
  <c r="AB69" i="31"/>
  <c r="AA69" i="31"/>
  <c r="Z69" i="31"/>
  <c r="Y69" i="31"/>
  <c r="X69" i="31"/>
  <c r="W69" i="31"/>
  <c r="V69" i="31"/>
  <c r="U69" i="31"/>
  <c r="T69" i="31"/>
  <c r="S69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E69" i="31"/>
  <c r="D69" i="31"/>
  <c r="C69" i="31"/>
  <c r="AF68" i="31"/>
  <c r="AE68" i="31"/>
  <c r="AD68" i="31"/>
  <c r="AC68" i="31"/>
  <c r="AB68" i="31"/>
  <c r="AA68" i="31"/>
  <c r="Z68" i="31"/>
  <c r="Y68" i="31"/>
  <c r="X68" i="31"/>
  <c r="W68" i="31"/>
  <c r="V68" i="31"/>
  <c r="U68" i="31"/>
  <c r="T68" i="31"/>
  <c r="S68" i="31"/>
  <c r="R68" i="31"/>
  <c r="Q68" i="31"/>
  <c r="Q71" i="31" s="1"/>
  <c r="P68" i="31"/>
  <c r="O68" i="31"/>
  <c r="N68" i="31"/>
  <c r="M68" i="31"/>
  <c r="L68" i="31"/>
  <c r="K68" i="31"/>
  <c r="J68" i="31"/>
  <c r="I68" i="31"/>
  <c r="H68" i="31"/>
  <c r="G68" i="31"/>
  <c r="F68" i="31"/>
  <c r="E68" i="31"/>
  <c r="D68" i="31"/>
  <c r="C68" i="31"/>
  <c r="AF67" i="31"/>
  <c r="AE67" i="31"/>
  <c r="AD67" i="31"/>
  <c r="AC67" i="31"/>
  <c r="AB67" i="31"/>
  <c r="AA67" i="31"/>
  <c r="Z67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AF66" i="31"/>
  <c r="AF71" i="31" s="1"/>
  <c r="AE66" i="31"/>
  <c r="AE71" i="31" s="1"/>
  <c r="AD66" i="31"/>
  <c r="AC66" i="31"/>
  <c r="AB66" i="31"/>
  <c r="AA66" i="31"/>
  <c r="Z66" i="31"/>
  <c r="Y66" i="31"/>
  <c r="X66" i="31"/>
  <c r="X71" i="31" s="1"/>
  <c r="W66" i="31"/>
  <c r="V66" i="31"/>
  <c r="U66" i="31"/>
  <c r="T66" i="31"/>
  <c r="S66" i="31"/>
  <c r="R66" i="31"/>
  <c r="Q66" i="31"/>
  <c r="P66" i="31"/>
  <c r="P71" i="31" s="1"/>
  <c r="O66" i="31"/>
  <c r="N66" i="31"/>
  <c r="M66" i="31"/>
  <c r="L66" i="31"/>
  <c r="K66" i="31"/>
  <c r="K71" i="31" s="1"/>
  <c r="J66" i="31"/>
  <c r="I66" i="31"/>
  <c r="H66" i="31"/>
  <c r="H71" i="31" s="1"/>
  <c r="G66" i="31"/>
  <c r="F66" i="31"/>
  <c r="E66" i="31"/>
  <c r="D66" i="31"/>
  <c r="C66" i="31"/>
  <c r="AI64" i="31"/>
  <c r="AH64" i="31"/>
  <c r="AG63" i="31"/>
  <c r="AF63" i="31"/>
  <c r="AE63" i="31"/>
  <c r="AD63" i="31"/>
  <c r="AC63" i="31"/>
  <c r="AB63" i="31"/>
  <c r="AA63" i="31"/>
  <c r="Z63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AI62" i="31"/>
  <c r="AH62" i="31"/>
  <c r="AI61" i="31"/>
  <c r="AH61" i="31"/>
  <c r="AI60" i="31"/>
  <c r="AH60" i="31"/>
  <c r="AG59" i="31"/>
  <c r="AG65" i="31" s="1"/>
  <c r="AF59" i="31"/>
  <c r="AF5" i="31" s="1"/>
  <c r="AE59" i="31"/>
  <c r="AD59" i="31"/>
  <c r="AD5" i="31" s="1"/>
  <c r="AC59" i="31"/>
  <c r="AC5" i="31" s="1"/>
  <c r="AB59" i="31"/>
  <c r="AA59" i="31"/>
  <c r="AA5" i="31" s="1"/>
  <c r="Z59" i="31"/>
  <c r="Y59" i="31"/>
  <c r="Y5" i="31" s="1"/>
  <c r="X59" i="31"/>
  <c r="X5" i="31" s="1"/>
  <c r="W59" i="31"/>
  <c r="W5" i="31" s="1"/>
  <c r="V59" i="31"/>
  <c r="V5" i="31" s="1"/>
  <c r="U59" i="31"/>
  <c r="U5" i="31" s="1"/>
  <c r="T59" i="31"/>
  <c r="S59" i="31"/>
  <c r="S5" i="31" s="1"/>
  <c r="R59" i="31"/>
  <c r="R5" i="31" s="1"/>
  <c r="Q59" i="31"/>
  <c r="Q5" i="31" s="1"/>
  <c r="P59" i="31"/>
  <c r="P5" i="31" s="1"/>
  <c r="O59" i="31"/>
  <c r="O5" i="31" s="1"/>
  <c r="N59" i="31"/>
  <c r="N5" i="31" s="1"/>
  <c r="M59" i="31"/>
  <c r="M5" i="31" s="1"/>
  <c r="L59" i="31"/>
  <c r="K59" i="31"/>
  <c r="K5" i="31" s="1"/>
  <c r="J59" i="31"/>
  <c r="J5" i="31" s="1"/>
  <c r="I59" i="31"/>
  <c r="I5" i="31" s="1"/>
  <c r="H59" i="31"/>
  <c r="H5" i="31" s="1"/>
  <c r="G59" i="31"/>
  <c r="F59" i="31"/>
  <c r="F5" i="31" s="1"/>
  <c r="E59" i="31"/>
  <c r="E5" i="31" s="1"/>
  <c r="D59" i="31"/>
  <c r="C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G47" i="31"/>
  <c r="AG4" i="31" s="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I46" i="31"/>
  <c r="AH46" i="31"/>
  <c r="AI45" i="31"/>
  <c r="AH45" i="31"/>
  <c r="AI44" i="31"/>
  <c r="AH44" i="31"/>
  <c r="AG43" i="31"/>
  <c r="AG3" i="31" s="1"/>
  <c r="AG6" i="31" s="1"/>
  <c r="AG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E5" i="31"/>
  <c r="AB5" i="31"/>
  <c r="Z5" i="31"/>
  <c r="T5" i="31"/>
  <c r="L5" i="31"/>
  <c r="G5" i="31"/>
  <c r="D5" i="31"/>
  <c r="K4" i="31"/>
  <c r="C4" i="31"/>
  <c r="AG2" i="31"/>
  <c r="AE84" i="30"/>
  <c r="AD84" i="30"/>
  <c r="O43" i="30"/>
  <c r="AH87" i="30"/>
  <c r="AI87" i="30" s="1"/>
  <c r="AF218" i="30"/>
  <c r="AE218" i="30"/>
  <c r="AD218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E218" i="30"/>
  <c r="D218" i="30"/>
  <c r="C218" i="30"/>
  <c r="B218" i="30"/>
  <c r="A218" i="30"/>
  <c r="AF217" i="30"/>
  <c r="AE217" i="30"/>
  <c r="AD217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E217" i="30"/>
  <c r="D217" i="30"/>
  <c r="C217" i="30"/>
  <c r="B217" i="30"/>
  <c r="A217" i="30"/>
  <c r="AF216" i="30"/>
  <c r="AE216" i="30"/>
  <c r="AD216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D216" i="30"/>
  <c r="C216" i="30"/>
  <c r="B216" i="30"/>
  <c r="A216" i="30"/>
  <c r="AF215" i="30"/>
  <c r="AE215" i="30"/>
  <c r="AD215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E215" i="30"/>
  <c r="D215" i="30"/>
  <c r="C215" i="30"/>
  <c r="B215" i="30"/>
  <c r="A215" i="30"/>
  <c r="C214" i="30"/>
  <c r="B214" i="30"/>
  <c r="S189" i="30"/>
  <c r="AG179" i="30"/>
  <c r="B179" i="30"/>
  <c r="D178" i="30"/>
  <c r="D214" i="30" s="1"/>
  <c r="C178" i="30"/>
  <c r="C177" i="30"/>
  <c r="D177" i="30" s="1"/>
  <c r="E177" i="30" s="1"/>
  <c r="F177" i="30" s="1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C176" i="30"/>
  <c r="D176" i="30" s="1"/>
  <c r="E176" i="30" s="1"/>
  <c r="F176" i="30" s="1"/>
  <c r="G176" i="30" s="1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C175" i="30"/>
  <c r="D174" i="30"/>
  <c r="E174" i="30" s="1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C174" i="30"/>
  <c r="C173" i="30"/>
  <c r="D173" i="30" s="1"/>
  <c r="AG171" i="30"/>
  <c r="B171" i="30"/>
  <c r="C170" i="30"/>
  <c r="D170" i="30" s="1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Y169" i="30"/>
  <c r="Z169" i="30" s="1"/>
  <c r="AA169" i="30" s="1"/>
  <c r="AB169" i="30" s="1"/>
  <c r="AC169" i="30" s="1"/>
  <c r="AD169" i="30" s="1"/>
  <c r="AE169" i="30" s="1"/>
  <c r="AF169" i="30" s="1"/>
  <c r="D169" i="30"/>
  <c r="E169" i="30" s="1"/>
  <c r="F169" i="30" s="1"/>
  <c r="G169" i="30" s="1"/>
  <c r="H169" i="30" s="1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C169" i="30"/>
  <c r="F168" i="30"/>
  <c r="G168" i="30" s="1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D168" i="30"/>
  <c r="E168" i="30" s="1"/>
  <c r="C168" i="30"/>
  <c r="D167" i="30"/>
  <c r="E167" i="30" s="1"/>
  <c r="F167" i="30" s="1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C167" i="30"/>
  <c r="D166" i="30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C166" i="30"/>
  <c r="E165" i="30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D165" i="30"/>
  <c r="C165" i="30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C164" i="30"/>
  <c r="C163" i="30"/>
  <c r="D163" i="30" s="1"/>
  <c r="E163" i="30" s="1"/>
  <c r="F163" i="30" s="1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K162" i="30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C162" i="30"/>
  <c r="D162" i="30" s="1"/>
  <c r="E162" i="30" s="1"/>
  <c r="F162" i="30" s="1"/>
  <c r="G162" i="30" s="1"/>
  <c r="H162" i="30" s="1"/>
  <c r="I162" i="30" s="1"/>
  <c r="J162" i="30" s="1"/>
  <c r="E161" i="30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D161" i="30"/>
  <c r="C161" i="30"/>
  <c r="C160" i="30"/>
  <c r="D160" i="30" s="1"/>
  <c r="E160" i="30" s="1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AD159" i="30"/>
  <c r="AE159" i="30" s="1"/>
  <c r="AF159" i="30" s="1"/>
  <c r="I159" i="30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C159" i="30"/>
  <c r="D159" i="30" s="1"/>
  <c r="E159" i="30" s="1"/>
  <c r="F159" i="30" s="1"/>
  <c r="G159" i="30" s="1"/>
  <c r="H159" i="30" s="1"/>
  <c r="F158" i="30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D158" i="30"/>
  <c r="E158" i="30" s="1"/>
  <c r="C158" i="30"/>
  <c r="K157" i="30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C157" i="30"/>
  <c r="D157" i="30" s="1"/>
  <c r="E157" i="30" s="1"/>
  <c r="F157" i="30" s="1"/>
  <c r="G157" i="30" s="1"/>
  <c r="H157" i="30" s="1"/>
  <c r="I157" i="30" s="1"/>
  <c r="J157" i="30" s="1"/>
  <c r="D156" i="30"/>
  <c r="E156" i="30" s="1"/>
  <c r="F156" i="30" s="1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C156" i="30"/>
  <c r="Y155" i="30"/>
  <c r="Z155" i="30" s="1"/>
  <c r="AA155" i="30" s="1"/>
  <c r="AB155" i="30" s="1"/>
  <c r="AC155" i="30" s="1"/>
  <c r="AD155" i="30" s="1"/>
  <c r="AE155" i="30" s="1"/>
  <c r="AF155" i="30" s="1"/>
  <c r="E155" i="30"/>
  <c r="F155" i="30" s="1"/>
  <c r="G155" i="30" s="1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D155" i="30"/>
  <c r="C155" i="30"/>
  <c r="L154" i="30"/>
  <c r="M154" i="30" s="1"/>
  <c r="N154" i="30" s="1"/>
  <c r="O154" i="30" s="1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H154" i="30"/>
  <c r="I154" i="30" s="1"/>
  <c r="J154" i="30" s="1"/>
  <c r="K154" i="30" s="1"/>
  <c r="C154" i="30"/>
  <c r="D154" i="30" s="1"/>
  <c r="E154" i="30" s="1"/>
  <c r="F154" i="30" s="1"/>
  <c r="G154" i="30" s="1"/>
  <c r="E153" i="30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D153" i="30"/>
  <c r="C153" i="30"/>
  <c r="Z152" i="30"/>
  <c r="AA152" i="30" s="1"/>
  <c r="AB152" i="30" s="1"/>
  <c r="AC152" i="30" s="1"/>
  <c r="AD152" i="30" s="1"/>
  <c r="AE152" i="30" s="1"/>
  <c r="AF152" i="30" s="1"/>
  <c r="G152" i="30"/>
  <c r="H152" i="30" s="1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C152" i="30"/>
  <c r="D152" i="30" s="1"/>
  <c r="E152" i="30" s="1"/>
  <c r="F152" i="30" s="1"/>
  <c r="P151" i="30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C151" i="30"/>
  <c r="D151" i="30" s="1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F150" i="30"/>
  <c r="G150" i="30" s="1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R150" i="30" s="1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C150" i="30"/>
  <c r="D150" i="30" s="1"/>
  <c r="E150" i="30" s="1"/>
  <c r="Q149" i="30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C149" i="30"/>
  <c r="D149" i="30" s="1"/>
  <c r="E149" i="30" s="1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M148" i="30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E148" i="30"/>
  <c r="F148" i="30" s="1"/>
  <c r="G148" i="30" s="1"/>
  <c r="H148" i="30" s="1"/>
  <c r="I148" i="30" s="1"/>
  <c r="J148" i="30" s="1"/>
  <c r="K148" i="30" s="1"/>
  <c r="L148" i="30" s="1"/>
  <c r="C148" i="30"/>
  <c r="D148" i="30" s="1"/>
  <c r="C147" i="30"/>
  <c r="D147" i="30" s="1"/>
  <c r="E147" i="30" s="1"/>
  <c r="F147" i="30" s="1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C146" i="30"/>
  <c r="D146" i="30" s="1"/>
  <c r="E146" i="30" s="1"/>
  <c r="F146" i="30" s="1"/>
  <c r="G146" i="30" s="1"/>
  <c r="H146" i="30" s="1"/>
  <c r="I146" i="30" s="1"/>
  <c r="J146" i="30" s="1"/>
  <c r="K146" i="30" s="1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C145" i="30"/>
  <c r="D145" i="30" s="1"/>
  <c r="E145" i="30" s="1"/>
  <c r="F145" i="30" s="1"/>
  <c r="G145" i="30" s="1"/>
  <c r="H145" i="30" s="1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M144" i="30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E144" i="30"/>
  <c r="F144" i="30" s="1"/>
  <c r="G144" i="30" s="1"/>
  <c r="H144" i="30" s="1"/>
  <c r="I144" i="30" s="1"/>
  <c r="J144" i="30" s="1"/>
  <c r="K144" i="30" s="1"/>
  <c r="L144" i="30" s="1"/>
  <c r="C144" i="30"/>
  <c r="D144" i="30" s="1"/>
  <c r="C143" i="30"/>
  <c r="D143" i="30" s="1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D142" i="30"/>
  <c r="E142" i="30" s="1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C142" i="30"/>
  <c r="D141" i="30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C141" i="30"/>
  <c r="H140" i="30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D140" i="30"/>
  <c r="E140" i="30" s="1"/>
  <c r="F140" i="30" s="1"/>
  <c r="G140" i="30" s="1"/>
  <c r="C140" i="30"/>
  <c r="F139" i="30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R139" i="30" s="1"/>
  <c r="S139" i="30" s="1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C139" i="30"/>
  <c r="D139" i="30" s="1"/>
  <c r="E139" i="30" s="1"/>
  <c r="F138" i="30"/>
  <c r="G138" i="30" s="1"/>
  <c r="H138" i="30" s="1"/>
  <c r="I138" i="30" s="1"/>
  <c r="J138" i="30" s="1"/>
  <c r="K138" i="30" s="1"/>
  <c r="L138" i="30" s="1"/>
  <c r="M138" i="30" s="1"/>
  <c r="N138" i="30" s="1"/>
  <c r="O138" i="30" s="1"/>
  <c r="P138" i="30" s="1"/>
  <c r="Q138" i="30" s="1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D138" i="30"/>
  <c r="E138" i="30" s="1"/>
  <c r="C138" i="30"/>
  <c r="J137" i="30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D137" i="30"/>
  <c r="E137" i="30" s="1"/>
  <c r="F137" i="30" s="1"/>
  <c r="G137" i="30" s="1"/>
  <c r="H137" i="30" s="1"/>
  <c r="I137" i="30" s="1"/>
  <c r="C137" i="30"/>
  <c r="J136" i="30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H136" i="30"/>
  <c r="I136" i="30" s="1"/>
  <c r="D136" i="30"/>
  <c r="E136" i="30" s="1"/>
  <c r="F136" i="30" s="1"/>
  <c r="G136" i="30" s="1"/>
  <c r="C136" i="30"/>
  <c r="F135" i="30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C135" i="30"/>
  <c r="D135" i="30" s="1"/>
  <c r="E135" i="30" s="1"/>
  <c r="T134" i="30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F134" i="30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D134" i="30"/>
  <c r="E134" i="30" s="1"/>
  <c r="C134" i="30"/>
  <c r="Z133" i="30"/>
  <c r="AA133" i="30" s="1"/>
  <c r="AB133" i="30" s="1"/>
  <c r="AC133" i="30" s="1"/>
  <c r="AD133" i="30" s="1"/>
  <c r="AE133" i="30" s="1"/>
  <c r="AF133" i="30" s="1"/>
  <c r="D133" i="30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C133" i="30"/>
  <c r="E132" i="30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D132" i="30"/>
  <c r="C132" i="30"/>
  <c r="F131" i="30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C131" i="30"/>
  <c r="D131" i="30" s="1"/>
  <c r="E131" i="30" s="1"/>
  <c r="D130" i="30"/>
  <c r="E130" i="30" s="1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C130" i="30"/>
  <c r="D129" i="30"/>
  <c r="E129" i="30" s="1"/>
  <c r="F129" i="30" s="1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C129" i="30"/>
  <c r="D128" i="30"/>
  <c r="E128" i="30" s="1"/>
  <c r="F128" i="30" s="1"/>
  <c r="G128" i="30" s="1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C128" i="30"/>
  <c r="C127" i="30"/>
  <c r="D127" i="30" s="1"/>
  <c r="E127" i="30" s="1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H126" i="30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D126" i="30"/>
  <c r="E126" i="30" s="1"/>
  <c r="F126" i="30" s="1"/>
  <c r="G126" i="30" s="1"/>
  <c r="C126" i="30"/>
  <c r="C125" i="30"/>
  <c r="D125" i="30" s="1"/>
  <c r="E125" i="30" s="1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L124" i="30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D124" i="30"/>
  <c r="E124" i="30" s="1"/>
  <c r="F124" i="30" s="1"/>
  <c r="G124" i="30" s="1"/>
  <c r="H124" i="30" s="1"/>
  <c r="I124" i="30" s="1"/>
  <c r="J124" i="30" s="1"/>
  <c r="K124" i="30" s="1"/>
  <c r="C124" i="30"/>
  <c r="T123" i="30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C123" i="30"/>
  <c r="D123" i="30" s="1"/>
  <c r="E123" i="30" s="1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2" i="30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H122" i="30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E122" i="30"/>
  <c r="F122" i="30" s="1"/>
  <c r="G122" i="30" s="1"/>
  <c r="D122" i="30"/>
  <c r="C122" i="30"/>
  <c r="AF121" i="30"/>
  <c r="G121" i="30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D121" i="30"/>
  <c r="E121" i="30" s="1"/>
  <c r="F121" i="30" s="1"/>
  <c r="C121" i="30"/>
  <c r="F120" i="30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E120" i="30"/>
  <c r="D120" i="30"/>
  <c r="C120" i="30"/>
  <c r="Z119" i="30"/>
  <c r="AA119" i="30" s="1"/>
  <c r="AB119" i="30" s="1"/>
  <c r="AC119" i="30" s="1"/>
  <c r="AD119" i="30" s="1"/>
  <c r="AE119" i="30" s="1"/>
  <c r="AF119" i="30" s="1"/>
  <c r="D119" i="30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C119" i="30"/>
  <c r="F118" i="30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D118" i="30"/>
  <c r="E118" i="30" s="1"/>
  <c r="C118" i="30"/>
  <c r="C117" i="30"/>
  <c r="D117" i="30" s="1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D116" i="30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C116" i="30"/>
  <c r="K115" i="30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C115" i="30"/>
  <c r="D115" i="30" s="1"/>
  <c r="E115" i="30" s="1"/>
  <c r="F115" i="30" s="1"/>
  <c r="G115" i="30" s="1"/>
  <c r="H115" i="30" s="1"/>
  <c r="I115" i="30" s="1"/>
  <c r="J115" i="30" s="1"/>
  <c r="J114" i="30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D114" i="30"/>
  <c r="E114" i="30" s="1"/>
  <c r="F114" i="30" s="1"/>
  <c r="G114" i="30" s="1"/>
  <c r="H114" i="30" s="1"/>
  <c r="I114" i="30" s="1"/>
  <c r="C114" i="30"/>
  <c r="D113" i="30"/>
  <c r="E113" i="30" s="1"/>
  <c r="F113" i="30" s="1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C113" i="30"/>
  <c r="F112" i="30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D112" i="30"/>
  <c r="E112" i="30" s="1"/>
  <c r="C112" i="30"/>
  <c r="S111" i="30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D111" i="30"/>
  <c r="E111" i="30" s="1"/>
  <c r="F111" i="30" s="1"/>
  <c r="G111" i="30" s="1"/>
  <c r="H111" i="30" s="1"/>
  <c r="I111" i="30" s="1"/>
  <c r="J111" i="30" s="1"/>
  <c r="K111" i="30" s="1"/>
  <c r="L111" i="30" s="1"/>
  <c r="M111" i="30" s="1"/>
  <c r="N111" i="30" s="1"/>
  <c r="O111" i="30" s="1"/>
  <c r="P111" i="30" s="1"/>
  <c r="Q111" i="30" s="1"/>
  <c r="R111" i="30" s="1"/>
  <c r="C111" i="30"/>
  <c r="C110" i="30"/>
  <c r="F109" i="30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C109" i="30"/>
  <c r="D109" i="30" s="1"/>
  <c r="E109" i="30" s="1"/>
  <c r="U108" i="30"/>
  <c r="V108" i="30" s="1"/>
  <c r="W108" i="30" s="1"/>
  <c r="X108" i="30" s="1"/>
  <c r="Y108" i="30" s="1"/>
  <c r="Z108" i="30" s="1"/>
  <c r="AA108" i="30" s="1"/>
  <c r="AB108" i="30" s="1"/>
  <c r="AC108" i="30" s="1"/>
  <c r="AD108" i="30" s="1"/>
  <c r="AE108" i="30" s="1"/>
  <c r="AF108" i="30" s="1"/>
  <c r="D108" i="30"/>
  <c r="E108" i="30" s="1"/>
  <c r="F108" i="30" s="1"/>
  <c r="G108" i="30" s="1"/>
  <c r="H108" i="30" s="1"/>
  <c r="I108" i="30" s="1"/>
  <c r="J108" i="30" s="1"/>
  <c r="K108" i="30" s="1"/>
  <c r="L108" i="30" s="1"/>
  <c r="M108" i="30" s="1"/>
  <c r="N108" i="30" s="1"/>
  <c r="O108" i="30" s="1"/>
  <c r="P108" i="30" s="1"/>
  <c r="Q108" i="30" s="1"/>
  <c r="R108" i="30" s="1"/>
  <c r="S108" i="30" s="1"/>
  <c r="T108" i="30" s="1"/>
  <c r="C108" i="30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C107" i="30"/>
  <c r="C106" i="30"/>
  <c r="D106" i="30" s="1"/>
  <c r="E106" i="30" s="1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Q105" i="30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C105" i="30"/>
  <c r="I104" i="30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C104" i="30"/>
  <c r="D104" i="30" s="1"/>
  <c r="E104" i="30" s="1"/>
  <c r="F104" i="30" s="1"/>
  <c r="G104" i="30" s="1"/>
  <c r="H104" i="30" s="1"/>
  <c r="G103" i="30"/>
  <c r="H103" i="30" s="1"/>
  <c r="I103" i="30" s="1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C103" i="30"/>
  <c r="D103" i="30" s="1"/>
  <c r="E103" i="30" s="1"/>
  <c r="F103" i="30" s="1"/>
  <c r="E102" i="30"/>
  <c r="F102" i="30" s="1"/>
  <c r="G102" i="30" s="1"/>
  <c r="H102" i="30" s="1"/>
  <c r="I102" i="30" s="1"/>
  <c r="J102" i="30" s="1"/>
  <c r="K102" i="30" s="1"/>
  <c r="L102" i="30" s="1"/>
  <c r="M102" i="30" s="1"/>
  <c r="N102" i="30" s="1"/>
  <c r="O102" i="30" s="1"/>
  <c r="P102" i="30" s="1"/>
  <c r="Q102" i="30" s="1"/>
  <c r="R102" i="30" s="1"/>
  <c r="S102" i="30" s="1"/>
  <c r="T102" i="30" s="1"/>
  <c r="U102" i="30" s="1"/>
  <c r="V102" i="30" s="1"/>
  <c r="W102" i="30" s="1"/>
  <c r="X102" i="30" s="1"/>
  <c r="Y102" i="30" s="1"/>
  <c r="Z102" i="30" s="1"/>
  <c r="AA102" i="30" s="1"/>
  <c r="AB102" i="30" s="1"/>
  <c r="AC102" i="30" s="1"/>
  <c r="AD102" i="30" s="1"/>
  <c r="AE102" i="30" s="1"/>
  <c r="AF102" i="30" s="1"/>
  <c r="C102" i="30"/>
  <c r="D102" i="30" s="1"/>
  <c r="C101" i="30"/>
  <c r="D101" i="30" s="1"/>
  <c r="E101" i="30" s="1"/>
  <c r="F101" i="30" s="1"/>
  <c r="G101" i="30" s="1"/>
  <c r="H101" i="30" s="1"/>
  <c r="I101" i="30" s="1"/>
  <c r="J101" i="30" s="1"/>
  <c r="K101" i="30" s="1"/>
  <c r="L101" i="30" s="1"/>
  <c r="M101" i="30" s="1"/>
  <c r="N101" i="30" s="1"/>
  <c r="O101" i="30" s="1"/>
  <c r="P101" i="30" s="1"/>
  <c r="Q101" i="30" s="1"/>
  <c r="R101" i="30" s="1"/>
  <c r="S101" i="30" s="1"/>
  <c r="T101" i="30" s="1"/>
  <c r="U101" i="30" s="1"/>
  <c r="V101" i="30" s="1"/>
  <c r="W101" i="30" s="1"/>
  <c r="X101" i="30" s="1"/>
  <c r="Y101" i="30" s="1"/>
  <c r="Z101" i="30" s="1"/>
  <c r="AA101" i="30" s="1"/>
  <c r="AB101" i="30" s="1"/>
  <c r="AC101" i="30" s="1"/>
  <c r="AD101" i="30" s="1"/>
  <c r="AE101" i="30" s="1"/>
  <c r="AF101" i="30" s="1"/>
  <c r="K100" i="30"/>
  <c r="L100" i="30" s="1"/>
  <c r="M100" i="30" s="1"/>
  <c r="N100" i="30" s="1"/>
  <c r="O100" i="30" s="1"/>
  <c r="P100" i="30" s="1"/>
  <c r="Q100" i="30" s="1"/>
  <c r="R100" i="30" s="1"/>
  <c r="S100" i="30" s="1"/>
  <c r="T100" i="30" s="1"/>
  <c r="U100" i="30" s="1"/>
  <c r="V100" i="30" s="1"/>
  <c r="W100" i="30" s="1"/>
  <c r="X100" i="30" s="1"/>
  <c r="Y100" i="30" s="1"/>
  <c r="Z100" i="30" s="1"/>
  <c r="AA100" i="30" s="1"/>
  <c r="AB100" i="30" s="1"/>
  <c r="AC100" i="30" s="1"/>
  <c r="AD100" i="30" s="1"/>
  <c r="AE100" i="30" s="1"/>
  <c r="AF100" i="30" s="1"/>
  <c r="C100" i="30"/>
  <c r="D100" i="30" s="1"/>
  <c r="E100" i="30" s="1"/>
  <c r="F100" i="30" s="1"/>
  <c r="G100" i="30" s="1"/>
  <c r="H100" i="30" s="1"/>
  <c r="I100" i="30" s="1"/>
  <c r="J100" i="30" s="1"/>
  <c r="K99" i="30"/>
  <c r="L99" i="30" s="1"/>
  <c r="M99" i="30" s="1"/>
  <c r="N99" i="30" s="1"/>
  <c r="O99" i="30" s="1"/>
  <c r="P99" i="30" s="1"/>
  <c r="Q99" i="30" s="1"/>
  <c r="R99" i="30" s="1"/>
  <c r="S99" i="30" s="1"/>
  <c r="T99" i="30" s="1"/>
  <c r="U99" i="30" s="1"/>
  <c r="V99" i="30" s="1"/>
  <c r="W99" i="30" s="1"/>
  <c r="X99" i="30" s="1"/>
  <c r="Y99" i="30" s="1"/>
  <c r="Z99" i="30" s="1"/>
  <c r="AA99" i="30" s="1"/>
  <c r="AB99" i="30" s="1"/>
  <c r="AC99" i="30" s="1"/>
  <c r="AD99" i="30" s="1"/>
  <c r="AE99" i="30" s="1"/>
  <c r="AF99" i="30" s="1"/>
  <c r="J99" i="30"/>
  <c r="H99" i="30"/>
  <c r="F99" i="30"/>
  <c r="G99" i="30" s="1"/>
  <c r="D99" i="30"/>
  <c r="E99" i="30" s="1"/>
  <c r="C99" i="30"/>
  <c r="G98" i="30"/>
  <c r="H98" i="30" s="1"/>
  <c r="I98" i="30" s="1"/>
  <c r="J98" i="30" s="1"/>
  <c r="K98" i="30" s="1"/>
  <c r="L98" i="30" s="1"/>
  <c r="M98" i="30" s="1"/>
  <c r="N98" i="30" s="1"/>
  <c r="O98" i="30" s="1"/>
  <c r="P98" i="30" s="1"/>
  <c r="Q98" i="30" s="1"/>
  <c r="R98" i="30" s="1"/>
  <c r="S98" i="30" s="1"/>
  <c r="T98" i="30" s="1"/>
  <c r="U98" i="30" s="1"/>
  <c r="V98" i="30" s="1"/>
  <c r="W98" i="30" s="1"/>
  <c r="X98" i="30" s="1"/>
  <c r="Y98" i="30" s="1"/>
  <c r="Z98" i="30" s="1"/>
  <c r="AA98" i="30" s="1"/>
  <c r="AB98" i="30" s="1"/>
  <c r="AC98" i="30" s="1"/>
  <c r="AD98" i="30" s="1"/>
  <c r="AE98" i="30" s="1"/>
  <c r="AF98" i="30" s="1"/>
  <c r="E98" i="30"/>
  <c r="F98" i="30" s="1"/>
  <c r="D98" i="30"/>
  <c r="C98" i="30"/>
  <c r="F97" i="30"/>
  <c r="G97" i="30" s="1"/>
  <c r="H97" i="30" s="1"/>
  <c r="I97" i="30" s="1"/>
  <c r="J97" i="30" s="1"/>
  <c r="K97" i="30" s="1"/>
  <c r="L97" i="30" s="1"/>
  <c r="M97" i="30" s="1"/>
  <c r="N97" i="30" s="1"/>
  <c r="O97" i="30" s="1"/>
  <c r="P97" i="30" s="1"/>
  <c r="Q97" i="30" s="1"/>
  <c r="R97" i="30" s="1"/>
  <c r="S97" i="30" s="1"/>
  <c r="T97" i="30" s="1"/>
  <c r="U97" i="30" s="1"/>
  <c r="V97" i="30" s="1"/>
  <c r="W97" i="30" s="1"/>
  <c r="X97" i="30" s="1"/>
  <c r="Y97" i="30" s="1"/>
  <c r="Z97" i="30" s="1"/>
  <c r="AA97" i="30" s="1"/>
  <c r="AB97" i="30" s="1"/>
  <c r="AC97" i="30" s="1"/>
  <c r="AD97" i="30" s="1"/>
  <c r="AE97" i="30" s="1"/>
  <c r="AF97" i="30" s="1"/>
  <c r="D97" i="30"/>
  <c r="E97" i="30" s="1"/>
  <c r="C97" i="30"/>
  <c r="P96" i="30"/>
  <c r="Q96" i="30" s="1"/>
  <c r="R96" i="30" s="1"/>
  <c r="S96" i="30" s="1"/>
  <c r="T96" i="30" s="1"/>
  <c r="U96" i="30" s="1"/>
  <c r="V96" i="30" s="1"/>
  <c r="W96" i="30" s="1"/>
  <c r="X96" i="30" s="1"/>
  <c r="Y96" i="30" s="1"/>
  <c r="Z96" i="30" s="1"/>
  <c r="AA96" i="30" s="1"/>
  <c r="AB96" i="30" s="1"/>
  <c r="AC96" i="30" s="1"/>
  <c r="AD96" i="30" s="1"/>
  <c r="AE96" i="30" s="1"/>
  <c r="AF96" i="30" s="1"/>
  <c r="D96" i="30"/>
  <c r="E96" i="30" s="1"/>
  <c r="F96" i="30" s="1"/>
  <c r="G96" i="30" s="1"/>
  <c r="H96" i="30" s="1"/>
  <c r="I96" i="30" s="1"/>
  <c r="J96" i="30" s="1"/>
  <c r="K96" i="30" s="1"/>
  <c r="L96" i="30" s="1"/>
  <c r="M96" i="30" s="1"/>
  <c r="N96" i="30" s="1"/>
  <c r="O96" i="30" s="1"/>
  <c r="C96" i="30"/>
  <c r="N95" i="30"/>
  <c r="O95" i="30" s="1"/>
  <c r="P95" i="30" s="1"/>
  <c r="Q95" i="30" s="1"/>
  <c r="R95" i="30" s="1"/>
  <c r="S95" i="30" s="1"/>
  <c r="T95" i="30" s="1"/>
  <c r="U95" i="30" s="1"/>
  <c r="V95" i="30" s="1"/>
  <c r="W95" i="30" s="1"/>
  <c r="X95" i="30" s="1"/>
  <c r="Y95" i="30" s="1"/>
  <c r="Z95" i="30" s="1"/>
  <c r="AA95" i="30" s="1"/>
  <c r="AB95" i="30" s="1"/>
  <c r="AC95" i="30" s="1"/>
  <c r="AD95" i="30" s="1"/>
  <c r="AE95" i="30" s="1"/>
  <c r="AF95" i="30" s="1"/>
  <c r="F95" i="30"/>
  <c r="G95" i="30" s="1"/>
  <c r="H95" i="30" s="1"/>
  <c r="I95" i="30" s="1"/>
  <c r="J95" i="30" s="1"/>
  <c r="K95" i="30" s="1"/>
  <c r="L95" i="30" s="1"/>
  <c r="M95" i="30" s="1"/>
  <c r="D95" i="30"/>
  <c r="E95" i="30" s="1"/>
  <c r="C95" i="30"/>
  <c r="E94" i="30"/>
  <c r="F94" i="30" s="1"/>
  <c r="D94" i="30"/>
  <c r="C94" i="30"/>
  <c r="M93" i="30"/>
  <c r="N93" i="30" s="1"/>
  <c r="O93" i="30" s="1"/>
  <c r="P93" i="30" s="1"/>
  <c r="Q93" i="30" s="1"/>
  <c r="R93" i="30" s="1"/>
  <c r="S93" i="30" s="1"/>
  <c r="T93" i="30" s="1"/>
  <c r="U93" i="30" s="1"/>
  <c r="V93" i="30" s="1"/>
  <c r="W93" i="30" s="1"/>
  <c r="X93" i="30" s="1"/>
  <c r="Y93" i="30" s="1"/>
  <c r="Z93" i="30" s="1"/>
  <c r="AA93" i="30" s="1"/>
  <c r="AB93" i="30" s="1"/>
  <c r="AC93" i="30" s="1"/>
  <c r="AD93" i="30" s="1"/>
  <c r="AE93" i="30" s="1"/>
  <c r="AF93" i="30" s="1"/>
  <c r="D93" i="30"/>
  <c r="E93" i="30" s="1"/>
  <c r="F93" i="30" s="1"/>
  <c r="G93" i="30" s="1"/>
  <c r="H93" i="30" s="1"/>
  <c r="I93" i="30" s="1"/>
  <c r="J93" i="30" s="1"/>
  <c r="K93" i="30" s="1"/>
  <c r="L93" i="30" s="1"/>
  <c r="C93" i="30"/>
  <c r="D92" i="30"/>
  <c r="E92" i="30" s="1"/>
  <c r="F92" i="30" s="1"/>
  <c r="G92" i="30" s="1"/>
  <c r="H92" i="30" s="1"/>
  <c r="I92" i="30" s="1"/>
  <c r="J92" i="30" s="1"/>
  <c r="K92" i="30" s="1"/>
  <c r="L92" i="30" s="1"/>
  <c r="M92" i="30" s="1"/>
  <c r="N92" i="30" s="1"/>
  <c r="O92" i="30" s="1"/>
  <c r="P92" i="30" s="1"/>
  <c r="Q92" i="30" s="1"/>
  <c r="R92" i="30" s="1"/>
  <c r="S92" i="30" s="1"/>
  <c r="T92" i="30" s="1"/>
  <c r="U92" i="30" s="1"/>
  <c r="V92" i="30" s="1"/>
  <c r="W92" i="30" s="1"/>
  <c r="X92" i="30" s="1"/>
  <c r="Y92" i="30" s="1"/>
  <c r="Z92" i="30" s="1"/>
  <c r="AA92" i="30" s="1"/>
  <c r="AB92" i="30" s="1"/>
  <c r="AC92" i="30" s="1"/>
  <c r="AD92" i="30" s="1"/>
  <c r="AE92" i="30" s="1"/>
  <c r="AF92" i="30" s="1"/>
  <c r="C92" i="30"/>
  <c r="I91" i="30"/>
  <c r="J91" i="30" s="1"/>
  <c r="K91" i="30" s="1"/>
  <c r="L91" i="30" s="1"/>
  <c r="M91" i="30" s="1"/>
  <c r="N91" i="30" s="1"/>
  <c r="O91" i="30" s="1"/>
  <c r="P91" i="30" s="1"/>
  <c r="Q91" i="30" s="1"/>
  <c r="R91" i="30" s="1"/>
  <c r="S91" i="30" s="1"/>
  <c r="T91" i="30" s="1"/>
  <c r="U91" i="30" s="1"/>
  <c r="V91" i="30" s="1"/>
  <c r="W91" i="30" s="1"/>
  <c r="X91" i="30" s="1"/>
  <c r="Y91" i="30" s="1"/>
  <c r="Z91" i="30" s="1"/>
  <c r="AA91" i="30" s="1"/>
  <c r="AB91" i="30" s="1"/>
  <c r="AC91" i="30" s="1"/>
  <c r="AD91" i="30" s="1"/>
  <c r="AE91" i="30" s="1"/>
  <c r="AF91" i="30" s="1"/>
  <c r="E91" i="30"/>
  <c r="F91" i="30" s="1"/>
  <c r="G91" i="30" s="1"/>
  <c r="H91" i="30" s="1"/>
  <c r="D91" i="30"/>
  <c r="C91" i="30"/>
  <c r="M90" i="30"/>
  <c r="N90" i="30" s="1"/>
  <c r="O90" i="30" s="1"/>
  <c r="P90" i="30" s="1"/>
  <c r="Q90" i="30" s="1"/>
  <c r="R90" i="30" s="1"/>
  <c r="S90" i="30" s="1"/>
  <c r="T90" i="30" s="1"/>
  <c r="U90" i="30" s="1"/>
  <c r="V90" i="30" s="1"/>
  <c r="W90" i="30" s="1"/>
  <c r="X90" i="30" s="1"/>
  <c r="Y90" i="30" s="1"/>
  <c r="Z90" i="30" s="1"/>
  <c r="AA90" i="30" s="1"/>
  <c r="AB90" i="30" s="1"/>
  <c r="AC90" i="30" s="1"/>
  <c r="AD90" i="30" s="1"/>
  <c r="AE90" i="30" s="1"/>
  <c r="AF90" i="30" s="1"/>
  <c r="D90" i="30"/>
  <c r="E90" i="30" s="1"/>
  <c r="F90" i="30" s="1"/>
  <c r="G90" i="30" s="1"/>
  <c r="H90" i="30" s="1"/>
  <c r="I90" i="30" s="1"/>
  <c r="J90" i="30" s="1"/>
  <c r="K90" i="30" s="1"/>
  <c r="L90" i="30" s="1"/>
  <c r="C90" i="30"/>
  <c r="D89" i="30"/>
  <c r="C89" i="30"/>
  <c r="AH86" i="30"/>
  <c r="AI86" i="30" s="1"/>
  <c r="AH85" i="30"/>
  <c r="AI85" i="30" s="1"/>
  <c r="AH84" i="30"/>
  <c r="AI84" i="30" s="1"/>
  <c r="AH83" i="30"/>
  <c r="AI83" i="30" s="1"/>
  <c r="B82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B80" i="30"/>
  <c r="AI79" i="30"/>
  <c r="AH79" i="30"/>
  <c r="AI78" i="30"/>
  <c r="AH78" i="30"/>
  <c r="AI77" i="30"/>
  <c r="AH77" i="30"/>
  <c r="AI76" i="30"/>
  <c r="AH76" i="30"/>
  <c r="AI75" i="30"/>
  <c r="AH75" i="30"/>
  <c r="AI74" i="30"/>
  <c r="AH74" i="30"/>
  <c r="AI73" i="30"/>
  <c r="AH73" i="30"/>
  <c r="AI72" i="30"/>
  <c r="AH72" i="30"/>
  <c r="AG71" i="30"/>
  <c r="O71" i="30"/>
  <c r="AI70" i="30"/>
  <c r="AH70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B69" i="30"/>
  <c r="AF68" i="30"/>
  <c r="AE68" i="30"/>
  <c r="AE71" i="30" s="1"/>
  <c r="AD68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B68" i="30"/>
  <c r="AF67" i="30"/>
  <c r="AE67" i="30"/>
  <c r="AD67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Q71" i="30" s="1"/>
  <c r="P66" i="30"/>
  <c r="O66" i="30"/>
  <c r="N66" i="30"/>
  <c r="M66" i="30"/>
  <c r="L66" i="30"/>
  <c r="K66" i="30"/>
  <c r="J66" i="30"/>
  <c r="I66" i="30"/>
  <c r="H66" i="30"/>
  <c r="G66" i="30"/>
  <c r="F66" i="30"/>
  <c r="E66" i="30"/>
  <c r="E71" i="30" s="1"/>
  <c r="D66" i="30"/>
  <c r="C66" i="30"/>
  <c r="C71" i="30" s="1"/>
  <c r="B66" i="30"/>
  <c r="AI64" i="30"/>
  <c r="AH64" i="30"/>
  <c r="AG63" i="30"/>
  <c r="AG65" i="30" s="1"/>
  <c r="AF63" i="30"/>
  <c r="AE63" i="30"/>
  <c r="AD63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AI63" i="30" s="1"/>
  <c r="B63" i="30"/>
  <c r="AH63" i="30" s="1"/>
  <c r="AI62" i="30"/>
  <c r="AH62" i="30"/>
  <c r="AI61" i="30"/>
  <c r="AH61" i="30"/>
  <c r="AI60" i="30"/>
  <c r="AH60" i="30"/>
  <c r="AG59" i="30"/>
  <c r="AF59" i="30"/>
  <c r="AF5" i="30" s="1"/>
  <c r="AE59" i="30"/>
  <c r="AE5" i="30" s="1"/>
  <c r="AD59" i="30"/>
  <c r="AD5" i="30" s="1"/>
  <c r="AC59" i="30"/>
  <c r="AC5" i="30" s="1"/>
  <c r="AB59" i="30"/>
  <c r="AA59" i="30"/>
  <c r="AA5" i="30" s="1"/>
  <c r="Z59" i="30"/>
  <c r="Y59" i="30"/>
  <c r="Y5" i="30" s="1"/>
  <c r="X59" i="30"/>
  <c r="X5" i="30" s="1"/>
  <c r="W59" i="30"/>
  <c r="V59" i="30"/>
  <c r="U59" i="30"/>
  <c r="U5" i="30" s="1"/>
  <c r="T59" i="30"/>
  <c r="S59" i="30"/>
  <c r="S5" i="30" s="1"/>
  <c r="R59" i="30"/>
  <c r="R5" i="30" s="1"/>
  <c r="Q59" i="30"/>
  <c r="Q5" i="30" s="1"/>
  <c r="P59" i="30"/>
  <c r="P5" i="30" s="1"/>
  <c r="O59" i="30"/>
  <c r="O5" i="30" s="1"/>
  <c r="N59" i="30"/>
  <c r="N5" i="30" s="1"/>
  <c r="M59" i="30"/>
  <c r="M5" i="30" s="1"/>
  <c r="L59" i="30"/>
  <c r="L5" i="30" s="1"/>
  <c r="K59" i="30"/>
  <c r="K5" i="30" s="1"/>
  <c r="J59" i="30"/>
  <c r="J5" i="30" s="1"/>
  <c r="I59" i="30"/>
  <c r="I5" i="30" s="1"/>
  <c r="H59" i="30"/>
  <c r="G59" i="30"/>
  <c r="F59" i="30"/>
  <c r="F5" i="30" s="1"/>
  <c r="E59" i="30"/>
  <c r="E5" i="30" s="1"/>
  <c r="D59" i="30"/>
  <c r="D5" i="30" s="1"/>
  <c r="C59" i="30"/>
  <c r="B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G47" i="30"/>
  <c r="AG4" i="30" s="1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B47" i="30"/>
  <c r="AI46" i="30"/>
  <c r="AH46" i="30"/>
  <c r="AI45" i="30"/>
  <c r="AH45" i="30"/>
  <c r="AI44" i="30"/>
  <c r="AH44" i="30"/>
  <c r="AG43" i="30"/>
  <c r="AG3" i="30" s="1"/>
  <c r="B43" i="30"/>
  <c r="AG42" i="30"/>
  <c r="B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B5" i="30"/>
  <c r="Z5" i="30"/>
  <c r="W5" i="30"/>
  <c r="V5" i="30"/>
  <c r="T5" i="30"/>
  <c r="H5" i="30"/>
  <c r="G5" i="30"/>
  <c r="K4" i="30"/>
  <c r="C4" i="30"/>
  <c r="AG2" i="30"/>
  <c r="P84" i="28"/>
  <c r="F49" i="28"/>
  <c r="E49" i="28"/>
  <c r="D49" i="28"/>
  <c r="AH87" i="28"/>
  <c r="AI87" i="28" s="1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E218" i="28"/>
  <c r="D218" i="28"/>
  <c r="C218" i="28"/>
  <c r="B218" i="28"/>
  <c r="A218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E217" i="28"/>
  <c r="D217" i="28"/>
  <c r="C217" i="28"/>
  <c r="B217" i="28"/>
  <c r="A217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E216" i="28"/>
  <c r="D216" i="28"/>
  <c r="C216" i="28"/>
  <c r="B216" i="28"/>
  <c r="A216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E215" i="28"/>
  <c r="D215" i="28"/>
  <c r="C215" i="28"/>
  <c r="B215" i="28"/>
  <c r="A215" i="28"/>
  <c r="B214" i="28"/>
  <c r="S189" i="28"/>
  <c r="AG179" i="28"/>
  <c r="B179" i="28"/>
  <c r="C178" i="28"/>
  <c r="C177" i="28"/>
  <c r="D177" i="28" s="1"/>
  <c r="E177" i="28" s="1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L176" i="28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C176" i="28"/>
  <c r="D176" i="28" s="1"/>
  <c r="E176" i="28" s="1"/>
  <c r="F176" i="28" s="1"/>
  <c r="G176" i="28" s="1"/>
  <c r="H176" i="28" s="1"/>
  <c r="I176" i="28" s="1"/>
  <c r="J176" i="28" s="1"/>
  <c r="K176" i="28" s="1"/>
  <c r="C175" i="28"/>
  <c r="D175" i="28" s="1"/>
  <c r="E175" i="28" s="1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C174" i="28"/>
  <c r="D174" i="28" s="1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C173" i="28"/>
  <c r="AG171" i="28"/>
  <c r="B171" i="28"/>
  <c r="H170" i="28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C170" i="28"/>
  <c r="D170" i="28" s="1"/>
  <c r="E170" i="28" s="1"/>
  <c r="F170" i="28" s="1"/>
  <c r="G170" i="28" s="1"/>
  <c r="AA169" i="28"/>
  <c r="AB169" i="28" s="1"/>
  <c r="AC169" i="28" s="1"/>
  <c r="AD169" i="28" s="1"/>
  <c r="AE169" i="28" s="1"/>
  <c r="AF169" i="28" s="1"/>
  <c r="F169" i="28"/>
  <c r="G169" i="28" s="1"/>
  <c r="H169" i="28" s="1"/>
  <c r="I169" i="28" s="1"/>
  <c r="J169" i="28" s="1"/>
  <c r="K169" i="28" s="1"/>
  <c r="L169" i="28" s="1"/>
  <c r="M169" i="28" s="1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C169" i="28"/>
  <c r="D169" i="28" s="1"/>
  <c r="E169" i="28" s="1"/>
  <c r="E168" i="28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D168" i="28"/>
  <c r="C168" i="28"/>
  <c r="C167" i="28"/>
  <c r="D167" i="28" s="1"/>
  <c r="E167" i="28" s="1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E166" i="28"/>
  <c r="F166" i="28" s="1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D166" i="28"/>
  <c r="C166" i="28"/>
  <c r="I165" i="28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C165" i="28"/>
  <c r="D165" i="28" s="1"/>
  <c r="E165" i="28" s="1"/>
  <c r="F165" i="28" s="1"/>
  <c r="G165" i="28" s="1"/>
  <c r="H165" i="28" s="1"/>
  <c r="C164" i="28"/>
  <c r="D164" i="28" s="1"/>
  <c r="E164" i="28" s="1"/>
  <c r="F164" i="28" s="1"/>
  <c r="G164" i="28" s="1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K163" i="28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E163" i="28"/>
  <c r="F163" i="28" s="1"/>
  <c r="G163" i="28" s="1"/>
  <c r="H163" i="28" s="1"/>
  <c r="I163" i="28" s="1"/>
  <c r="J163" i="28" s="1"/>
  <c r="C163" i="28"/>
  <c r="D163" i="28" s="1"/>
  <c r="O162" i="28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C162" i="28"/>
  <c r="F161" i="28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E161" i="28"/>
  <c r="C161" i="28"/>
  <c r="D161" i="28" s="1"/>
  <c r="C160" i="28"/>
  <c r="D160" i="28" s="1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C159" i="28"/>
  <c r="D159" i="28" s="1"/>
  <c r="E159" i="28" s="1"/>
  <c r="F159" i="28" s="1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Y158" i="28"/>
  <c r="Z158" i="28" s="1"/>
  <c r="AA158" i="28" s="1"/>
  <c r="AB158" i="28" s="1"/>
  <c r="AC158" i="28" s="1"/>
  <c r="AD158" i="28" s="1"/>
  <c r="AE158" i="28" s="1"/>
  <c r="AF158" i="28" s="1"/>
  <c r="T158" i="28"/>
  <c r="U158" i="28" s="1"/>
  <c r="V158" i="28" s="1"/>
  <c r="W158" i="28" s="1"/>
  <c r="X158" i="28" s="1"/>
  <c r="D158" i="28"/>
  <c r="E158" i="28" s="1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C158" i="28"/>
  <c r="C157" i="28"/>
  <c r="D157" i="28" s="1"/>
  <c r="E157" i="28" s="1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E156" i="28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C156" i="28"/>
  <c r="D156" i="28" s="1"/>
  <c r="G155" i="28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E155" i="28"/>
  <c r="F155" i="28" s="1"/>
  <c r="C155" i="28"/>
  <c r="D155" i="28" s="1"/>
  <c r="C154" i="28"/>
  <c r="D154" i="28" s="1"/>
  <c r="E154" i="28" s="1"/>
  <c r="F154" i="28" s="1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F153" i="28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C153" i="28"/>
  <c r="D153" i="28" s="1"/>
  <c r="E153" i="28" s="1"/>
  <c r="D152" i="28"/>
  <c r="E152" i="28" s="1"/>
  <c r="F152" i="28" s="1"/>
  <c r="G152" i="28" s="1"/>
  <c r="H152" i="28" s="1"/>
  <c r="I152" i="28" s="1"/>
  <c r="J152" i="28" s="1"/>
  <c r="K152" i="28" s="1"/>
  <c r="L152" i="28" s="1"/>
  <c r="M152" i="28" s="1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C152" i="28"/>
  <c r="C151" i="28"/>
  <c r="D151" i="28" s="1"/>
  <c r="E151" i="28" s="1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C150" i="28"/>
  <c r="D150" i="28" s="1"/>
  <c r="E150" i="28" s="1"/>
  <c r="F150" i="28" s="1"/>
  <c r="G150" i="28" s="1"/>
  <c r="H150" i="28" s="1"/>
  <c r="I150" i="28" s="1"/>
  <c r="J150" i="28" s="1"/>
  <c r="K150" i="28" s="1"/>
  <c r="L150" i="28" s="1"/>
  <c r="M150" i="28" s="1"/>
  <c r="N150" i="28" s="1"/>
  <c r="O150" i="28" s="1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Z150" i="28" s="1"/>
  <c r="AA150" i="28" s="1"/>
  <c r="AB150" i="28" s="1"/>
  <c r="AC150" i="28" s="1"/>
  <c r="AD150" i="28" s="1"/>
  <c r="AE150" i="28" s="1"/>
  <c r="AF150" i="28" s="1"/>
  <c r="C149" i="28"/>
  <c r="D149" i="28" s="1"/>
  <c r="E149" i="28" s="1"/>
  <c r="F149" i="28" s="1"/>
  <c r="G149" i="28" s="1"/>
  <c r="H149" i="28" s="1"/>
  <c r="I149" i="28" s="1"/>
  <c r="J149" i="28" s="1"/>
  <c r="K149" i="28" s="1"/>
  <c r="L149" i="28" s="1"/>
  <c r="M149" i="28" s="1"/>
  <c r="N149" i="28" s="1"/>
  <c r="O149" i="28" s="1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Y148" i="28"/>
  <c r="Z148" i="28" s="1"/>
  <c r="AA148" i="28" s="1"/>
  <c r="AB148" i="28" s="1"/>
  <c r="AC148" i="28" s="1"/>
  <c r="AD148" i="28" s="1"/>
  <c r="AE148" i="28" s="1"/>
  <c r="AF148" i="28" s="1"/>
  <c r="G148" i="28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D148" i="28"/>
  <c r="E148" i="28" s="1"/>
  <c r="F148" i="28" s="1"/>
  <c r="C148" i="28"/>
  <c r="G147" i="28"/>
  <c r="H147" i="28" s="1"/>
  <c r="I147" i="28" s="1"/>
  <c r="J147" i="28" s="1"/>
  <c r="K147" i="28" s="1"/>
  <c r="L147" i="28" s="1"/>
  <c r="M147" i="28" s="1"/>
  <c r="N147" i="28" s="1"/>
  <c r="O147" i="28" s="1"/>
  <c r="P147" i="28" s="1"/>
  <c r="Q147" i="28" s="1"/>
  <c r="R147" i="28" s="1"/>
  <c r="S147" i="28" s="1"/>
  <c r="T147" i="28" s="1"/>
  <c r="U147" i="28" s="1"/>
  <c r="V147" i="28" s="1"/>
  <c r="W147" i="28" s="1"/>
  <c r="X147" i="28" s="1"/>
  <c r="Y147" i="28" s="1"/>
  <c r="Z147" i="28" s="1"/>
  <c r="AA147" i="28" s="1"/>
  <c r="AB147" i="28" s="1"/>
  <c r="AC147" i="28" s="1"/>
  <c r="AD147" i="28" s="1"/>
  <c r="AE147" i="28" s="1"/>
  <c r="AF147" i="28" s="1"/>
  <c r="E147" i="28"/>
  <c r="F147" i="28" s="1"/>
  <c r="C147" i="28"/>
  <c r="D147" i="28" s="1"/>
  <c r="U146" i="28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G146" i="28"/>
  <c r="H146" i="28" s="1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F146" i="28"/>
  <c r="E146" i="28"/>
  <c r="C146" i="28"/>
  <c r="D146" i="28" s="1"/>
  <c r="K145" i="28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C145" i="28"/>
  <c r="D145" i="28" s="1"/>
  <c r="E145" i="28" s="1"/>
  <c r="F145" i="28" s="1"/>
  <c r="G145" i="28" s="1"/>
  <c r="H145" i="28" s="1"/>
  <c r="I145" i="28" s="1"/>
  <c r="J145" i="28" s="1"/>
  <c r="C144" i="28"/>
  <c r="D144" i="28" s="1"/>
  <c r="E144" i="28" s="1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E143" i="28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C143" i="28"/>
  <c r="D143" i="28" s="1"/>
  <c r="C142" i="28"/>
  <c r="D142" i="28" s="1"/>
  <c r="E142" i="28" s="1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C141" i="28"/>
  <c r="D141" i="28" s="1"/>
  <c r="E141" i="28" s="1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D140" i="28"/>
  <c r="E140" i="28" s="1"/>
  <c r="F140" i="28" s="1"/>
  <c r="G140" i="28" s="1"/>
  <c r="H140" i="28" s="1"/>
  <c r="I140" i="28" s="1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C140" i="28"/>
  <c r="I139" i="28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D139" i="28"/>
  <c r="E139" i="28" s="1"/>
  <c r="F139" i="28" s="1"/>
  <c r="G139" i="28" s="1"/>
  <c r="H139" i="28" s="1"/>
  <c r="C139" i="28"/>
  <c r="C138" i="28"/>
  <c r="D138" i="28" s="1"/>
  <c r="E138" i="28" s="1"/>
  <c r="F138" i="28" s="1"/>
  <c r="G138" i="28" s="1"/>
  <c r="H138" i="28" s="1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H137" i="28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F137" i="28"/>
  <c r="G137" i="28" s="1"/>
  <c r="E137" i="28"/>
  <c r="D137" i="28"/>
  <c r="C137" i="28"/>
  <c r="F136" i="28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D136" i="28"/>
  <c r="E136" i="28" s="1"/>
  <c r="C136" i="28"/>
  <c r="D135" i="28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C135" i="28"/>
  <c r="K134" i="28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C134" i="28"/>
  <c r="D134" i="28" s="1"/>
  <c r="E134" i="28" s="1"/>
  <c r="F134" i="28" s="1"/>
  <c r="G134" i="28" s="1"/>
  <c r="H134" i="28" s="1"/>
  <c r="I134" i="28" s="1"/>
  <c r="J134" i="28" s="1"/>
  <c r="I133" i="28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C133" i="28"/>
  <c r="D133" i="28" s="1"/>
  <c r="E133" i="28" s="1"/>
  <c r="F133" i="28" s="1"/>
  <c r="G133" i="28" s="1"/>
  <c r="H133" i="28" s="1"/>
  <c r="K132" i="28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C132" i="28"/>
  <c r="D132" i="28" s="1"/>
  <c r="E132" i="28" s="1"/>
  <c r="F132" i="28" s="1"/>
  <c r="G132" i="28" s="1"/>
  <c r="H132" i="28" s="1"/>
  <c r="I132" i="28" s="1"/>
  <c r="J132" i="28" s="1"/>
  <c r="Y131" i="28"/>
  <c r="Z131" i="28" s="1"/>
  <c r="AA131" i="28" s="1"/>
  <c r="AB131" i="28" s="1"/>
  <c r="AC131" i="28" s="1"/>
  <c r="AD131" i="28" s="1"/>
  <c r="AE131" i="28" s="1"/>
  <c r="AF131" i="28" s="1"/>
  <c r="C131" i="28"/>
  <c r="D131" i="28" s="1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O130" i="28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H130" i="28"/>
  <c r="I130" i="28" s="1"/>
  <c r="J130" i="28" s="1"/>
  <c r="K130" i="28" s="1"/>
  <c r="L130" i="28" s="1"/>
  <c r="M130" i="28" s="1"/>
  <c r="N130" i="28" s="1"/>
  <c r="G130" i="28"/>
  <c r="C130" i="28"/>
  <c r="D130" i="28" s="1"/>
  <c r="E130" i="28" s="1"/>
  <c r="F130" i="28" s="1"/>
  <c r="F129" i="28"/>
  <c r="G129" i="28" s="1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C129" i="28"/>
  <c r="D129" i="28" s="1"/>
  <c r="E129" i="28" s="1"/>
  <c r="AD128" i="28"/>
  <c r="AE128" i="28" s="1"/>
  <c r="AF128" i="28" s="1"/>
  <c r="D128" i="28"/>
  <c r="E128" i="28" s="1"/>
  <c r="F128" i="28" s="1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C128" i="28"/>
  <c r="C127" i="28"/>
  <c r="D127" i="28" s="1"/>
  <c r="E127" i="28" s="1"/>
  <c r="F127" i="28" s="1"/>
  <c r="G127" i="28" s="1"/>
  <c r="H127" i="28" s="1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W126" i="28"/>
  <c r="X126" i="28" s="1"/>
  <c r="Y126" i="28" s="1"/>
  <c r="Z126" i="28" s="1"/>
  <c r="AA126" i="28" s="1"/>
  <c r="AB126" i="28" s="1"/>
  <c r="AC126" i="28" s="1"/>
  <c r="AD126" i="28" s="1"/>
  <c r="AE126" i="28" s="1"/>
  <c r="AF126" i="28" s="1"/>
  <c r="I126" i="28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D126" i="28"/>
  <c r="E126" i="28" s="1"/>
  <c r="F126" i="28" s="1"/>
  <c r="G126" i="28" s="1"/>
  <c r="H126" i="28" s="1"/>
  <c r="C126" i="28"/>
  <c r="F125" i="28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E125" i="28"/>
  <c r="C125" i="28"/>
  <c r="D125" i="28" s="1"/>
  <c r="AF124" i="28"/>
  <c r="C124" i="28"/>
  <c r="D124" i="28" s="1"/>
  <c r="E124" i="28" s="1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Q123" i="28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G123" i="28"/>
  <c r="H123" i="28" s="1"/>
  <c r="I123" i="28" s="1"/>
  <c r="J123" i="28" s="1"/>
  <c r="K123" i="28" s="1"/>
  <c r="L123" i="28" s="1"/>
  <c r="M123" i="28" s="1"/>
  <c r="N123" i="28" s="1"/>
  <c r="O123" i="28" s="1"/>
  <c r="P123" i="28" s="1"/>
  <c r="C123" i="28"/>
  <c r="D123" i="28" s="1"/>
  <c r="E123" i="28" s="1"/>
  <c r="F123" i="28" s="1"/>
  <c r="G122" i="28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D122" i="28"/>
  <c r="E122" i="28" s="1"/>
  <c r="F122" i="28" s="1"/>
  <c r="C122" i="28"/>
  <c r="G121" i="28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C121" i="28"/>
  <c r="D121" i="28" s="1"/>
  <c r="E121" i="28" s="1"/>
  <c r="F121" i="28" s="1"/>
  <c r="Q120" i="28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E120" i="28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C120" i="28"/>
  <c r="D120" i="28" s="1"/>
  <c r="P119" i="28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F119" i="28"/>
  <c r="G119" i="28" s="1"/>
  <c r="H119" i="28" s="1"/>
  <c r="I119" i="28" s="1"/>
  <c r="J119" i="28" s="1"/>
  <c r="K119" i="28" s="1"/>
  <c r="L119" i="28" s="1"/>
  <c r="M119" i="28" s="1"/>
  <c r="N119" i="28" s="1"/>
  <c r="O119" i="28" s="1"/>
  <c r="C119" i="28"/>
  <c r="D119" i="28" s="1"/>
  <c r="E119" i="28" s="1"/>
  <c r="AD118" i="28"/>
  <c r="AE118" i="28" s="1"/>
  <c r="AF118" i="28" s="1"/>
  <c r="E118" i="28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D118" i="28"/>
  <c r="C118" i="28"/>
  <c r="K117" i="28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C117" i="28"/>
  <c r="D117" i="28" s="1"/>
  <c r="E117" i="28" s="1"/>
  <c r="F117" i="28" s="1"/>
  <c r="G117" i="28" s="1"/>
  <c r="H117" i="28" s="1"/>
  <c r="I117" i="28" s="1"/>
  <c r="J117" i="28" s="1"/>
  <c r="P116" i="28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K116" i="28"/>
  <c r="L116" i="28" s="1"/>
  <c r="M116" i="28" s="1"/>
  <c r="N116" i="28" s="1"/>
  <c r="O116" i="28" s="1"/>
  <c r="C116" i="28"/>
  <c r="D116" i="28" s="1"/>
  <c r="E116" i="28" s="1"/>
  <c r="F116" i="28" s="1"/>
  <c r="G116" i="28" s="1"/>
  <c r="H116" i="28" s="1"/>
  <c r="I116" i="28" s="1"/>
  <c r="J116" i="28" s="1"/>
  <c r="H115" i="28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G115" i="28"/>
  <c r="C115" i="28"/>
  <c r="D115" i="28" s="1"/>
  <c r="E115" i="28" s="1"/>
  <c r="F115" i="28" s="1"/>
  <c r="G114" i="28"/>
  <c r="H114" i="28" s="1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D114" i="28"/>
  <c r="E114" i="28" s="1"/>
  <c r="F114" i="28" s="1"/>
  <c r="C114" i="28"/>
  <c r="E113" i="28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D113" i="28"/>
  <c r="C113" i="28"/>
  <c r="I112" i="28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E112" i="28"/>
  <c r="F112" i="28" s="1"/>
  <c r="G112" i="28" s="1"/>
  <c r="H112" i="28" s="1"/>
  <c r="C112" i="28"/>
  <c r="D112" i="28" s="1"/>
  <c r="E111" i="28"/>
  <c r="F111" i="28" s="1"/>
  <c r="G111" i="28" s="1"/>
  <c r="H111" i="28" s="1"/>
  <c r="I111" i="28" s="1"/>
  <c r="J111" i="28" s="1"/>
  <c r="K111" i="28" s="1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C111" i="28"/>
  <c r="D111" i="28" s="1"/>
  <c r="K110" i="28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C110" i="28"/>
  <c r="D110" i="28" s="1"/>
  <c r="E110" i="28" s="1"/>
  <c r="F110" i="28" s="1"/>
  <c r="G110" i="28" s="1"/>
  <c r="H110" i="28" s="1"/>
  <c r="I110" i="28" s="1"/>
  <c r="J110" i="28" s="1"/>
  <c r="D109" i="28"/>
  <c r="E109" i="28" s="1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C109" i="28"/>
  <c r="G108" i="28"/>
  <c r="H108" i="28" s="1"/>
  <c r="I108" i="28" s="1"/>
  <c r="J108" i="28" s="1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C108" i="28"/>
  <c r="D108" i="28" s="1"/>
  <c r="E108" i="28" s="1"/>
  <c r="F108" i="28" s="1"/>
  <c r="I107" i="28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F107" i="28"/>
  <c r="G107" i="28" s="1"/>
  <c r="H107" i="28" s="1"/>
  <c r="C107" i="28"/>
  <c r="D107" i="28" s="1"/>
  <c r="E107" i="28" s="1"/>
  <c r="E106" i="28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C106" i="28"/>
  <c r="D106" i="28" s="1"/>
  <c r="E105" i="28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C105" i="28"/>
  <c r="D105" i="28" s="1"/>
  <c r="J104" i="28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E104" i="28"/>
  <c r="F104" i="28" s="1"/>
  <c r="G104" i="28" s="1"/>
  <c r="H104" i="28" s="1"/>
  <c r="I104" i="28" s="1"/>
  <c r="D104" i="28"/>
  <c r="C104" i="28"/>
  <c r="C103" i="28"/>
  <c r="D103" i="28" s="1"/>
  <c r="E103" i="28" s="1"/>
  <c r="F103" i="28" s="1"/>
  <c r="G103" i="28" s="1"/>
  <c r="H103" i="28" s="1"/>
  <c r="I103" i="28" s="1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D102" i="28"/>
  <c r="E102" i="28" s="1"/>
  <c r="F102" i="28" s="1"/>
  <c r="G102" i="28" s="1"/>
  <c r="H102" i="28" s="1"/>
  <c r="I102" i="28" s="1"/>
  <c r="J102" i="28" s="1"/>
  <c r="K102" i="28" s="1"/>
  <c r="L102" i="28" s="1"/>
  <c r="M102" i="28" s="1"/>
  <c r="N102" i="28" s="1"/>
  <c r="O102" i="28" s="1"/>
  <c r="P102" i="28" s="1"/>
  <c r="Q102" i="28" s="1"/>
  <c r="R102" i="28" s="1"/>
  <c r="S102" i="28" s="1"/>
  <c r="T102" i="28" s="1"/>
  <c r="U102" i="28" s="1"/>
  <c r="V102" i="28" s="1"/>
  <c r="W102" i="28" s="1"/>
  <c r="X102" i="28" s="1"/>
  <c r="Y102" i="28" s="1"/>
  <c r="Z102" i="28" s="1"/>
  <c r="AA102" i="28" s="1"/>
  <c r="AB102" i="28" s="1"/>
  <c r="AC102" i="28" s="1"/>
  <c r="AD102" i="28" s="1"/>
  <c r="AE102" i="28" s="1"/>
  <c r="AF102" i="28" s="1"/>
  <c r="C102" i="28"/>
  <c r="O101" i="28"/>
  <c r="P101" i="28" s="1"/>
  <c r="Q101" i="28" s="1"/>
  <c r="R101" i="28" s="1"/>
  <c r="S101" i="28" s="1"/>
  <c r="T101" i="28" s="1"/>
  <c r="U101" i="28" s="1"/>
  <c r="V101" i="28" s="1"/>
  <c r="W101" i="28" s="1"/>
  <c r="X101" i="28" s="1"/>
  <c r="Y101" i="28" s="1"/>
  <c r="Z101" i="28" s="1"/>
  <c r="AA101" i="28" s="1"/>
  <c r="AB101" i="28" s="1"/>
  <c r="AC101" i="28" s="1"/>
  <c r="AD101" i="28" s="1"/>
  <c r="AE101" i="28" s="1"/>
  <c r="AF101" i="28" s="1"/>
  <c r="D101" i="28"/>
  <c r="E101" i="28" s="1"/>
  <c r="F101" i="28" s="1"/>
  <c r="G101" i="28" s="1"/>
  <c r="H101" i="28" s="1"/>
  <c r="I101" i="28" s="1"/>
  <c r="J101" i="28" s="1"/>
  <c r="K101" i="28" s="1"/>
  <c r="L101" i="28" s="1"/>
  <c r="M101" i="28" s="1"/>
  <c r="N101" i="28" s="1"/>
  <c r="C101" i="28"/>
  <c r="E100" i="28"/>
  <c r="F100" i="28" s="1"/>
  <c r="G100" i="28" s="1"/>
  <c r="H100" i="28" s="1"/>
  <c r="I100" i="28" s="1"/>
  <c r="J100" i="28" s="1"/>
  <c r="K100" i="28" s="1"/>
  <c r="L100" i="28" s="1"/>
  <c r="M100" i="28" s="1"/>
  <c r="N100" i="28" s="1"/>
  <c r="O100" i="28" s="1"/>
  <c r="P100" i="28" s="1"/>
  <c r="Q100" i="28" s="1"/>
  <c r="R100" i="28" s="1"/>
  <c r="S100" i="28" s="1"/>
  <c r="T100" i="28" s="1"/>
  <c r="U100" i="28" s="1"/>
  <c r="V100" i="28" s="1"/>
  <c r="W100" i="28" s="1"/>
  <c r="X100" i="28" s="1"/>
  <c r="Y100" i="28" s="1"/>
  <c r="Z100" i="28" s="1"/>
  <c r="AA100" i="28" s="1"/>
  <c r="AB100" i="28" s="1"/>
  <c r="AC100" i="28" s="1"/>
  <c r="AD100" i="28" s="1"/>
  <c r="AE100" i="28" s="1"/>
  <c r="AF100" i="28" s="1"/>
  <c r="C100" i="28"/>
  <c r="D100" i="28" s="1"/>
  <c r="Q99" i="28"/>
  <c r="R99" i="28" s="1"/>
  <c r="S99" i="28" s="1"/>
  <c r="T99" i="28" s="1"/>
  <c r="U99" i="28" s="1"/>
  <c r="V99" i="28" s="1"/>
  <c r="W99" i="28" s="1"/>
  <c r="X99" i="28" s="1"/>
  <c r="Y99" i="28" s="1"/>
  <c r="Z99" i="28" s="1"/>
  <c r="AA99" i="28" s="1"/>
  <c r="AB99" i="28" s="1"/>
  <c r="AC99" i="28" s="1"/>
  <c r="AD99" i="28" s="1"/>
  <c r="AE99" i="28" s="1"/>
  <c r="AF99" i="28" s="1"/>
  <c r="N99" i="28"/>
  <c r="O99" i="28" s="1"/>
  <c r="P99" i="28" s="1"/>
  <c r="K99" i="28"/>
  <c r="L99" i="28" s="1"/>
  <c r="M99" i="28" s="1"/>
  <c r="J99" i="28"/>
  <c r="D99" i="28"/>
  <c r="E99" i="28" s="1"/>
  <c r="F99" i="28" s="1"/>
  <c r="G99" i="28" s="1"/>
  <c r="H99" i="28" s="1"/>
  <c r="C99" i="28"/>
  <c r="H98" i="28"/>
  <c r="I98" i="28" s="1"/>
  <c r="J98" i="28" s="1"/>
  <c r="K98" i="28" s="1"/>
  <c r="L98" i="28" s="1"/>
  <c r="M98" i="28" s="1"/>
  <c r="N98" i="28" s="1"/>
  <c r="O98" i="28" s="1"/>
  <c r="P98" i="28" s="1"/>
  <c r="Q98" i="28" s="1"/>
  <c r="R98" i="28" s="1"/>
  <c r="S98" i="28" s="1"/>
  <c r="T98" i="28" s="1"/>
  <c r="U98" i="28" s="1"/>
  <c r="V98" i="28" s="1"/>
  <c r="W98" i="28" s="1"/>
  <c r="X98" i="28" s="1"/>
  <c r="Y98" i="28" s="1"/>
  <c r="Z98" i="28" s="1"/>
  <c r="AA98" i="28" s="1"/>
  <c r="AB98" i="28" s="1"/>
  <c r="AC98" i="28" s="1"/>
  <c r="AD98" i="28" s="1"/>
  <c r="AE98" i="28" s="1"/>
  <c r="AF98" i="28" s="1"/>
  <c r="F98" i="28"/>
  <c r="G98" i="28" s="1"/>
  <c r="E98" i="28"/>
  <c r="C98" i="28"/>
  <c r="D98" i="28" s="1"/>
  <c r="E97" i="28"/>
  <c r="F97" i="28" s="1"/>
  <c r="G97" i="28" s="1"/>
  <c r="H97" i="28" s="1"/>
  <c r="I97" i="28" s="1"/>
  <c r="J97" i="28" s="1"/>
  <c r="K97" i="28" s="1"/>
  <c r="L97" i="28" s="1"/>
  <c r="M97" i="28" s="1"/>
  <c r="N97" i="28" s="1"/>
  <c r="O97" i="28" s="1"/>
  <c r="P97" i="28" s="1"/>
  <c r="Q97" i="28" s="1"/>
  <c r="R97" i="28" s="1"/>
  <c r="S97" i="28" s="1"/>
  <c r="T97" i="28" s="1"/>
  <c r="U97" i="28" s="1"/>
  <c r="V97" i="28" s="1"/>
  <c r="W97" i="28" s="1"/>
  <c r="X97" i="28" s="1"/>
  <c r="Y97" i="28" s="1"/>
  <c r="Z97" i="28" s="1"/>
  <c r="AA97" i="28" s="1"/>
  <c r="AB97" i="28" s="1"/>
  <c r="AC97" i="28" s="1"/>
  <c r="AD97" i="28" s="1"/>
  <c r="AE97" i="28" s="1"/>
  <c r="AF97" i="28" s="1"/>
  <c r="D97" i="28"/>
  <c r="C97" i="28"/>
  <c r="J96" i="28"/>
  <c r="K96" i="28" s="1"/>
  <c r="L96" i="28" s="1"/>
  <c r="M96" i="28" s="1"/>
  <c r="N96" i="28" s="1"/>
  <c r="O96" i="28" s="1"/>
  <c r="P96" i="28" s="1"/>
  <c r="Q96" i="28" s="1"/>
  <c r="R96" i="28" s="1"/>
  <c r="S96" i="28" s="1"/>
  <c r="T96" i="28" s="1"/>
  <c r="U96" i="28" s="1"/>
  <c r="V96" i="28" s="1"/>
  <c r="W96" i="28" s="1"/>
  <c r="X96" i="28" s="1"/>
  <c r="Y96" i="28" s="1"/>
  <c r="Z96" i="28" s="1"/>
  <c r="AA96" i="28" s="1"/>
  <c r="AB96" i="28" s="1"/>
  <c r="AC96" i="28" s="1"/>
  <c r="AD96" i="28" s="1"/>
  <c r="AE96" i="28" s="1"/>
  <c r="AF96" i="28" s="1"/>
  <c r="G96" i="28"/>
  <c r="H96" i="28" s="1"/>
  <c r="I96" i="28" s="1"/>
  <c r="D96" i="28"/>
  <c r="E96" i="28" s="1"/>
  <c r="F96" i="28" s="1"/>
  <c r="C96" i="28"/>
  <c r="F95" i="28"/>
  <c r="G95" i="28" s="1"/>
  <c r="H95" i="28" s="1"/>
  <c r="I95" i="28" s="1"/>
  <c r="J95" i="28" s="1"/>
  <c r="K95" i="28" s="1"/>
  <c r="L95" i="28" s="1"/>
  <c r="M95" i="28" s="1"/>
  <c r="N95" i="28" s="1"/>
  <c r="O95" i="28" s="1"/>
  <c r="P95" i="28" s="1"/>
  <c r="Q95" i="28" s="1"/>
  <c r="R95" i="28" s="1"/>
  <c r="S95" i="28" s="1"/>
  <c r="T95" i="28" s="1"/>
  <c r="U95" i="28" s="1"/>
  <c r="V95" i="28" s="1"/>
  <c r="W95" i="28" s="1"/>
  <c r="X95" i="28" s="1"/>
  <c r="Y95" i="28" s="1"/>
  <c r="Z95" i="28" s="1"/>
  <c r="AA95" i="28" s="1"/>
  <c r="AB95" i="28" s="1"/>
  <c r="AC95" i="28" s="1"/>
  <c r="AD95" i="28" s="1"/>
  <c r="AE95" i="28" s="1"/>
  <c r="AF95" i="28" s="1"/>
  <c r="D95" i="28"/>
  <c r="E95" i="28" s="1"/>
  <c r="C95" i="28"/>
  <c r="D94" i="28"/>
  <c r="C94" i="28"/>
  <c r="D93" i="28"/>
  <c r="E93" i="28" s="1"/>
  <c r="F93" i="28" s="1"/>
  <c r="G93" i="28" s="1"/>
  <c r="H93" i="28" s="1"/>
  <c r="I93" i="28" s="1"/>
  <c r="J93" i="28" s="1"/>
  <c r="K93" i="28" s="1"/>
  <c r="L93" i="28" s="1"/>
  <c r="M93" i="28" s="1"/>
  <c r="N93" i="28" s="1"/>
  <c r="O93" i="28" s="1"/>
  <c r="P93" i="28" s="1"/>
  <c r="Q93" i="28" s="1"/>
  <c r="R93" i="28" s="1"/>
  <c r="S93" i="28" s="1"/>
  <c r="T93" i="28" s="1"/>
  <c r="U93" i="28" s="1"/>
  <c r="V93" i="28" s="1"/>
  <c r="W93" i="28" s="1"/>
  <c r="X93" i="28" s="1"/>
  <c r="Y93" i="28" s="1"/>
  <c r="Z93" i="28" s="1"/>
  <c r="AA93" i="28" s="1"/>
  <c r="AB93" i="28" s="1"/>
  <c r="AC93" i="28" s="1"/>
  <c r="AD93" i="28" s="1"/>
  <c r="AE93" i="28" s="1"/>
  <c r="AF93" i="28" s="1"/>
  <c r="C93" i="28"/>
  <c r="C92" i="28"/>
  <c r="D92" i="28" s="1"/>
  <c r="E92" i="28" s="1"/>
  <c r="F92" i="28" s="1"/>
  <c r="G92" i="28" s="1"/>
  <c r="H92" i="28" s="1"/>
  <c r="I92" i="28" s="1"/>
  <c r="J92" i="28" s="1"/>
  <c r="K92" i="28" s="1"/>
  <c r="L92" i="28" s="1"/>
  <c r="M92" i="28" s="1"/>
  <c r="N92" i="28" s="1"/>
  <c r="O92" i="28" s="1"/>
  <c r="P92" i="28" s="1"/>
  <c r="Q92" i="28" s="1"/>
  <c r="R92" i="28" s="1"/>
  <c r="S92" i="28" s="1"/>
  <c r="T92" i="28" s="1"/>
  <c r="U92" i="28" s="1"/>
  <c r="V92" i="28" s="1"/>
  <c r="W92" i="28" s="1"/>
  <c r="X92" i="28" s="1"/>
  <c r="Y92" i="28" s="1"/>
  <c r="Z92" i="28" s="1"/>
  <c r="AA92" i="28" s="1"/>
  <c r="AB92" i="28" s="1"/>
  <c r="AC92" i="28" s="1"/>
  <c r="AD92" i="28" s="1"/>
  <c r="AE92" i="28" s="1"/>
  <c r="AF92" i="28" s="1"/>
  <c r="L91" i="28"/>
  <c r="M91" i="28" s="1"/>
  <c r="N91" i="28" s="1"/>
  <c r="O91" i="28" s="1"/>
  <c r="P91" i="28" s="1"/>
  <c r="Q91" i="28" s="1"/>
  <c r="R91" i="28" s="1"/>
  <c r="S91" i="28" s="1"/>
  <c r="T91" i="28" s="1"/>
  <c r="U91" i="28" s="1"/>
  <c r="V91" i="28" s="1"/>
  <c r="W91" i="28" s="1"/>
  <c r="X91" i="28" s="1"/>
  <c r="Y91" i="28" s="1"/>
  <c r="Z91" i="28" s="1"/>
  <c r="AA91" i="28" s="1"/>
  <c r="AB91" i="28" s="1"/>
  <c r="AC91" i="28" s="1"/>
  <c r="AD91" i="28" s="1"/>
  <c r="AE91" i="28" s="1"/>
  <c r="AF91" i="28" s="1"/>
  <c r="E91" i="28"/>
  <c r="F91" i="28" s="1"/>
  <c r="G91" i="28" s="1"/>
  <c r="H91" i="28" s="1"/>
  <c r="I91" i="28" s="1"/>
  <c r="J91" i="28" s="1"/>
  <c r="K91" i="28" s="1"/>
  <c r="D91" i="28"/>
  <c r="C91" i="28"/>
  <c r="D90" i="28"/>
  <c r="E90" i="28" s="1"/>
  <c r="F90" i="28" s="1"/>
  <c r="G90" i="28" s="1"/>
  <c r="H90" i="28" s="1"/>
  <c r="I90" i="28" s="1"/>
  <c r="J90" i="28" s="1"/>
  <c r="K90" i="28" s="1"/>
  <c r="L90" i="28" s="1"/>
  <c r="M90" i="28" s="1"/>
  <c r="N90" i="28" s="1"/>
  <c r="O90" i="28" s="1"/>
  <c r="P90" i="28" s="1"/>
  <c r="Q90" i="28" s="1"/>
  <c r="R90" i="28" s="1"/>
  <c r="S90" i="28" s="1"/>
  <c r="T90" i="28" s="1"/>
  <c r="U90" i="28" s="1"/>
  <c r="V90" i="28" s="1"/>
  <c r="W90" i="28" s="1"/>
  <c r="X90" i="28" s="1"/>
  <c r="Y90" i="28" s="1"/>
  <c r="Z90" i="28" s="1"/>
  <c r="AA90" i="28" s="1"/>
  <c r="AB90" i="28" s="1"/>
  <c r="AC90" i="28" s="1"/>
  <c r="AD90" i="28" s="1"/>
  <c r="AE90" i="28" s="1"/>
  <c r="AF90" i="28" s="1"/>
  <c r="C90" i="28"/>
  <c r="C89" i="28"/>
  <c r="AH86" i="28"/>
  <c r="AI86" i="28" s="1"/>
  <c r="AH85" i="28"/>
  <c r="AI85" i="28" s="1"/>
  <c r="AH84" i="28"/>
  <c r="AI84" i="28" s="1"/>
  <c r="AH83" i="28"/>
  <c r="AI83" i="28" s="1"/>
  <c r="C82" i="28"/>
  <c r="B82" i="28"/>
  <c r="AF80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B80" i="28"/>
  <c r="AI79" i="28"/>
  <c r="AH79" i="28"/>
  <c r="AI78" i="28"/>
  <c r="AH78" i="28"/>
  <c r="AI77" i="28"/>
  <c r="AH77" i="28"/>
  <c r="AI76" i="28"/>
  <c r="AH76" i="28"/>
  <c r="AI75" i="28"/>
  <c r="AH75" i="28"/>
  <c r="AI74" i="28"/>
  <c r="AH74" i="28"/>
  <c r="AI73" i="28"/>
  <c r="AH73" i="28"/>
  <c r="AI72" i="28"/>
  <c r="AH72" i="28"/>
  <c r="AG71" i="28"/>
  <c r="AI70" i="28"/>
  <c r="AH70" i="28"/>
  <c r="AF69" i="28"/>
  <c r="AE69" i="28"/>
  <c r="AD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B69" i="28"/>
  <c r="AF68" i="28"/>
  <c r="AE68" i="28"/>
  <c r="AD68" i="28"/>
  <c r="AC68" i="28"/>
  <c r="AB68" i="28"/>
  <c r="AA68" i="28"/>
  <c r="Z68" i="28"/>
  <c r="Y68" i="28"/>
  <c r="X68" i="28"/>
  <c r="W68" i="28"/>
  <c r="V68" i="28"/>
  <c r="U68" i="28"/>
  <c r="T68" i="28"/>
  <c r="S68" i="28"/>
  <c r="R68" i="28"/>
  <c r="Q68" i="28"/>
  <c r="P68" i="28"/>
  <c r="O68" i="28"/>
  <c r="N68" i="28"/>
  <c r="M68" i="28"/>
  <c r="L68" i="28"/>
  <c r="K68" i="28"/>
  <c r="J68" i="28"/>
  <c r="I68" i="28"/>
  <c r="H68" i="28"/>
  <c r="G68" i="28"/>
  <c r="F68" i="28"/>
  <c r="E68" i="28"/>
  <c r="D68" i="28"/>
  <c r="C68" i="28"/>
  <c r="B68" i="28"/>
  <c r="AF67" i="28"/>
  <c r="AE67" i="28"/>
  <c r="AD67" i="28"/>
  <c r="AD71" i="28" s="1"/>
  <c r="AC67" i="28"/>
  <c r="AB67" i="28"/>
  <c r="AA67" i="28"/>
  <c r="Z67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AF66" i="28"/>
  <c r="AE66" i="28"/>
  <c r="AD66" i="28"/>
  <c r="AC66" i="28"/>
  <c r="AC71" i="28" s="1"/>
  <c r="AB66" i="28"/>
  <c r="AB71" i="28" s="1"/>
  <c r="AA66" i="28"/>
  <c r="Z66" i="28"/>
  <c r="Y66" i="28"/>
  <c r="Y71" i="28" s="1"/>
  <c r="X66" i="28"/>
  <c r="X71" i="28" s="1"/>
  <c r="W66" i="28"/>
  <c r="V66" i="28"/>
  <c r="U66" i="28"/>
  <c r="T66" i="28"/>
  <c r="T71" i="28" s="1"/>
  <c r="S66" i="28"/>
  <c r="S71" i="28" s="1"/>
  <c r="R66" i="28"/>
  <c r="Q66" i="28"/>
  <c r="P66" i="28"/>
  <c r="O66" i="28"/>
  <c r="N66" i="28"/>
  <c r="N71" i="28" s="1"/>
  <c r="M66" i="28"/>
  <c r="L66" i="28"/>
  <c r="K66" i="28"/>
  <c r="J66" i="28"/>
  <c r="J71" i="28" s="1"/>
  <c r="I66" i="28"/>
  <c r="H66" i="28"/>
  <c r="G66" i="28"/>
  <c r="F66" i="28"/>
  <c r="E66" i="28"/>
  <c r="D66" i="28"/>
  <c r="D71" i="28" s="1"/>
  <c r="C66" i="28"/>
  <c r="B66" i="28"/>
  <c r="AI64" i="28"/>
  <c r="AH64" i="28"/>
  <c r="AG63" i="28"/>
  <c r="AF63" i="28"/>
  <c r="AE63" i="28"/>
  <c r="AD63" i="28"/>
  <c r="AC63" i="28"/>
  <c r="AB63" i="28"/>
  <c r="AA63" i="28"/>
  <c r="Z63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AI62" i="28"/>
  <c r="AH62" i="28"/>
  <c r="AI61" i="28"/>
  <c r="AH61" i="28"/>
  <c r="AI60" i="28"/>
  <c r="AH60" i="28"/>
  <c r="AG59" i="28"/>
  <c r="AF59" i="28"/>
  <c r="AF5" i="28" s="1"/>
  <c r="AE59" i="28"/>
  <c r="AE5" i="28" s="1"/>
  <c r="AD59" i="28"/>
  <c r="AD5" i="28" s="1"/>
  <c r="AC59" i="28"/>
  <c r="AC5" i="28" s="1"/>
  <c r="AB59" i="28"/>
  <c r="AB5" i="28" s="1"/>
  <c r="AA59" i="28"/>
  <c r="AA5" i="28" s="1"/>
  <c r="Z59" i="28"/>
  <c r="Z5" i="28" s="1"/>
  <c r="Y59" i="28"/>
  <c r="X59" i="28"/>
  <c r="X5" i="28" s="1"/>
  <c r="W59" i="28"/>
  <c r="W5" i="28" s="1"/>
  <c r="V59" i="28"/>
  <c r="V5" i="28" s="1"/>
  <c r="U59" i="28"/>
  <c r="U5" i="28" s="1"/>
  <c r="T59" i="28"/>
  <c r="T5" i="28" s="1"/>
  <c r="S59" i="28"/>
  <c r="S5" i="28" s="1"/>
  <c r="R59" i="28"/>
  <c r="R5" i="28" s="1"/>
  <c r="Q59" i="28"/>
  <c r="Q5" i="28" s="1"/>
  <c r="P59" i="28"/>
  <c r="P5" i="28" s="1"/>
  <c r="O59" i="28"/>
  <c r="N59" i="28"/>
  <c r="N5" i="28" s="1"/>
  <c r="M59" i="28"/>
  <c r="L59" i="28"/>
  <c r="L5" i="28" s="1"/>
  <c r="K59" i="28"/>
  <c r="K5" i="28" s="1"/>
  <c r="J59" i="28"/>
  <c r="J5" i="28" s="1"/>
  <c r="I59" i="28"/>
  <c r="I5" i="28" s="1"/>
  <c r="H59" i="28"/>
  <c r="H5" i="28" s="1"/>
  <c r="G59" i="28"/>
  <c r="G5" i="28" s="1"/>
  <c r="F59" i="28"/>
  <c r="F5" i="28" s="1"/>
  <c r="E59" i="28"/>
  <c r="E5" i="28" s="1"/>
  <c r="D59" i="28"/>
  <c r="D5" i="28" s="1"/>
  <c r="C59" i="28"/>
  <c r="B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G47" i="28"/>
  <c r="AF47" i="28"/>
  <c r="AE47" i="28"/>
  <c r="AD47" i="28"/>
  <c r="AC47" i="28"/>
  <c r="AB47" i="28"/>
  <c r="AA47" i="28"/>
  <c r="Z47" i="28"/>
  <c r="Y47" i="28"/>
  <c r="X47" i="28"/>
  <c r="W47" i="28"/>
  <c r="V47" i="28"/>
  <c r="U47" i="28"/>
  <c r="T47" i="28"/>
  <c r="S47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B47" i="28"/>
  <c r="AI46" i="28"/>
  <c r="AH46" i="28"/>
  <c r="AI45" i="28"/>
  <c r="AH45" i="28"/>
  <c r="AI44" i="28"/>
  <c r="AH44" i="28"/>
  <c r="B43" i="28"/>
  <c r="AG42" i="28"/>
  <c r="AG43" i="28" s="1"/>
  <c r="B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Y5" i="28"/>
  <c r="O5" i="28"/>
  <c r="M5" i="28"/>
  <c r="C5" i="28"/>
  <c r="AG4" i="28"/>
  <c r="K4" i="28"/>
  <c r="C4" i="28"/>
  <c r="AG2" i="28"/>
  <c r="V30" i="27"/>
  <c r="Q84" i="27"/>
  <c r="AC71" i="31" l="1"/>
  <c r="AB71" i="31"/>
  <c r="AA71" i="31"/>
  <c r="U71" i="31"/>
  <c r="T71" i="31"/>
  <c r="Y71" i="31"/>
  <c r="W71" i="31"/>
  <c r="S71" i="31"/>
  <c r="O71" i="31"/>
  <c r="M71" i="31"/>
  <c r="L71" i="31"/>
  <c r="I71" i="31"/>
  <c r="AI68" i="31"/>
  <c r="AI67" i="31"/>
  <c r="G71" i="31"/>
  <c r="D71" i="31"/>
  <c r="E71" i="31"/>
  <c r="AI47" i="31"/>
  <c r="C71" i="31"/>
  <c r="AI30" i="31"/>
  <c r="B71" i="31"/>
  <c r="B65" i="31"/>
  <c r="D190" i="31"/>
  <c r="S190" i="31"/>
  <c r="D4" i="31"/>
  <c r="AI59" i="31"/>
  <c r="AH30" i="31"/>
  <c r="AH47" i="31"/>
  <c r="D82" i="31"/>
  <c r="E94" i="31"/>
  <c r="F71" i="31"/>
  <c r="N71" i="31"/>
  <c r="V71" i="31"/>
  <c r="AD71" i="31"/>
  <c r="AI80" i="31"/>
  <c r="AH63" i="31"/>
  <c r="AH68" i="31"/>
  <c r="AH67" i="31"/>
  <c r="AI69" i="31"/>
  <c r="AH59" i="31"/>
  <c r="AI66" i="31"/>
  <c r="J71" i="31"/>
  <c r="R71" i="31"/>
  <c r="Z71" i="31"/>
  <c r="C5" i="31"/>
  <c r="AH69" i="31"/>
  <c r="C171" i="31"/>
  <c r="AI63" i="31"/>
  <c r="D171" i="31"/>
  <c r="E171" i="31"/>
  <c r="F89" i="31"/>
  <c r="AH66" i="31"/>
  <c r="AH80" i="31"/>
  <c r="F173" i="31"/>
  <c r="E178" i="31"/>
  <c r="D214" i="31"/>
  <c r="D179" i="31"/>
  <c r="D42" i="31" s="1"/>
  <c r="D43" i="31" s="1"/>
  <c r="D65" i="31" s="1"/>
  <c r="C214" i="31"/>
  <c r="C179" i="31"/>
  <c r="C42" i="31" s="1"/>
  <c r="AC71" i="30"/>
  <c r="AA71" i="30"/>
  <c r="U71" i="30"/>
  <c r="AI67" i="30"/>
  <c r="S71" i="30"/>
  <c r="W71" i="30"/>
  <c r="Y71" i="30"/>
  <c r="M71" i="30"/>
  <c r="K71" i="30"/>
  <c r="I71" i="30"/>
  <c r="AI47" i="30"/>
  <c r="G71" i="30"/>
  <c r="AI68" i="30"/>
  <c r="AH68" i="30"/>
  <c r="AI59" i="30"/>
  <c r="AH69" i="30"/>
  <c r="AH59" i="30"/>
  <c r="AH47" i="30"/>
  <c r="B5" i="30"/>
  <c r="AH30" i="30"/>
  <c r="B65" i="30"/>
  <c r="T193" i="30" s="1"/>
  <c r="AI30" i="30"/>
  <c r="AG6" i="30"/>
  <c r="AH66" i="30"/>
  <c r="AH80" i="30"/>
  <c r="C5" i="30"/>
  <c r="AI66" i="30"/>
  <c r="AH67" i="30"/>
  <c r="B71" i="30"/>
  <c r="J71" i="30"/>
  <c r="R71" i="30"/>
  <c r="Z71" i="30"/>
  <c r="AI69" i="30"/>
  <c r="D71" i="30"/>
  <c r="L71" i="30"/>
  <c r="T71" i="30"/>
  <c r="AB71" i="30"/>
  <c r="G94" i="30"/>
  <c r="C82" i="30"/>
  <c r="D110" i="30"/>
  <c r="S190" i="30"/>
  <c r="D190" i="30"/>
  <c r="D4" i="30"/>
  <c r="F71" i="30"/>
  <c r="N71" i="30"/>
  <c r="V71" i="30"/>
  <c r="AD71" i="30"/>
  <c r="AI80" i="30"/>
  <c r="H71" i="30"/>
  <c r="P71" i="30"/>
  <c r="X71" i="30"/>
  <c r="AF71" i="30"/>
  <c r="C171" i="30"/>
  <c r="D171" i="30"/>
  <c r="E89" i="30"/>
  <c r="D179" i="30"/>
  <c r="D42" i="30" s="1"/>
  <c r="D43" i="30" s="1"/>
  <c r="D65" i="30" s="1"/>
  <c r="E173" i="30"/>
  <c r="C179" i="30"/>
  <c r="C42" i="30" s="1"/>
  <c r="E178" i="30"/>
  <c r="AF71" i="28"/>
  <c r="AE71" i="28"/>
  <c r="AA71" i="28"/>
  <c r="Z71" i="28"/>
  <c r="V71" i="28"/>
  <c r="U71" i="28"/>
  <c r="W71" i="28"/>
  <c r="R71" i="28"/>
  <c r="Q71" i="28"/>
  <c r="P71" i="28"/>
  <c r="O71" i="28"/>
  <c r="M71" i="28"/>
  <c r="L71" i="28"/>
  <c r="K71" i="28"/>
  <c r="AI68" i="28"/>
  <c r="I71" i="28"/>
  <c r="AI66" i="28"/>
  <c r="H71" i="28"/>
  <c r="G71" i="28"/>
  <c r="AH67" i="28"/>
  <c r="F71" i="28"/>
  <c r="E71" i="28"/>
  <c r="AH68" i="28"/>
  <c r="AI47" i="28"/>
  <c r="C71" i="28"/>
  <c r="AH80" i="28"/>
  <c r="AI30" i="28"/>
  <c r="AH69" i="28"/>
  <c r="AH66" i="28"/>
  <c r="B71" i="28"/>
  <c r="AI67" i="28"/>
  <c r="AI69" i="28"/>
  <c r="AH47" i="28"/>
  <c r="D82" i="28"/>
  <c r="E94" i="28"/>
  <c r="AI80" i="28"/>
  <c r="C171" i="28"/>
  <c r="D89" i="28"/>
  <c r="B65" i="28"/>
  <c r="AI63" i="28"/>
  <c r="AH63" i="28"/>
  <c r="AH30" i="28"/>
  <c r="AG6" i="28"/>
  <c r="AG65" i="28"/>
  <c r="AG3" i="28"/>
  <c r="AI59" i="28"/>
  <c r="B5" i="28"/>
  <c r="AH59" i="28"/>
  <c r="D190" i="28"/>
  <c r="S190" i="28"/>
  <c r="D4" i="28"/>
  <c r="C214" i="28"/>
  <c r="D178" i="28"/>
  <c r="C179" i="28"/>
  <c r="C42" i="28" s="1"/>
  <c r="D173" i="28"/>
  <c r="AK70" i="27"/>
  <c r="N84" i="27"/>
  <c r="AH87" i="27"/>
  <c r="AI87" i="27" s="1"/>
  <c r="B82" i="27"/>
  <c r="B80" i="27"/>
  <c r="B71" i="27"/>
  <c r="B65" i="27"/>
  <c r="B59" i="27"/>
  <c r="B43" i="27"/>
  <c r="B30" i="27"/>
  <c r="B47" i="27"/>
  <c r="AF218" i="27"/>
  <c r="AE218" i="27"/>
  <c r="AD218" i="27"/>
  <c r="AC218" i="27"/>
  <c r="AB218" i="27"/>
  <c r="AA218" i="27"/>
  <c r="Z218" i="27"/>
  <c r="Y218" i="27"/>
  <c r="X218" i="27"/>
  <c r="W218" i="27"/>
  <c r="V218" i="27"/>
  <c r="U218" i="27"/>
  <c r="T218" i="27"/>
  <c r="S218" i="27"/>
  <c r="R218" i="27"/>
  <c r="Q218" i="27"/>
  <c r="P218" i="27"/>
  <c r="O218" i="27"/>
  <c r="N218" i="27"/>
  <c r="M218" i="27"/>
  <c r="L218" i="27"/>
  <c r="K218" i="27"/>
  <c r="J218" i="27"/>
  <c r="I218" i="27"/>
  <c r="H218" i="27"/>
  <c r="G218" i="27"/>
  <c r="F218" i="27"/>
  <c r="E218" i="27"/>
  <c r="D218" i="27"/>
  <c r="C218" i="27"/>
  <c r="B218" i="27"/>
  <c r="A218" i="27"/>
  <c r="AF217" i="27"/>
  <c r="AE217" i="27"/>
  <c r="AD217" i="27"/>
  <c r="AC217" i="27"/>
  <c r="AB217" i="27"/>
  <c r="AA217" i="27"/>
  <c r="Z217" i="27"/>
  <c r="Y217" i="27"/>
  <c r="X217" i="27"/>
  <c r="W217" i="27"/>
  <c r="V217" i="27"/>
  <c r="U217" i="27"/>
  <c r="T217" i="27"/>
  <c r="S217" i="27"/>
  <c r="R217" i="27"/>
  <c r="Q217" i="27"/>
  <c r="P217" i="27"/>
  <c r="O217" i="27"/>
  <c r="N217" i="27"/>
  <c r="M217" i="27"/>
  <c r="L217" i="27"/>
  <c r="K217" i="27"/>
  <c r="J217" i="27"/>
  <c r="I217" i="27"/>
  <c r="H217" i="27"/>
  <c r="G217" i="27"/>
  <c r="F217" i="27"/>
  <c r="E217" i="27"/>
  <c r="D217" i="27"/>
  <c r="C217" i="27"/>
  <c r="B217" i="27"/>
  <c r="A217" i="27"/>
  <c r="AF216" i="27"/>
  <c r="AE216" i="27"/>
  <c r="AD216" i="27"/>
  <c r="AC216" i="27"/>
  <c r="AB216" i="27"/>
  <c r="AA216" i="27"/>
  <c r="Z216" i="27"/>
  <c r="Y216" i="27"/>
  <c r="X216" i="27"/>
  <c r="W216" i="27"/>
  <c r="V216" i="27"/>
  <c r="U216" i="27"/>
  <c r="T216" i="27"/>
  <c r="S216" i="27"/>
  <c r="R216" i="27"/>
  <c r="Q216" i="27"/>
  <c r="P216" i="27"/>
  <c r="O216" i="27"/>
  <c r="N216" i="27"/>
  <c r="M216" i="27"/>
  <c r="L216" i="27"/>
  <c r="K216" i="27"/>
  <c r="J216" i="27"/>
  <c r="I216" i="27"/>
  <c r="H216" i="27"/>
  <c r="G216" i="27"/>
  <c r="F216" i="27"/>
  <c r="E216" i="27"/>
  <c r="D216" i="27"/>
  <c r="C216" i="27"/>
  <c r="B216" i="27"/>
  <c r="A216" i="27"/>
  <c r="AF215" i="27"/>
  <c r="AE215" i="27"/>
  <c r="AD215" i="27"/>
  <c r="AC215" i="27"/>
  <c r="AB215" i="27"/>
  <c r="AA215" i="27"/>
  <c r="Z215" i="27"/>
  <c r="Y215" i="27"/>
  <c r="X215" i="27"/>
  <c r="W215" i="27"/>
  <c r="V215" i="27"/>
  <c r="U215" i="27"/>
  <c r="T215" i="27"/>
  <c r="S215" i="27"/>
  <c r="R215" i="27"/>
  <c r="Q215" i="27"/>
  <c r="P215" i="27"/>
  <c r="O215" i="27"/>
  <c r="N215" i="27"/>
  <c r="M215" i="27"/>
  <c r="L215" i="27"/>
  <c r="K215" i="27"/>
  <c r="J215" i="27"/>
  <c r="I215" i="27"/>
  <c r="H215" i="27"/>
  <c r="G215" i="27"/>
  <c r="F215" i="27"/>
  <c r="E215" i="27"/>
  <c r="D215" i="27"/>
  <c r="C215" i="27"/>
  <c r="B215" i="27"/>
  <c r="A215" i="27"/>
  <c r="B214" i="27"/>
  <c r="S189" i="27"/>
  <c r="AG179" i="27"/>
  <c r="B179" i="27"/>
  <c r="E178" i="27"/>
  <c r="C178" i="27"/>
  <c r="D178" i="27" s="1"/>
  <c r="D214" i="27" s="1"/>
  <c r="N177" i="27"/>
  <c r="O177" i="27" s="1"/>
  <c r="P177" i="27" s="1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C177" i="27"/>
  <c r="D177" i="27" s="1"/>
  <c r="E177" i="27" s="1"/>
  <c r="F177" i="27" s="1"/>
  <c r="G177" i="27" s="1"/>
  <c r="H177" i="27" s="1"/>
  <c r="I177" i="27" s="1"/>
  <c r="J177" i="27" s="1"/>
  <c r="K177" i="27" s="1"/>
  <c r="L177" i="27" s="1"/>
  <c r="M177" i="27" s="1"/>
  <c r="G176" i="27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C176" i="27"/>
  <c r="D176" i="27" s="1"/>
  <c r="E176" i="27" s="1"/>
  <c r="F176" i="27" s="1"/>
  <c r="E175" i="27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C175" i="27"/>
  <c r="D175" i="27" s="1"/>
  <c r="E174" i="27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C174" i="27"/>
  <c r="D174" i="27" s="1"/>
  <c r="C173" i="27"/>
  <c r="AG171" i="27"/>
  <c r="B171" i="27"/>
  <c r="I170" i="27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G170" i="27"/>
  <c r="H170" i="27" s="1"/>
  <c r="D170" i="27"/>
  <c r="E170" i="27" s="1"/>
  <c r="F170" i="27" s="1"/>
  <c r="C170" i="27"/>
  <c r="M169" i="27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E169" i="27"/>
  <c r="F169" i="27" s="1"/>
  <c r="G169" i="27" s="1"/>
  <c r="H169" i="27" s="1"/>
  <c r="I169" i="27" s="1"/>
  <c r="J169" i="27" s="1"/>
  <c r="K169" i="27" s="1"/>
  <c r="L169" i="27" s="1"/>
  <c r="C169" i="27"/>
  <c r="D169" i="27" s="1"/>
  <c r="F168" i="27"/>
  <c r="G168" i="27" s="1"/>
  <c r="H168" i="27" s="1"/>
  <c r="I168" i="27" s="1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E168" i="27"/>
  <c r="C168" i="27"/>
  <c r="D168" i="27" s="1"/>
  <c r="D167" i="27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C167" i="27"/>
  <c r="Y166" i="27"/>
  <c r="Z166" i="27" s="1"/>
  <c r="AA166" i="27" s="1"/>
  <c r="AB166" i="27" s="1"/>
  <c r="AC166" i="27" s="1"/>
  <c r="AD166" i="27" s="1"/>
  <c r="AE166" i="27" s="1"/>
  <c r="AF166" i="27" s="1"/>
  <c r="C166" i="27"/>
  <c r="D166" i="27" s="1"/>
  <c r="E166" i="27" s="1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K165" i="27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E165" i="27"/>
  <c r="F165" i="27" s="1"/>
  <c r="G165" i="27" s="1"/>
  <c r="H165" i="27" s="1"/>
  <c r="I165" i="27" s="1"/>
  <c r="J165" i="27" s="1"/>
  <c r="C165" i="27"/>
  <c r="D165" i="27" s="1"/>
  <c r="E164" i="27"/>
  <c r="F164" i="27" s="1"/>
  <c r="G164" i="27" s="1"/>
  <c r="H164" i="27" s="1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C164" i="27"/>
  <c r="D164" i="27" s="1"/>
  <c r="S163" i="27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C163" i="27"/>
  <c r="D163" i="27" s="1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C162" i="27"/>
  <c r="D162" i="27" s="1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C161" i="27"/>
  <c r="D161" i="27" s="1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F160" i="27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E160" i="27"/>
  <c r="C160" i="27"/>
  <c r="D160" i="27" s="1"/>
  <c r="D159" i="27"/>
  <c r="E159" i="27" s="1"/>
  <c r="F159" i="27" s="1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C159" i="27"/>
  <c r="F158" i="27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C158" i="27"/>
  <c r="D158" i="27" s="1"/>
  <c r="E158" i="27" s="1"/>
  <c r="AC157" i="27"/>
  <c r="AD157" i="27" s="1"/>
  <c r="AE157" i="27" s="1"/>
  <c r="AF157" i="27" s="1"/>
  <c r="H157" i="27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D157" i="27"/>
  <c r="E157" i="27" s="1"/>
  <c r="F157" i="27" s="1"/>
  <c r="G157" i="27" s="1"/>
  <c r="C157" i="27"/>
  <c r="M156" i="27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F156" i="27"/>
  <c r="G156" i="27" s="1"/>
  <c r="H156" i="27" s="1"/>
  <c r="I156" i="27" s="1"/>
  <c r="J156" i="27" s="1"/>
  <c r="K156" i="27" s="1"/>
  <c r="L156" i="27" s="1"/>
  <c r="E156" i="27"/>
  <c r="C156" i="27"/>
  <c r="D156" i="27" s="1"/>
  <c r="G155" i="27"/>
  <c r="H155" i="27" s="1"/>
  <c r="I155" i="27" s="1"/>
  <c r="J155" i="27" s="1"/>
  <c r="K155" i="27" s="1"/>
  <c r="L155" i="27" s="1"/>
  <c r="M155" i="27" s="1"/>
  <c r="N155" i="27" s="1"/>
  <c r="O155" i="27" s="1"/>
  <c r="P155" i="27" s="1"/>
  <c r="Q155" i="27" s="1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AB155" i="27" s="1"/>
  <c r="AC155" i="27" s="1"/>
  <c r="AD155" i="27" s="1"/>
  <c r="AE155" i="27" s="1"/>
  <c r="AF155" i="27" s="1"/>
  <c r="D155" i="27"/>
  <c r="E155" i="27" s="1"/>
  <c r="F155" i="27" s="1"/>
  <c r="C155" i="27"/>
  <c r="E154" i="27"/>
  <c r="F154" i="27" s="1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C154" i="27"/>
  <c r="D154" i="27" s="1"/>
  <c r="U153" i="27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C153" i="27"/>
  <c r="D153" i="27" s="1"/>
  <c r="E153" i="27" s="1"/>
  <c r="F153" i="27" s="1"/>
  <c r="G153" i="27" s="1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C152" i="27"/>
  <c r="D152" i="27" s="1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C151" i="27"/>
  <c r="D151" i="27" s="1"/>
  <c r="E151" i="27" s="1"/>
  <c r="F151" i="27" s="1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Q150" i="27"/>
  <c r="R150" i="27" s="1"/>
  <c r="S150" i="27" s="1"/>
  <c r="T150" i="27" s="1"/>
  <c r="U150" i="27" s="1"/>
  <c r="V150" i="27" s="1"/>
  <c r="W150" i="27" s="1"/>
  <c r="X150" i="27" s="1"/>
  <c r="Y150" i="27" s="1"/>
  <c r="Z150" i="27" s="1"/>
  <c r="AA150" i="27" s="1"/>
  <c r="AB150" i="27" s="1"/>
  <c r="AC150" i="27" s="1"/>
  <c r="AD150" i="27" s="1"/>
  <c r="AE150" i="27" s="1"/>
  <c r="AF150" i="27" s="1"/>
  <c r="D150" i="27"/>
  <c r="E150" i="27" s="1"/>
  <c r="F150" i="27" s="1"/>
  <c r="G150" i="27" s="1"/>
  <c r="H150" i="27" s="1"/>
  <c r="I150" i="27" s="1"/>
  <c r="J150" i="27" s="1"/>
  <c r="K150" i="27" s="1"/>
  <c r="L150" i="27" s="1"/>
  <c r="M150" i="27" s="1"/>
  <c r="N150" i="27" s="1"/>
  <c r="O150" i="27" s="1"/>
  <c r="P150" i="27" s="1"/>
  <c r="C150" i="27"/>
  <c r="C149" i="27"/>
  <c r="D149" i="27" s="1"/>
  <c r="E149" i="27" s="1"/>
  <c r="F149" i="27" s="1"/>
  <c r="G149" i="27" s="1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E148" i="27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C148" i="27"/>
  <c r="D148" i="27" s="1"/>
  <c r="C147" i="27"/>
  <c r="D147" i="27" s="1"/>
  <c r="E147" i="27" s="1"/>
  <c r="F147" i="27" s="1"/>
  <c r="G147" i="27" s="1"/>
  <c r="H147" i="27" s="1"/>
  <c r="I147" i="27" s="1"/>
  <c r="J147" i="27" s="1"/>
  <c r="K147" i="27" s="1"/>
  <c r="L147" i="27" s="1"/>
  <c r="M147" i="27" s="1"/>
  <c r="N147" i="27" s="1"/>
  <c r="O147" i="27" s="1"/>
  <c r="P147" i="27" s="1"/>
  <c r="Q147" i="27" s="1"/>
  <c r="R147" i="27" s="1"/>
  <c r="S147" i="27" s="1"/>
  <c r="T147" i="27" s="1"/>
  <c r="U147" i="27" s="1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L146" i="27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C146" i="27"/>
  <c r="D146" i="27" s="1"/>
  <c r="E146" i="27" s="1"/>
  <c r="F146" i="27" s="1"/>
  <c r="G146" i="27" s="1"/>
  <c r="H146" i="27" s="1"/>
  <c r="I146" i="27" s="1"/>
  <c r="J146" i="27" s="1"/>
  <c r="K146" i="27" s="1"/>
  <c r="C145" i="27"/>
  <c r="D145" i="27" s="1"/>
  <c r="E145" i="27" s="1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E144" i="27"/>
  <c r="F144" i="27" s="1"/>
  <c r="G144" i="27" s="1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C144" i="27"/>
  <c r="D144" i="27" s="1"/>
  <c r="D143" i="27"/>
  <c r="E143" i="27" s="1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C143" i="27"/>
  <c r="D142" i="27"/>
  <c r="E142" i="27" s="1"/>
  <c r="F142" i="27" s="1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C142" i="27"/>
  <c r="D141" i="27"/>
  <c r="E141" i="27" s="1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C141" i="27"/>
  <c r="G140" i="27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D140" i="27"/>
  <c r="E140" i="27" s="1"/>
  <c r="F140" i="27" s="1"/>
  <c r="C140" i="27"/>
  <c r="D139" i="27"/>
  <c r="E139" i="27" s="1"/>
  <c r="F139" i="27" s="1"/>
  <c r="G139" i="27" s="1"/>
  <c r="H139" i="27" s="1"/>
  <c r="I139" i="27" s="1"/>
  <c r="J139" i="27" s="1"/>
  <c r="K139" i="27" s="1"/>
  <c r="L139" i="27" s="1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C139" i="27"/>
  <c r="C138" i="27"/>
  <c r="D138" i="27" s="1"/>
  <c r="E138" i="27" s="1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D137" i="27"/>
  <c r="E137" i="27" s="1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C137" i="27"/>
  <c r="D136" i="27"/>
  <c r="E136" i="27" s="1"/>
  <c r="F136" i="27" s="1"/>
  <c r="G136" i="27" s="1"/>
  <c r="H136" i="27" s="1"/>
  <c r="I136" i="27" s="1"/>
  <c r="J136" i="27" s="1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C136" i="27"/>
  <c r="D135" i="27"/>
  <c r="E135" i="27" s="1"/>
  <c r="F135" i="27" s="1"/>
  <c r="G135" i="27" s="1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C135" i="27"/>
  <c r="C134" i="27"/>
  <c r="D134" i="27" s="1"/>
  <c r="E134" i="27" s="1"/>
  <c r="F134" i="27" s="1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T133" i="27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D133" i="27"/>
  <c r="E133" i="27" s="1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C133" i="27"/>
  <c r="N132" i="27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F132" i="27"/>
  <c r="G132" i="27" s="1"/>
  <c r="H132" i="27" s="1"/>
  <c r="I132" i="27" s="1"/>
  <c r="J132" i="27" s="1"/>
  <c r="K132" i="27" s="1"/>
  <c r="L132" i="27" s="1"/>
  <c r="M132" i="27" s="1"/>
  <c r="D132" i="27"/>
  <c r="E132" i="27" s="1"/>
  <c r="C132" i="27"/>
  <c r="D131" i="27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C131" i="27"/>
  <c r="D130" i="27"/>
  <c r="E130" i="27" s="1"/>
  <c r="F130" i="27" s="1"/>
  <c r="G130" i="27" s="1"/>
  <c r="H130" i="27" s="1"/>
  <c r="I130" i="27" s="1"/>
  <c r="J130" i="27" s="1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C130" i="27"/>
  <c r="D129" i="27"/>
  <c r="E129" i="27" s="1"/>
  <c r="F129" i="27" s="1"/>
  <c r="G129" i="27" s="1"/>
  <c r="H129" i="27" s="1"/>
  <c r="I129" i="27" s="1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C129" i="27"/>
  <c r="D128" i="27"/>
  <c r="E128" i="27" s="1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C128" i="27"/>
  <c r="D127" i="27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C127" i="27"/>
  <c r="J126" i="27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C126" i="27"/>
  <c r="D126" i="27" s="1"/>
  <c r="E126" i="27" s="1"/>
  <c r="F126" i="27" s="1"/>
  <c r="G126" i="27" s="1"/>
  <c r="H126" i="27" s="1"/>
  <c r="I126" i="27" s="1"/>
  <c r="C125" i="27"/>
  <c r="D125" i="27" s="1"/>
  <c r="E125" i="27" s="1"/>
  <c r="F125" i="27" s="1"/>
  <c r="G125" i="27" s="1"/>
  <c r="H125" i="27" s="1"/>
  <c r="I125" i="27" s="1"/>
  <c r="J125" i="27" s="1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T124" i="27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F124" i="27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D124" i="27"/>
  <c r="E124" i="27" s="1"/>
  <c r="C124" i="27"/>
  <c r="E123" i="27"/>
  <c r="F123" i="27" s="1"/>
  <c r="G123" i="27" s="1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D123" i="27"/>
  <c r="C123" i="27"/>
  <c r="AA122" i="27"/>
  <c r="AB122" i="27" s="1"/>
  <c r="AC122" i="27" s="1"/>
  <c r="AD122" i="27" s="1"/>
  <c r="AE122" i="27" s="1"/>
  <c r="AF122" i="27" s="1"/>
  <c r="C122" i="27"/>
  <c r="D122" i="27" s="1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F121" i="27"/>
  <c r="E121" i="27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D121" i="27"/>
  <c r="C121" i="27"/>
  <c r="D120" i="27"/>
  <c r="E120" i="27" s="1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C120" i="27"/>
  <c r="E119" i="27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D119" i="27"/>
  <c r="C119" i="27"/>
  <c r="N118" i="27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D118" i="27"/>
  <c r="E118" i="27" s="1"/>
  <c r="F118" i="27" s="1"/>
  <c r="G118" i="27" s="1"/>
  <c r="H118" i="27" s="1"/>
  <c r="I118" i="27" s="1"/>
  <c r="J118" i="27" s="1"/>
  <c r="K118" i="27" s="1"/>
  <c r="L118" i="27" s="1"/>
  <c r="M118" i="27" s="1"/>
  <c r="C118" i="27"/>
  <c r="K117" i="27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D117" i="27"/>
  <c r="E117" i="27" s="1"/>
  <c r="F117" i="27" s="1"/>
  <c r="G117" i="27" s="1"/>
  <c r="H117" i="27" s="1"/>
  <c r="I117" i="27" s="1"/>
  <c r="J117" i="27" s="1"/>
  <c r="C117" i="27"/>
  <c r="G116" i="27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D116" i="27"/>
  <c r="E116" i="27" s="1"/>
  <c r="F116" i="27" s="1"/>
  <c r="C116" i="27"/>
  <c r="I115" i="27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D115" i="27"/>
  <c r="E115" i="27" s="1"/>
  <c r="F115" i="27" s="1"/>
  <c r="G115" i="27" s="1"/>
  <c r="H115" i="27" s="1"/>
  <c r="C115" i="27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C114" i="27"/>
  <c r="D113" i="27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C113" i="27"/>
  <c r="G112" i="27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C112" i="27"/>
  <c r="D112" i="27" s="1"/>
  <c r="E112" i="27" s="1"/>
  <c r="F112" i="27" s="1"/>
  <c r="F111" i="27"/>
  <c r="G111" i="27" s="1"/>
  <c r="H111" i="27" s="1"/>
  <c r="I111" i="27" s="1"/>
  <c r="J111" i="27" s="1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E111" i="27"/>
  <c r="D111" i="27"/>
  <c r="C111" i="27"/>
  <c r="O110" i="27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F110" i="27"/>
  <c r="G110" i="27" s="1"/>
  <c r="H110" i="27" s="1"/>
  <c r="I110" i="27" s="1"/>
  <c r="J110" i="27" s="1"/>
  <c r="K110" i="27" s="1"/>
  <c r="L110" i="27" s="1"/>
  <c r="M110" i="27" s="1"/>
  <c r="N110" i="27" s="1"/>
  <c r="D110" i="27"/>
  <c r="E110" i="27" s="1"/>
  <c r="C110" i="27"/>
  <c r="C109" i="27"/>
  <c r="D109" i="27" s="1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I108" i="27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D108" i="27"/>
  <c r="E108" i="27" s="1"/>
  <c r="F108" i="27" s="1"/>
  <c r="G108" i="27" s="1"/>
  <c r="H108" i="27" s="1"/>
  <c r="C108" i="27"/>
  <c r="C107" i="27"/>
  <c r="D107" i="27" s="1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G106" i="27"/>
  <c r="H106" i="27" s="1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C106" i="27"/>
  <c r="D106" i="27" s="1"/>
  <c r="E106" i="27" s="1"/>
  <c r="F106" i="27" s="1"/>
  <c r="C105" i="27"/>
  <c r="D105" i="27" s="1"/>
  <c r="E105" i="27" s="1"/>
  <c r="F105" i="27" s="1"/>
  <c r="G105" i="27" s="1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G104" i="27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C104" i="27"/>
  <c r="D104" i="27" s="1"/>
  <c r="E104" i="27" s="1"/>
  <c r="F104" i="27" s="1"/>
  <c r="F103" i="27"/>
  <c r="G103" i="27" s="1"/>
  <c r="H103" i="27" s="1"/>
  <c r="I103" i="27" s="1"/>
  <c r="J103" i="27" s="1"/>
  <c r="K103" i="27" s="1"/>
  <c r="L103" i="27" s="1"/>
  <c r="M103" i="27" s="1"/>
  <c r="N103" i="27" s="1"/>
  <c r="O103" i="27" s="1"/>
  <c r="P103" i="27" s="1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E103" i="27"/>
  <c r="C103" i="27"/>
  <c r="D103" i="27" s="1"/>
  <c r="C102" i="27"/>
  <c r="D102" i="27" s="1"/>
  <c r="E102" i="27" s="1"/>
  <c r="F102" i="27" s="1"/>
  <c r="G102" i="27" s="1"/>
  <c r="H102" i="27" s="1"/>
  <c r="I102" i="27" s="1"/>
  <c r="J102" i="27" s="1"/>
  <c r="K102" i="27" s="1"/>
  <c r="L102" i="27" s="1"/>
  <c r="M102" i="27" s="1"/>
  <c r="N102" i="27" s="1"/>
  <c r="O102" i="27" s="1"/>
  <c r="P102" i="27" s="1"/>
  <c r="Q102" i="27" s="1"/>
  <c r="R102" i="27" s="1"/>
  <c r="S102" i="27" s="1"/>
  <c r="T102" i="27" s="1"/>
  <c r="U102" i="27" s="1"/>
  <c r="V102" i="27" s="1"/>
  <c r="W102" i="27" s="1"/>
  <c r="X102" i="27" s="1"/>
  <c r="Y102" i="27" s="1"/>
  <c r="Z102" i="27" s="1"/>
  <c r="AA102" i="27" s="1"/>
  <c r="AB102" i="27" s="1"/>
  <c r="AC102" i="27" s="1"/>
  <c r="AD102" i="27" s="1"/>
  <c r="AE102" i="27" s="1"/>
  <c r="AF102" i="27" s="1"/>
  <c r="G101" i="27"/>
  <c r="H101" i="27" s="1"/>
  <c r="I101" i="27" s="1"/>
  <c r="J101" i="27" s="1"/>
  <c r="K101" i="27" s="1"/>
  <c r="L101" i="27" s="1"/>
  <c r="M101" i="27" s="1"/>
  <c r="N101" i="27" s="1"/>
  <c r="O101" i="27" s="1"/>
  <c r="P101" i="27" s="1"/>
  <c r="Q101" i="27" s="1"/>
  <c r="R101" i="27" s="1"/>
  <c r="S101" i="27" s="1"/>
  <c r="T101" i="27" s="1"/>
  <c r="U101" i="27" s="1"/>
  <c r="V101" i="27" s="1"/>
  <c r="W101" i="27" s="1"/>
  <c r="X101" i="27" s="1"/>
  <c r="Y101" i="27" s="1"/>
  <c r="Z101" i="27" s="1"/>
  <c r="AA101" i="27" s="1"/>
  <c r="AB101" i="27" s="1"/>
  <c r="AC101" i="27" s="1"/>
  <c r="AD101" i="27" s="1"/>
  <c r="AE101" i="27" s="1"/>
  <c r="AF101" i="27" s="1"/>
  <c r="C101" i="27"/>
  <c r="D101" i="27" s="1"/>
  <c r="E101" i="27" s="1"/>
  <c r="F101" i="27" s="1"/>
  <c r="D100" i="27"/>
  <c r="E100" i="27" s="1"/>
  <c r="F100" i="27" s="1"/>
  <c r="G100" i="27" s="1"/>
  <c r="H100" i="27" s="1"/>
  <c r="I100" i="27" s="1"/>
  <c r="J100" i="27" s="1"/>
  <c r="K100" i="27" s="1"/>
  <c r="L100" i="27" s="1"/>
  <c r="M100" i="27" s="1"/>
  <c r="N100" i="27" s="1"/>
  <c r="O100" i="27" s="1"/>
  <c r="P100" i="27" s="1"/>
  <c r="Q100" i="27" s="1"/>
  <c r="R100" i="27" s="1"/>
  <c r="S100" i="27" s="1"/>
  <c r="T100" i="27" s="1"/>
  <c r="U100" i="27" s="1"/>
  <c r="V100" i="27" s="1"/>
  <c r="W100" i="27" s="1"/>
  <c r="X100" i="27" s="1"/>
  <c r="Y100" i="27" s="1"/>
  <c r="Z100" i="27" s="1"/>
  <c r="AA100" i="27" s="1"/>
  <c r="AB100" i="27" s="1"/>
  <c r="AC100" i="27" s="1"/>
  <c r="AD100" i="27" s="1"/>
  <c r="AE100" i="27" s="1"/>
  <c r="AF100" i="27" s="1"/>
  <c r="C100" i="27"/>
  <c r="J99" i="27"/>
  <c r="K99" i="27" s="1"/>
  <c r="L99" i="27" s="1"/>
  <c r="M99" i="27" s="1"/>
  <c r="N99" i="27" s="1"/>
  <c r="O99" i="27" s="1"/>
  <c r="P99" i="27" s="1"/>
  <c r="Q99" i="27" s="1"/>
  <c r="R99" i="27" s="1"/>
  <c r="S99" i="27" s="1"/>
  <c r="T99" i="27" s="1"/>
  <c r="U99" i="27" s="1"/>
  <c r="V99" i="27" s="1"/>
  <c r="W99" i="27" s="1"/>
  <c r="X99" i="27" s="1"/>
  <c r="Y99" i="27" s="1"/>
  <c r="Z99" i="27" s="1"/>
  <c r="AA99" i="27" s="1"/>
  <c r="AB99" i="27" s="1"/>
  <c r="AC99" i="27" s="1"/>
  <c r="AD99" i="27" s="1"/>
  <c r="AE99" i="27" s="1"/>
  <c r="AF99" i="27" s="1"/>
  <c r="F99" i="27"/>
  <c r="G99" i="27" s="1"/>
  <c r="H99" i="27" s="1"/>
  <c r="E99" i="27"/>
  <c r="D99" i="27"/>
  <c r="C99" i="27"/>
  <c r="C98" i="27"/>
  <c r="D98" i="27" s="1"/>
  <c r="E98" i="27" s="1"/>
  <c r="F98" i="27" s="1"/>
  <c r="G98" i="27" s="1"/>
  <c r="H98" i="27" s="1"/>
  <c r="I98" i="27" s="1"/>
  <c r="J98" i="27" s="1"/>
  <c r="K98" i="27" s="1"/>
  <c r="L98" i="27" s="1"/>
  <c r="M98" i="27" s="1"/>
  <c r="N98" i="27" s="1"/>
  <c r="O98" i="27" s="1"/>
  <c r="P98" i="27" s="1"/>
  <c r="Q98" i="27" s="1"/>
  <c r="R98" i="27" s="1"/>
  <c r="S98" i="27" s="1"/>
  <c r="T98" i="27" s="1"/>
  <c r="U98" i="27" s="1"/>
  <c r="V98" i="27" s="1"/>
  <c r="W98" i="27" s="1"/>
  <c r="X98" i="27" s="1"/>
  <c r="Y98" i="27" s="1"/>
  <c r="Z98" i="27" s="1"/>
  <c r="AA98" i="27" s="1"/>
  <c r="AB98" i="27" s="1"/>
  <c r="AC98" i="27" s="1"/>
  <c r="AD98" i="27" s="1"/>
  <c r="AE98" i="27" s="1"/>
  <c r="AF98" i="27" s="1"/>
  <c r="D97" i="27"/>
  <c r="E97" i="27" s="1"/>
  <c r="F97" i="27" s="1"/>
  <c r="G97" i="27" s="1"/>
  <c r="H97" i="27" s="1"/>
  <c r="I97" i="27" s="1"/>
  <c r="J97" i="27" s="1"/>
  <c r="K97" i="27" s="1"/>
  <c r="L97" i="27" s="1"/>
  <c r="M97" i="27" s="1"/>
  <c r="N97" i="27" s="1"/>
  <c r="O97" i="27" s="1"/>
  <c r="P97" i="27" s="1"/>
  <c r="Q97" i="27" s="1"/>
  <c r="R97" i="27" s="1"/>
  <c r="S97" i="27" s="1"/>
  <c r="T97" i="27" s="1"/>
  <c r="U97" i="27" s="1"/>
  <c r="V97" i="27" s="1"/>
  <c r="W97" i="27" s="1"/>
  <c r="X97" i="27" s="1"/>
  <c r="Y97" i="27" s="1"/>
  <c r="Z97" i="27" s="1"/>
  <c r="AA97" i="27" s="1"/>
  <c r="AB97" i="27" s="1"/>
  <c r="AC97" i="27" s="1"/>
  <c r="AD97" i="27" s="1"/>
  <c r="AE97" i="27" s="1"/>
  <c r="AF97" i="27" s="1"/>
  <c r="C97" i="27"/>
  <c r="G96" i="27"/>
  <c r="H96" i="27" s="1"/>
  <c r="I96" i="27" s="1"/>
  <c r="J96" i="27" s="1"/>
  <c r="K96" i="27" s="1"/>
  <c r="L96" i="27" s="1"/>
  <c r="M96" i="27" s="1"/>
  <c r="N96" i="27" s="1"/>
  <c r="O96" i="27" s="1"/>
  <c r="P96" i="27" s="1"/>
  <c r="Q96" i="27" s="1"/>
  <c r="R96" i="27" s="1"/>
  <c r="S96" i="27" s="1"/>
  <c r="T96" i="27" s="1"/>
  <c r="U96" i="27" s="1"/>
  <c r="V96" i="27" s="1"/>
  <c r="W96" i="27" s="1"/>
  <c r="X96" i="27" s="1"/>
  <c r="Y96" i="27" s="1"/>
  <c r="Z96" i="27" s="1"/>
  <c r="AA96" i="27" s="1"/>
  <c r="AB96" i="27" s="1"/>
  <c r="AC96" i="27" s="1"/>
  <c r="AD96" i="27" s="1"/>
  <c r="AE96" i="27" s="1"/>
  <c r="AF96" i="27" s="1"/>
  <c r="D96" i="27"/>
  <c r="E96" i="27" s="1"/>
  <c r="F96" i="27" s="1"/>
  <c r="C96" i="27"/>
  <c r="E95" i="27"/>
  <c r="F95" i="27" s="1"/>
  <c r="G95" i="27" s="1"/>
  <c r="H95" i="27" s="1"/>
  <c r="I95" i="27" s="1"/>
  <c r="J95" i="27" s="1"/>
  <c r="K95" i="27" s="1"/>
  <c r="L95" i="27" s="1"/>
  <c r="M95" i="27" s="1"/>
  <c r="N95" i="27" s="1"/>
  <c r="O95" i="27" s="1"/>
  <c r="P95" i="27" s="1"/>
  <c r="Q95" i="27" s="1"/>
  <c r="R95" i="27" s="1"/>
  <c r="S95" i="27" s="1"/>
  <c r="T95" i="27" s="1"/>
  <c r="U95" i="27" s="1"/>
  <c r="V95" i="27" s="1"/>
  <c r="W95" i="27" s="1"/>
  <c r="X95" i="27" s="1"/>
  <c r="Y95" i="27" s="1"/>
  <c r="Z95" i="27" s="1"/>
  <c r="AA95" i="27" s="1"/>
  <c r="AB95" i="27" s="1"/>
  <c r="AC95" i="27" s="1"/>
  <c r="AD95" i="27" s="1"/>
  <c r="AE95" i="27" s="1"/>
  <c r="AF95" i="27" s="1"/>
  <c r="D95" i="27"/>
  <c r="C95" i="27"/>
  <c r="C94" i="27"/>
  <c r="D94" i="27" s="1"/>
  <c r="D93" i="27"/>
  <c r="E93" i="27" s="1"/>
  <c r="F93" i="27" s="1"/>
  <c r="G93" i="27" s="1"/>
  <c r="H93" i="27" s="1"/>
  <c r="I93" i="27" s="1"/>
  <c r="J93" i="27" s="1"/>
  <c r="K93" i="27" s="1"/>
  <c r="L93" i="27" s="1"/>
  <c r="M93" i="27" s="1"/>
  <c r="N93" i="27" s="1"/>
  <c r="O93" i="27" s="1"/>
  <c r="P93" i="27" s="1"/>
  <c r="Q93" i="27" s="1"/>
  <c r="R93" i="27" s="1"/>
  <c r="S93" i="27" s="1"/>
  <c r="T93" i="27" s="1"/>
  <c r="U93" i="27" s="1"/>
  <c r="V93" i="27" s="1"/>
  <c r="W93" i="27" s="1"/>
  <c r="X93" i="27" s="1"/>
  <c r="Y93" i="27" s="1"/>
  <c r="Z93" i="27" s="1"/>
  <c r="AA93" i="27" s="1"/>
  <c r="AB93" i="27" s="1"/>
  <c r="AC93" i="27" s="1"/>
  <c r="AD93" i="27" s="1"/>
  <c r="AE93" i="27" s="1"/>
  <c r="AF93" i="27" s="1"/>
  <c r="C93" i="27"/>
  <c r="G92" i="27"/>
  <c r="H92" i="27" s="1"/>
  <c r="I92" i="27" s="1"/>
  <c r="J92" i="27" s="1"/>
  <c r="K92" i="27" s="1"/>
  <c r="L92" i="27" s="1"/>
  <c r="M92" i="27" s="1"/>
  <c r="N92" i="27" s="1"/>
  <c r="O92" i="27" s="1"/>
  <c r="P92" i="27" s="1"/>
  <c r="Q92" i="27" s="1"/>
  <c r="R92" i="27" s="1"/>
  <c r="S92" i="27" s="1"/>
  <c r="T92" i="27" s="1"/>
  <c r="U92" i="27" s="1"/>
  <c r="V92" i="27" s="1"/>
  <c r="W92" i="27" s="1"/>
  <c r="X92" i="27" s="1"/>
  <c r="Y92" i="27" s="1"/>
  <c r="Z92" i="27" s="1"/>
  <c r="AA92" i="27" s="1"/>
  <c r="AB92" i="27" s="1"/>
  <c r="AC92" i="27" s="1"/>
  <c r="AD92" i="27" s="1"/>
  <c r="AE92" i="27" s="1"/>
  <c r="AF92" i="27" s="1"/>
  <c r="D92" i="27"/>
  <c r="E92" i="27" s="1"/>
  <c r="F92" i="27" s="1"/>
  <c r="C92" i="27"/>
  <c r="E91" i="27"/>
  <c r="F91" i="27" s="1"/>
  <c r="G91" i="27" s="1"/>
  <c r="H91" i="27" s="1"/>
  <c r="I91" i="27" s="1"/>
  <c r="J91" i="27" s="1"/>
  <c r="K91" i="27" s="1"/>
  <c r="L91" i="27" s="1"/>
  <c r="M91" i="27" s="1"/>
  <c r="N91" i="27" s="1"/>
  <c r="O91" i="27" s="1"/>
  <c r="P91" i="27" s="1"/>
  <c r="Q91" i="27" s="1"/>
  <c r="R91" i="27" s="1"/>
  <c r="S91" i="27" s="1"/>
  <c r="T91" i="27" s="1"/>
  <c r="U91" i="27" s="1"/>
  <c r="V91" i="27" s="1"/>
  <c r="W91" i="27" s="1"/>
  <c r="X91" i="27" s="1"/>
  <c r="Y91" i="27" s="1"/>
  <c r="Z91" i="27" s="1"/>
  <c r="AA91" i="27" s="1"/>
  <c r="AB91" i="27" s="1"/>
  <c r="AC91" i="27" s="1"/>
  <c r="AD91" i="27" s="1"/>
  <c r="AE91" i="27" s="1"/>
  <c r="AF91" i="27" s="1"/>
  <c r="D91" i="27"/>
  <c r="C91" i="27"/>
  <c r="C90" i="27"/>
  <c r="D90" i="27" s="1"/>
  <c r="E90" i="27" s="1"/>
  <c r="F90" i="27" s="1"/>
  <c r="G90" i="27" s="1"/>
  <c r="H90" i="27" s="1"/>
  <c r="I90" i="27" s="1"/>
  <c r="J90" i="27" s="1"/>
  <c r="K90" i="27" s="1"/>
  <c r="L90" i="27" s="1"/>
  <c r="M90" i="27" s="1"/>
  <c r="N90" i="27" s="1"/>
  <c r="O90" i="27" s="1"/>
  <c r="P90" i="27" s="1"/>
  <c r="Q90" i="27" s="1"/>
  <c r="R90" i="27" s="1"/>
  <c r="S90" i="27" s="1"/>
  <c r="T90" i="27" s="1"/>
  <c r="U90" i="27" s="1"/>
  <c r="V90" i="27" s="1"/>
  <c r="W90" i="27" s="1"/>
  <c r="X90" i="27" s="1"/>
  <c r="Y90" i="27" s="1"/>
  <c r="Z90" i="27" s="1"/>
  <c r="AA90" i="27" s="1"/>
  <c r="AB90" i="27" s="1"/>
  <c r="AC90" i="27" s="1"/>
  <c r="AD90" i="27" s="1"/>
  <c r="AE90" i="27" s="1"/>
  <c r="AF90" i="27" s="1"/>
  <c r="C89" i="27"/>
  <c r="AH86" i="27"/>
  <c r="AI86" i="27" s="1"/>
  <c r="AH85" i="27"/>
  <c r="AI85" i="27" s="1"/>
  <c r="AH84" i="27"/>
  <c r="AI84" i="27" s="1"/>
  <c r="AH83" i="27"/>
  <c r="AI83" i="27" s="1"/>
  <c r="C82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AI79" i="27"/>
  <c r="AH79" i="27"/>
  <c r="AI78" i="27"/>
  <c r="AH78" i="27"/>
  <c r="AI77" i="27"/>
  <c r="AH77" i="27"/>
  <c r="AI76" i="27"/>
  <c r="AH76" i="27"/>
  <c r="AI75" i="27"/>
  <c r="AH75" i="27"/>
  <c r="AI74" i="27"/>
  <c r="AH74" i="27"/>
  <c r="AI73" i="27"/>
  <c r="AH73" i="27"/>
  <c r="AI72" i="27"/>
  <c r="AH72" i="27"/>
  <c r="AG71" i="27"/>
  <c r="AI70" i="27"/>
  <c r="AH70" i="27"/>
  <c r="AF69" i="27"/>
  <c r="AE69" i="27"/>
  <c r="AD69" i="27"/>
  <c r="AC69" i="27"/>
  <c r="AB69" i="27"/>
  <c r="AA69" i="27"/>
  <c r="Z69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AF68" i="27"/>
  <c r="AE68" i="27"/>
  <c r="AD68" i="27"/>
  <c r="AC68" i="27"/>
  <c r="AB68" i="27"/>
  <c r="AA68" i="27"/>
  <c r="Z68" i="27"/>
  <c r="Y68" i="27"/>
  <c r="X68" i="27"/>
  <c r="W68" i="27"/>
  <c r="V68" i="27"/>
  <c r="U68" i="27"/>
  <c r="T68" i="27"/>
  <c r="S68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E68" i="27"/>
  <c r="D68" i="27"/>
  <c r="C68" i="27"/>
  <c r="AF67" i="27"/>
  <c r="AE67" i="27"/>
  <c r="AD67" i="27"/>
  <c r="AC67" i="27"/>
  <c r="AB67" i="27"/>
  <c r="AA67" i="27"/>
  <c r="Z67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AF66" i="27"/>
  <c r="AE66" i="27"/>
  <c r="AD66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K71" i="27" s="1"/>
  <c r="J66" i="27"/>
  <c r="I66" i="27"/>
  <c r="H66" i="27"/>
  <c r="H71" i="27" s="1"/>
  <c r="G66" i="27"/>
  <c r="F66" i="27"/>
  <c r="F71" i="27" s="1"/>
  <c r="E66" i="27"/>
  <c r="E71" i="27" s="1"/>
  <c r="D66" i="27"/>
  <c r="D71" i="27" s="1"/>
  <c r="C66" i="27"/>
  <c r="AG65" i="27"/>
  <c r="AI64" i="27"/>
  <c r="AH64" i="27"/>
  <c r="AG63" i="27"/>
  <c r="AF63" i="27"/>
  <c r="AE63" i="27"/>
  <c r="AD63" i="27"/>
  <c r="AC63" i="27"/>
  <c r="AB63" i="27"/>
  <c r="AA63" i="27"/>
  <c r="Z63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AH63" i="27"/>
  <c r="AI62" i="27"/>
  <c r="AH62" i="27"/>
  <c r="AI61" i="27"/>
  <c r="AH61" i="27"/>
  <c r="AI60" i="27"/>
  <c r="AH60" i="27"/>
  <c r="AG59" i="27"/>
  <c r="AF59" i="27"/>
  <c r="AF5" i="27" s="1"/>
  <c r="AE59" i="27"/>
  <c r="AE5" i="27" s="1"/>
  <c r="AD59" i="27"/>
  <c r="AC59" i="27"/>
  <c r="AC5" i="27" s="1"/>
  <c r="AB59" i="27"/>
  <c r="AB5" i="27" s="1"/>
  <c r="AA59" i="27"/>
  <c r="AA5" i="27" s="1"/>
  <c r="Z59" i="27"/>
  <c r="Z5" i="27" s="1"/>
  <c r="Y59" i="27"/>
  <c r="Y5" i="27" s="1"/>
  <c r="X59" i="27"/>
  <c r="X5" i="27" s="1"/>
  <c r="W59" i="27"/>
  <c r="W5" i="27" s="1"/>
  <c r="V59" i="27"/>
  <c r="U59" i="27"/>
  <c r="U5" i="27" s="1"/>
  <c r="T59" i="27"/>
  <c r="T5" i="27" s="1"/>
  <c r="S59" i="27"/>
  <c r="S5" i="27" s="1"/>
  <c r="R59" i="27"/>
  <c r="R5" i="27" s="1"/>
  <c r="Q59" i="27"/>
  <c r="Q5" i="27" s="1"/>
  <c r="P59" i="27"/>
  <c r="O59" i="27"/>
  <c r="N59" i="27"/>
  <c r="N5" i="27" s="1"/>
  <c r="M59" i="27"/>
  <c r="M5" i="27" s="1"/>
  <c r="L59" i="27"/>
  <c r="L5" i="27" s="1"/>
  <c r="K59" i="27"/>
  <c r="K5" i="27" s="1"/>
  <c r="J59" i="27"/>
  <c r="I59" i="27"/>
  <c r="I5" i="27" s="1"/>
  <c r="H59" i="27"/>
  <c r="H5" i="27" s="1"/>
  <c r="G59" i="27"/>
  <c r="G5" i="27" s="1"/>
  <c r="F59" i="27"/>
  <c r="F5" i="27" s="1"/>
  <c r="E59" i="27"/>
  <c r="E5" i="27" s="1"/>
  <c r="D59" i="27"/>
  <c r="D5" i="27" s="1"/>
  <c r="C59" i="27"/>
  <c r="C5" i="27" s="1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G47" i="27"/>
  <c r="AG4" i="27" s="1"/>
  <c r="AF47" i="27"/>
  <c r="AE47" i="27"/>
  <c r="AD47" i="27"/>
  <c r="AC47" i="27"/>
  <c r="AB47" i="27"/>
  <c r="AA47" i="27"/>
  <c r="Z47" i="27"/>
  <c r="Y47" i="27"/>
  <c r="X47" i="27"/>
  <c r="W47" i="27"/>
  <c r="V47" i="27"/>
  <c r="U47" i="27"/>
  <c r="T47" i="27"/>
  <c r="S47" i="27"/>
  <c r="R47" i="27"/>
  <c r="Q47" i="27"/>
  <c r="P47" i="27"/>
  <c r="O47" i="27"/>
  <c r="N47" i="27"/>
  <c r="M47" i="27"/>
  <c r="L47" i="27"/>
  <c r="K47" i="27"/>
  <c r="J47" i="27"/>
  <c r="I47" i="27"/>
  <c r="H47" i="27"/>
  <c r="G47" i="27"/>
  <c r="F47" i="27"/>
  <c r="E47" i="27"/>
  <c r="D47" i="27"/>
  <c r="C47" i="27"/>
  <c r="AI46" i="27"/>
  <c r="AH46" i="27"/>
  <c r="AI45" i="27"/>
  <c r="AH45" i="27"/>
  <c r="AI44" i="27"/>
  <c r="AH44" i="27"/>
  <c r="AG43" i="27"/>
  <c r="AG3" i="27" s="1"/>
  <c r="AG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G30" i="27"/>
  <c r="AF30" i="27"/>
  <c r="AE30" i="27"/>
  <c r="AD30" i="27"/>
  <c r="AC30" i="27"/>
  <c r="AB30" i="27"/>
  <c r="AA30" i="27"/>
  <c r="Z30" i="27"/>
  <c r="Y30" i="27"/>
  <c r="X30" i="27"/>
  <c r="W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D5" i="27"/>
  <c r="V5" i="27"/>
  <c r="P5" i="27"/>
  <c r="O5" i="27"/>
  <c r="J5" i="27"/>
  <c r="B5" i="27"/>
  <c r="K4" i="27"/>
  <c r="C4" i="27"/>
  <c r="D4" i="27" s="1"/>
  <c r="AG2" i="27"/>
  <c r="V193" i="31" l="1"/>
  <c r="D7" i="31"/>
  <c r="AI71" i="31"/>
  <c r="AH71" i="31"/>
  <c r="G89" i="31"/>
  <c r="F178" i="31"/>
  <c r="E214" i="31"/>
  <c r="E179" i="31"/>
  <c r="E42" i="31" s="1"/>
  <c r="E43" i="31" s="1"/>
  <c r="E65" i="31" s="1"/>
  <c r="G173" i="31"/>
  <c r="E82" i="31"/>
  <c r="F94" i="31"/>
  <c r="C43" i="31"/>
  <c r="C65" i="31" s="1"/>
  <c r="B7" i="30"/>
  <c r="F89" i="30"/>
  <c r="V193" i="30"/>
  <c r="D7" i="30"/>
  <c r="H94" i="30"/>
  <c r="F178" i="30"/>
  <c r="E214" i="30"/>
  <c r="AH71" i="30"/>
  <c r="AI71" i="30"/>
  <c r="C43" i="30"/>
  <c r="E179" i="30"/>
  <c r="E42" i="30" s="1"/>
  <c r="E43" i="30" s="1"/>
  <c r="E65" i="30" s="1"/>
  <c r="F173" i="30"/>
  <c r="E110" i="30"/>
  <c r="E171" i="30" s="1"/>
  <c r="D82" i="30"/>
  <c r="D214" i="28"/>
  <c r="E178" i="28"/>
  <c r="AI71" i="28"/>
  <c r="AH71" i="28"/>
  <c r="T193" i="28"/>
  <c r="B7" i="28"/>
  <c r="E82" i="28"/>
  <c r="F94" i="28"/>
  <c r="D171" i="28"/>
  <c r="E89" i="28"/>
  <c r="D179" i="28"/>
  <c r="D42" i="28" s="1"/>
  <c r="E173" i="28"/>
  <c r="C43" i="28"/>
  <c r="AF71" i="27"/>
  <c r="AE71" i="27"/>
  <c r="AD71" i="27"/>
  <c r="AC71" i="27"/>
  <c r="AB71" i="27"/>
  <c r="AA71" i="27"/>
  <c r="Y71" i="27"/>
  <c r="X71" i="27"/>
  <c r="Z71" i="27"/>
  <c r="W71" i="27"/>
  <c r="V71" i="27"/>
  <c r="U71" i="27"/>
  <c r="T71" i="27"/>
  <c r="S71" i="27"/>
  <c r="R71" i="27"/>
  <c r="P71" i="27"/>
  <c r="Q71" i="27"/>
  <c r="O71" i="27"/>
  <c r="N71" i="27"/>
  <c r="M71" i="27"/>
  <c r="AI67" i="27"/>
  <c r="AH69" i="27"/>
  <c r="L71" i="27"/>
  <c r="J71" i="27"/>
  <c r="I71" i="27"/>
  <c r="G71" i="27"/>
  <c r="AI47" i="27"/>
  <c r="AH47" i="27"/>
  <c r="AI68" i="27"/>
  <c r="AI66" i="27"/>
  <c r="AI80" i="27"/>
  <c r="AI30" i="27"/>
  <c r="C71" i="27"/>
  <c r="AH59" i="27"/>
  <c r="AH30" i="27"/>
  <c r="E94" i="27"/>
  <c r="D82" i="27"/>
  <c r="AG6" i="27"/>
  <c r="AI59" i="27"/>
  <c r="AI63" i="27"/>
  <c r="AI69" i="27"/>
  <c r="C171" i="27"/>
  <c r="AH66" i="27"/>
  <c r="AH80" i="27"/>
  <c r="D89" i="27"/>
  <c r="D190" i="27"/>
  <c r="S190" i="27"/>
  <c r="AH67" i="27"/>
  <c r="AH68" i="27"/>
  <c r="C179" i="27"/>
  <c r="C42" i="27" s="1"/>
  <c r="D173" i="27"/>
  <c r="E214" i="27"/>
  <c r="F178" i="27"/>
  <c r="C214" i="27"/>
  <c r="F214" i="31" l="1"/>
  <c r="G178" i="31"/>
  <c r="U193" i="31"/>
  <c r="C7" i="31"/>
  <c r="H89" i="31"/>
  <c r="F82" i="31"/>
  <c r="G94" i="31"/>
  <c r="F171" i="31"/>
  <c r="F179" i="31"/>
  <c r="F42" i="31" s="1"/>
  <c r="G179" i="31"/>
  <c r="G42" i="31" s="1"/>
  <c r="G43" i="31" s="1"/>
  <c r="G65" i="31" s="1"/>
  <c r="H173" i="31"/>
  <c r="W193" i="31"/>
  <c r="E7" i="31"/>
  <c r="T193" i="31"/>
  <c r="B7" i="31"/>
  <c r="G173" i="30"/>
  <c r="F179" i="30"/>
  <c r="F42" i="30" s="1"/>
  <c r="F43" i="30" s="1"/>
  <c r="F65" i="30" s="1"/>
  <c r="W193" i="30"/>
  <c r="E7" i="30"/>
  <c r="I94" i="30"/>
  <c r="C65" i="30"/>
  <c r="G89" i="30"/>
  <c r="F110" i="30"/>
  <c r="E82" i="30"/>
  <c r="F214" i="30"/>
  <c r="G178" i="30"/>
  <c r="C65" i="28"/>
  <c r="D43" i="28"/>
  <c r="D65" i="28" s="1"/>
  <c r="E171" i="28"/>
  <c r="F89" i="28"/>
  <c r="E179" i="28"/>
  <c r="E42" i="28" s="1"/>
  <c r="E43" i="28" s="1"/>
  <c r="E65" i="28" s="1"/>
  <c r="F173" i="28"/>
  <c r="F82" i="28"/>
  <c r="G94" i="28"/>
  <c r="F178" i="28"/>
  <c r="E214" i="28"/>
  <c r="C43" i="27"/>
  <c r="AI71" i="27"/>
  <c r="AH71" i="27"/>
  <c r="F94" i="27"/>
  <c r="E82" i="27"/>
  <c r="D171" i="27"/>
  <c r="E89" i="27"/>
  <c r="T193" i="27"/>
  <c r="B7" i="27"/>
  <c r="F214" i="27"/>
  <c r="G178" i="27"/>
  <c r="D179" i="27"/>
  <c r="D42" i="27" s="1"/>
  <c r="D43" i="27" s="1"/>
  <c r="D65" i="27" s="1"/>
  <c r="E173" i="27"/>
  <c r="G82" i="31" l="1"/>
  <c r="H94" i="31"/>
  <c r="I173" i="31"/>
  <c r="Y193" i="31"/>
  <c r="G7" i="31"/>
  <c r="I89" i="31"/>
  <c r="G171" i="31"/>
  <c r="F43" i="31"/>
  <c r="G214" i="31"/>
  <c r="H178" i="31"/>
  <c r="G110" i="30"/>
  <c r="F82" i="30"/>
  <c r="J94" i="30"/>
  <c r="G171" i="30"/>
  <c r="H89" i="30"/>
  <c r="F171" i="30"/>
  <c r="G214" i="30"/>
  <c r="H178" i="30"/>
  <c r="X193" i="30"/>
  <c r="F7" i="30"/>
  <c r="U193" i="30"/>
  <c r="C7" i="30"/>
  <c r="G179" i="30"/>
  <c r="G42" i="30" s="1"/>
  <c r="H173" i="30"/>
  <c r="F171" i="28"/>
  <c r="G89" i="28"/>
  <c r="F214" i="28"/>
  <c r="G178" i="28"/>
  <c r="V193" i="28"/>
  <c r="D7" i="28"/>
  <c r="G82" i="28"/>
  <c r="H94" i="28"/>
  <c r="U193" i="28"/>
  <c r="C7" i="28"/>
  <c r="F179" i="28"/>
  <c r="F42" i="28" s="1"/>
  <c r="G173" i="28"/>
  <c r="W193" i="28"/>
  <c r="E7" i="28"/>
  <c r="G214" i="27"/>
  <c r="H178" i="27"/>
  <c r="G94" i="27"/>
  <c r="F82" i="27"/>
  <c r="E179" i="27"/>
  <c r="E42" i="27" s="1"/>
  <c r="F173" i="27"/>
  <c r="E171" i="27"/>
  <c r="F89" i="27"/>
  <c r="C65" i="27"/>
  <c r="V193" i="27"/>
  <c r="D7" i="27"/>
  <c r="H214" i="31" l="1"/>
  <c r="I178" i="31"/>
  <c r="I179" i="31"/>
  <c r="I42" i="31" s="1"/>
  <c r="I43" i="31" s="1"/>
  <c r="I65" i="31" s="1"/>
  <c r="J173" i="31"/>
  <c r="F65" i="31"/>
  <c r="H179" i="31"/>
  <c r="H42" i="31" s="1"/>
  <c r="H82" i="31"/>
  <c r="I94" i="31"/>
  <c r="I171" i="31"/>
  <c r="J89" i="31"/>
  <c r="H171" i="31"/>
  <c r="I89" i="30"/>
  <c r="I173" i="30"/>
  <c r="H179" i="30"/>
  <c r="H42" i="30" s="1"/>
  <c r="H43" i="30" s="1"/>
  <c r="H65" i="30" s="1"/>
  <c r="K94" i="30"/>
  <c r="G43" i="30"/>
  <c r="H214" i="30"/>
  <c r="I178" i="30"/>
  <c r="H110" i="30"/>
  <c r="H171" i="30" s="1"/>
  <c r="G82" i="30"/>
  <c r="I94" i="28"/>
  <c r="H82" i="28"/>
  <c r="F43" i="28"/>
  <c r="H173" i="28"/>
  <c r="G179" i="28"/>
  <c r="G42" i="28" s="1"/>
  <c r="G43" i="28" s="1"/>
  <c r="G65" i="28" s="1"/>
  <c r="G214" i="28"/>
  <c r="H178" i="28"/>
  <c r="G171" i="28"/>
  <c r="H89" i="28"/>
  <c r="E43" i="27"/>
  <c r="U193" i="27"/>
  <c r="C7" i="27"/>
  <c r="G82" i="27"/>
  <c r="H94" i="27"/>
  <c r="F171" i="27"/>
  <c r="G89" i="27"/>
  <c r="H214" i="27"/>
  <c r="I178" i="27"/>
  <c r="G173" i="27"/>
  <c r="F179" i="27"/>
  <c r="F42" i="27" s="1"/>
  <c r="F43" i="27" s="1"/>
  <c r="F65" i="27" s="1"/>
  <c r="H43" i="31" l="1"/>
  <c r="X193" i="31"/>
  <c r="F7" i="31"/>
  <c r="K89" i="31"/>
  <c r="J179" i="31"/>
  <c r="J42" i="31" s="1"/>
  <c r="J43" i="31" s="1"/>
  <c r="J65" i="31" s="1"/>
  <c r="K173" i="31"/>
  <c r="AA193" i="31"/>
  <c r="I7" i="31"/>
  <c r="I82" i="31"/>
  <c r="J94" i="31"/>
  <c r="I214" i="31"/>
  <c r="J178" i="31"/>
  <c r="G65" i="30"/>
  <c r="L94" i="30"/>
  <c r="Z193" i="30"/>
  <c r="H7" i="30"/>
  <c r="J178" i="30"/>
  <c r="I214" i="30"/>
  <c r="I179" i="30"/>
  <c r="I42" i="30" s="1"/>
  <c r="I43" i="30" s="1"/>
  <c r="I65" i="30" s="1"/>
  <c r="J173" i="30"/>
  <c r="J89" i="30"/>
  <c r="I110" i="30"/>
  <c r="H82" i="30"/>
  <c r="Y193" i="28"/>
  <c r="G7" i="28"/>
  <c r="H179" i="28"/>
  <c r="H42" i="28" s="1"/>
  <c r="H43" i="28" s="1"/>
  <c r="H65" i="28" s="1"/>
  <c r="I173" i="28"/>
  <c r="H171" i="28"/>
  <c r="I89" i="28"/>
  <c r="F65" i="28"/>
  <c r="I178" i="28"/>
  <c r="H214" i="28"/>
  <c r="J94" i="28"/>
  <c r="I82" i="28"/>
  <c r="I94" i="27"/>
  <c r="H82" i="27"/>
  <c r="H173" i="27"/>
  <c r="G179" i="27"/>
  <c r="G42" i="27" s="1"/>
  <c r="G43" i="27" s="1"/>
  <c r="G65" i="27" s="1"/>
  <c r="X193" i="27"/>
  <c r="F7" i="27"/>
  <c r="G171" i="27"/>
  <c r="H89" i="27"/>
  <c r="J178" i="27"/>
  <c r="I214" i="27"/>
  <c r="E65" i="27"/>
  <c r="L173" i="31" l="1"/>
  <c r="AB193" i="31"/>
  <c r="J7" i="31"/>
  <c r="J214" i="31"/>
  <c r="K178" i="31"/>
  <c r="K171" i="31"/>
  <c r="L89" i="31"/>
  <c r="K94" i="31"/>
  <c r="J82" i="31"/>
  <c r="J171" i="31"/>
  <c r="H65" i="31"/>
  <c r="J110" i="30"/>
  <c r="I82" i="30"/>
  <c r="J171" i="30"/>
  <c r="K89" i="30"/>
  <c r="M94" i="30"/>
  <c r="J179" i="30"/>
  <c r="J42" i="30" s="1"/>
  <c r="J43" i="30" s="1"/>
  <c r="K173" i="30"/>
  <c r="AA193" i="30"/>
  <c r="I7" i="30"/>
  <c r="I171" i="30"/>
  <c r="Y193" i="30"/>
  <c r="G7" i="30"/>
  <c r="K178" i="30"/>
  <c r="J214" i="30"/>
  <c r="I171" i="28"/>
  <c r="J89" i="28"/>
  <c r="K94" i="28"/>
  <c r="J82" i="28"/>
  <c r="J178" i="28"/>
  <c r="I214" i="28"/>
  <c r="J173" i="28"/>
  <c r="I179" i="28"/>
  <c r="I42" i="28" s="1"/>
  <c r="I43" i="28" s="1"/>
  <c r="I65" i="28" s="1"/>
  <c r="Z193" i="28"/>
  <c r="H7" i="28"/>
  <c r="X193" i="28"/>
  <c r="F7" i="28"/>
  <c r="H179" i="27"/>
  <c r="H42" i="27" s="1"/>
  <c r="I173" i="27"/>
  <c r="J214" i="27"/>
  <c r="K178" i="27"/>
  <c r="Y193" i="27"/>
  <c r="G7" i="27"/>
  <c r="H171" i="27"/>
  <c r="I89" i="27"/>
  <c r="W193" i="27"/>
  <c r="E7" i="27"/>
  <c r="J94" i="27"/>
  <c r="I82" i="27"/>
  <c r="K214" i="31" l="1"/>
  <c r="L178" i="31"/>
  <c r="K82" i="31"/>
  <c r="L94" i="31"/>
  <c r="K179" i="31"/>
  <c r="K42" i="31" s="1"/>
  <c r="Z193" i="31"/>
  <c r="H7" i="31"/>
  <c r="M173" i="31"/>
  <c r="L179" i="31"/>
  <c r="L42" i="31" s="1"/>
  <c r="L43" i="31" s="1"/>
  <c r="L65" i="31" s="1"/>
  <c r="L171" i="31"/>
  <c r="M89" i="31"/>
  <c r="J65" i="30"/>
  <c r="L89" i="30"/>
  <c r="K179" i="30"/>
  <c r="K42" i="30" s="1"/>
  <c r="K43" i="30" s="1"/>
  <c r="K65" i="30" s="1"/>
  <c r="L173" i="30"/>
  <c r="K214" i="30"/>
  <c r="L178" i="30"/>
  <c r="N94" i="30"/>
  <c r="K110" i="30"/>
  <c r="J82" i="30"/>
  <c r="K173" i="28"/>
  <c r="J179" i="28"/>
  <c r="J42" i="28" s="1"/>
  <c r="J43" i="28" s="1"/>
  <c r="J65" i="28" s="1"/>
  <c r="AA193" i="28"/>
  <c r="I7" i="28"/>
  <c r="K178" i="28"/>
  <c r="J214" i="28"/>
  <c r="L94" i="28"/>
  <c r="K82" i="28"/>
  <c r="J171" i="28"/>
  <c r="K89" i="28"/>
  <c r="J173" i="27"/>
  <c r="I179" i="27"/>
  <c r="I42" i="27" s="1"/>
  <c r="I43" i="27" s="1"/>
  <c r="I65" i="27" s="1"/>
  <c r="L178" i="27"/>
  <c r="K214" i="27"/>
  <c r="I171" i="27"/>
  <c r="J89" i="27"/>
  <c r="K94" i="27"/>
  <c r="J82" i="27"/>
  <c r="H43" i="27"/>
  <c r="N89" i="31" l="1"/>
  <c r="AD193" i="31"/>
  <c r="L7" i="31"/>
  <c r="K43" i="31"/>
  <c r="M94" i="31"/>
  <c r="L214" i="31"/>
  <c r="M178" i="31"/>
  <c r="M179" i="31"/>
  <c r="M42" i="31" s="1"/>
  <c r="M43" i="31" s="1"/>
  <c r="M65" i="31" s="1"/>
  <c r="N173" i="31"/>
  <c r="L179" i="30"/>
  <c r="L42" i="30" s="1"/>
  <c r="L43" i="30" s="1"/>
  <c r="L65" i="30" s="1"/>
  <c r="M173" i="30"/>
  <c r="L110" i="30"/>
  <c r="K82" i="30"/>
  <c r="K171" i="30"/>
  <c r="AC193" i="30"/>
  <c r="K7" i="30"/>
  <c r="L171" i="30"/>
  <c r="M89" i="30"/>
  <c r="O94" i="30"/>
  <c r="L214" i="30"/>
  <c r="M178" i="30"/>
  <c r="AB193" i="30"/>
  <c r="J7" i="30"/>
  <c r="K214" i="28"/>
  <c r="L178" i="28"/>
  <c r="AB193" i="28"/>
  <c r="J7" i="28"/>
  <c r="K179" i="28"/>
  <c r="K42" i="28" s="1"/>
  <c r="K43" i="28" s="1"/>
  <c r="K65" i="28" s="1"/>
  <c r="L173" i="28"/>
  <c r="K171" i="28"/>
  <c r="L89" i="28"/>
  <c r="M94" i="28"/>
  <c r="L82" i="28"/>
  <c r="J171" i="27"/>
  <c r="K89" i="27"/>
  <c r="K82" i="27"/>
  <c r="L94" i="27"/>
  <c r="L214" i="27"/>
  <c r="M178" i="27"/>
  <c r="H65" i="27"/>
  <c r="AA193" i="27"/>
  <c r="I7" i="27"/>
  <c r="J179" i="27"/>
  <c r="J42" i="27" s="1"/>
  <c r="J43" i="27" s="1"/>
  <c r="J65" i="27" s="1"/>
  <c r="K173" i="27"/>
  <c r="AE193" i="31" l="1"/>
  <c r="M7" i="31"/>
  <c r="M82" i="31"/>
  <c r="N94" i="31"/>
  <c r="K65" i="31"/>
  <c r="M214" i="31"/>
  <c r="N178" i="31"/>
  <c r="O89" i="31"/>
  <c r="O173" i="31"/>
  <c r="N179" i="31"/>
  <c r="N42" i="31" s="1"/>
  <c r="N43" i="31" s="1"/>
  <c r="N65" i="31" s="1"/>
  <c r="M171" i="31"/>
  <c r="M214" i="30"/>
  <c r="N178" i="30"/>
  <c r="M110" i="30"/>
  <c r="L82" i="30"/>
  <c r="P94" i="30"/>
  <c r="N173" i="30"/>
  <c r="M179" i="30"/>
  <c r="M42" i="30" s="1"/>
  <c r="M43" i="30" s="1"/>
  <c r="N89" i="30"/>
  <c r="AD193" i="30"/>
  <c r="L7" i="30"/>
  <c r="L179" i="28"/>
  <c r="L42" i="28" s="1"/>
  <c r="L43" i="28" s="1"/>
  <c r="L65" i="28" s="1"/>
  <c r="M173" i="28"/>
  <c r="M178" i="28"/>
  <c r="L214" i="28"/>
  <c r="AC193" i="28"/>
  <c r="K7" i="28"/>
  <c r="M82" i="28"/>
  <c r="N94" i="28"/>
  <c r="L171" i="28"/>
  <c r="M89" i="28"/>
  <c r="Z193" i="27"/>
  <c r="H7" i="27"/>
  <c r="N178" i="27"/>
  <c r="M214" i="27"/>
  <c r="K179" i="27"/>
  <c r="K42" i="27" s="1"/>
  <c r="K43" i="27" s="1"/>
  <c r="K65" i="27" s="1"/>
  <c r="L173" i="27"/>
  <c r="AB193" i="27"/>
  <c r="J7" i="27"/>
  <c r="M94" i="27"/>
  <c r="L82" i="27"/>
  <c r="K171" i="27"/>
  <c r="L89" i="27"/>
  <c r="N82" i="31" l="1"/>
  <c r="O94" i="31"/>
  <c r="AF193" i="31"/>
  <c r="N7" i="31"/>
  <c r="N171" i="31"/>
  <c r="AC193" i="31"/>
  <c r="K7" i="31"/>
  <c r="C188" i="31"/>
  <c r="B188" i="31"/>
  <c r="P173" i="31"/>
  <c r="O179" i="31"/>
  <c r="O42" i="31" s="1"/>
  <c r="O43" i="31" s="1"/>
  <c r="O65" i="31" s="1"/>
  <c r="O171" i="31"/>
  <c r="P89" i="31"/>
  <c r="N214" i="31"/>
  <c r="O178" i="31"/>
  <c r="M65" i="30"/>
  <c r="O173" i="30"/>
  <c r="N179" i="30"/>
  <c r="N42" i="30" s="1"/>
  <c r="N43" i="30" s="1"/>
  <c r="N65" i="30" s="1"/>
  <c r="N110" i="30"/>
  <c r="M82" i="30"/>
  <c r="N171" i="30"/>
  <c r="O89" i="30"/>
  <c r="N214" i="30"/>
  <c r="O178" i="30"/>
  <c r="Q94" i="30"/>
  <c r="M171" i="30"/>
  <c r="M171" i="28"/>
  <c r="N89" i="28"/>
  <c r="N178" i="28"/>
  <c r="M214" i="28"/>
  <c r="N82" i="28"/>
  <c r="O94" i="28"/>
  <c r="M179" i="28"/>
  <c r="M42" i="28" s="1"/>
  <c r="M43" i="28" s="1"/>
  <c r="M65" i="28" s="1"/>
  <c r="N173" i="28"/>
  <c r="AD193" i="28"/>
  <c r="L7" i="28"/>
  <c r="N214" i="27"/>
  <c r="O178" i="27"/>
  <c r="N94" i="27"/>
  <c r="M82" i="27"/>
  <c r="L179" i="27"/>
  <c r="L42" i="27" s="1"/>
  <c r="L43" i="27" s="1"/>
  <c r="L65" i="27" s="1"/>
  <c r="M173" i="27"/>
  <c r="L171" i="27"/>
  <c r="M89" i="27"/>
  <c r="AC193" i="27"/>
  <c r="K7" i="27"/>
  <c r="Q173" i="31" l="1"/>
  <c r="AG193" i="31"/>
  <c r="O7" i="31"/>
  <c r="O82" i="31"/>
  <c r="P94" i="31"/>
  <c r="Q89" i="31"/>
  <c r="O214" i="31"/>
  <c r="P178" i="31"/>
  <c r="K6" i="31"/>
  <c r="P89" i="30"/>
  <c r="O110" i="30"/>
  <c r="N82" i="30"/>
  <c r="R94" i="30"/>
  <c r="O214" i="30"/>
  <c r="P178" i="30"/>
  <c r="AF193" i="30"/>
  <c r="N7" i="30"/>
  <c r="O179" i="30"/>
  <c r="O42" i="30" s="1"/>
  <c r="O65" i="30" s="1"/>
  <c r="P173" i="30"/>
  <c r="AE193" i="30"/>
  <c r="M7" i="30"/>
  <c r="C188" i="30"/>
  <c r="B188" i="30"/>
  <c r="N179" i="28"/>
  <c r="N42" i="28" s="1"/>
  <c r="N43" i="28" s="1"/>
  <c r="N65" i="28" s="1"/>
  <c r="O173" i="28"/>
  <c r="AE193" i="28"/>
  <c r="M7" i="28"/>
  <c r="B188" i="28"/>
  <c r="C188" i="28"/>
  <c r="O82" i="28"/>
  <c r="P94" i="28"/>
  <c r="N214" i="28"/>
  <c r="O178" i="28"/>
  <c r="N171" i="28"/>
  <c r="O89" i="28"/>
  <c r="M179" i="27"/>
  <c r="M42" i="27" s="1"/>
  <c r="M43" i="27" s="1"/>
  <c r="M65" i="27" s="1"/>
  <c r="C188" i="27" s="1"/>
  <c r="N173" i="27"/>
  <c r="M171" i="27"/>
  <c r="N89" i="27"/>
  <c r="AD193" i="27"/>
  <c r="L7" i="27"/>
  <c r="O94" i="27"/>
  <c r="N82" i="27"/>
  <c r="O214" i="27"/>
  <c r="P178" i="27"/>
  <c r="P82" i="31" l="1"/>
  <c r="Q94" i="31"/>
  <c r="P214" i="31"/>
  <c r="Q178" i="31"/>
  <c r="Q171" i="31"/>
  <c r="R89" i="31"/>
  <c r="Q179" i="31"/>
  <c r="Q42" i="31" s="1"/>
  <c r="Q43" i="31" s="1"/>
  <c r="Q65" i="31" s="1"/>
  <c r="R173" i="31"/>
  <c r="P171" i="31"/>
  <c r="P179" i="31"/>
  <c r="P42" i="31" s="1"/>
  <c r="P43" i="31" s="1"/>
  <c r="P65" i="31" s="1"/>
  <c r="P214" i="30"/>
  <c r="Q178" i="30"/>
  <c r="Q173" i="30"/>
  <c r="P179" i="30"/>
  <c r="P42" i="30" s="1"/>
  <c r="P43" i="30" s="1"/>
  <c r="P65" i="30" s="1"/>
  <c r="AG193" i="30"/>
  <c r="O7" i="30"/>
  <c r="P110" i="30"/>
  <c r="O82" i="30"/>
  <c r="Q89" i="30"/>
  <c r="S94" i="30"/>
  <c r="K6" i="30"/>
  <c r="O171" i="30"/>
  <c r="B188" i="27"/>
  <c r="O171" i="28"/>
  <c r="P89" i="28"/>
  <c r="Q94" i="28"/>
  <c r="P82" i="28"/>
  <c r="K6" i="28"/>
  <c r="O214" i="28"/>
  <c r="P178" i="28"/>
  <c r="P173" i="28"/>
  <c r="O179" i="28"/>
  <c r="O42" i="28" s="1"/>
  <c r="O43" i="28" s="1"/>
  <c r="O65" i="28" s="1"/>
  <c r="AF193" i="28"/>
  <c r="N7" i="28"/>
  <c r="K6" i="27"/>
  <c r="P214" i="27"/>
  <c r="Q178" i="27"/>
  <c r="O173" i="27"/>
  <c r="N179" i="27"/>
  <c r="N42" i="27" s="1"/>
  <c r="N43" i="27" s="1"/>
  <c r="N65" i="27" s="1"/>
  <c r="N171" i="27"/>
  <c r="O89" i="27"/>
  <c r="O82" i="27"/>
  <c r="P94" i="27"/>
  <c r="AE193" i="27"/>
  <c r="M7" i="27"/>
  <c r="S173" i="31" l="1"/>
  <c r="R171" i="31"/>
  <c r="S89" i="31"/>
  <c r="Q214" i="31"/>
  <c r="R178" i="31"/>
  <c r="AH193" i="31"/>
  <c r="P7" i="31"/>
  <c r="Q82" i="31"/>
  <c r="R94" i="31"/>
  <c r="AI193" i="31"/>
  <c r="Q7" i="31"/>
  <c r="Q110" i="30"/>
  <c r="P82" i="30"/>
  <c r="Q179" i="30"/>
  <c r="Q42" i="30" s="1"/>
  <c r="Q43" i="30" s="1"/>
  <c r="Q65" i="30" s="1"/>
  <c r="R173" i="30"/>
  <c r="Q171" i="30"/>
  <c r="R89" i="30"/>
  <c r="Q214" i="30"/>
  <c r="R178" i="30"/>
  <c r="AH193" i="30"/>
  <c r="P7" i="30"/>
  <c r="T94" i="30"/>
  <c r="P171" i="30"/>
  <c r="P214" i="28"/>
  <c r="Q178" i="28"/>
  <c r="R94" i="28"/>
  <c r="Q82" i="28"/>
  <c r="P171" i="28"/>
  <c r="Q89" i="28"/>
  <c r="P179" i="28"/>
  <c r="P42" i="28" s="1"/>
  <c r="P43" i="28" s="1"/>
  <c r="P65" i="28" s="1"/>
  <c r="Q173" i="28"/>
  <c r="AG193" i="28"/>
  <c r="O7" i="28"/>
  <c r="Q94" i="27"/>
  <c r="P82" i="27"/>
  <c r="O171" i="27"/>
  <c r="P89" i="27"/>
  <c r="AF193" i="27"/>
  <c r="N7" i="27"/>
  <c r="P173" i="27"/>
  <c r="O179" i="27"/>
  <c r="O42" i="27" s="1"/>
  <c r="O43" i="27" s="1"/>
  <c r="O65" i="27" s="1"/>
  <c r="R178" i="27"/>
  <c r="Q214" i="27"/>
  <c r="T89" i="31" l="1"/>
  <c r="R214" i="31"/>
  <c r="S178" i="31"/>
  <c r="S94" i="31"/>
  <c r="R82" i="31"/>
  <c r="T173" i="31"/>
  <c r="S179" i="31"/>
  <c r="S42" i="31" s="1"/>
  <c r="S43" i="31" s="1"/>
  <c r="S65" i="31" s="1"/>
  <c r="R179" i="31"/>
  <c r="R42" i="31" s="1"/>
  <c r="R43" i="31" s="1"/>
  <c r="R65" i="31" s="1"/>
  <c r="S178" i="30"/>
  <c r="R214" i="30"/>
  <c r="U94" i="30"/>
  <c r="AI193" i="30"/>
  <c r="Q7" i="30"/>
  <c r="R171" i="30"/>
  <c r="S89" i="30"/>
  <c r="R179" i="30"/>
  <c r="R42" i="30" s="1"/>
  <c r="R43" i="30" s="1"/>
  <c r="R65" i="30" s="1"/>
  <c r="S173" i="30"/>
  <c r="R110" i="30"/>
  <c r="Q82" i="30"/>
  <c r="R173" i="28"/>
  <c r="Q179" i="28"/>
  <c r="Q42" i="28" s="1"/>
  <c r="Q43" i="28" s="1"/>
  <c r="Q65" i="28" s="1"/>
  <c r="AH193" i="28"/>
  <c r="P7" i="28"/>
  <c r="Q171" i="28"/>
  <c r="R89" i="28"/>
  <c r="S94" i="28"/>
  <c r="R82" i="28"/>
  <c r="R178" i="28"/>
  <c r="Q214" i="28"/>
  <c r="AG193" i="27"/>
  <c r="O7" i="27"/>
  <c r="P171" i="27"/>
  <c r="Q89" i="27"/>
  <c r="P179" i="27"/>
  <c r="P42" i="27" s="1"/>
  <c r="P43" i="27" s="1"/>
  <c r="P65" i="27" s="1"/>
  <c r="Q173" i="27"/>
  <c r="R214" i="27"/>
  <c r="S178" i="27"/>
  <c r="R94" i="27"/>
  <c r="Q82" i="27"/>
  <c r="S214" i="31" l="1"/>
  <c r="T178" i="31"/>
  <c r="AK193" i="31"/>
  <c r="S7" i="31"/>
  <c r="U173" i="31"/>
  <c r="T179" i="31"/>
  <c r="T42" i="31" s="1"/>
  <c r="T43" i="31" s="1"/>
  <c r="T65" i="31" s="1"/>
  <c r="S82" i="31"/>
  <c r="T94" i="31"/>
  <c r="U89" i="31"/>
  <c r="AJ193" i="31"/>
  <c r="R7" i="31"/>
  <c r="S171" i="31"/>
  <c r="T89" i="30"/>
  <c r="S110" i="30"/>
  <c r="R82" i="30"/>
  <c r="V94" i="30"/>
  <c r="S179" i="30"/>
  <c r="S42" i="30" s="1"/>
  <c r="S43" i="30" s="1"/>
  <c r="S65" i="30" s="1"/>
  <c r="T173" i="30"/>
  <c r="AJ193" i="30"/>
  <c r="R7" i="30"/>
  <c r="T178" i="30"/>
  <c r="S214" i="30"/>
  <c r="T94" i="28"/>
  <c r="S82" i="28"/>
  <c r="R171" i="28"/>
  <c r="S89" i="28"/>
  <c r="AI193" i="28"/>
  <c r="Q7" i="28"/>
  <c r="R214" i="28"/>
  <c r="S178" i="28"/>
  <c r="R179" i="28"/>
  <c r="R42" i="28" s="1"/>
  <c r="R43" i="28" s="1"/>
  <c r="R65" i="28" s="1"/>
  <c r="S173" i="28"/>
  <c r="T178" i="27"/>
  <c r="S214" i="27"/>
  <c r="R173" i="27"/>
  <c r="Q179" i="27"/>
  <c r="Q42" i="27" s="1"/>
  <c r="Q43" i="27" s="1"/>
  <c r="Q65" i="27" s="1"/>
  <c r="Q171" i="27"/>
  <c r="R89" i="27"/>
  <c r="AH193" i="27"/>
  <c r="P7" i="27"/>
  <c r="R82" i="27"/>
  <c r="S94" i="27"/>
  <c r="AL193" i="31" l="1"/>
  <c r="T7" i="31"/>
  <c r="V173" i="31"/>
  <c r="U171" i="31"/>
  <c r="V89" i="31"/>
  <c r="T214" i="31"/>
  <c r="U178" i="31"/>
  <c r="T82" i="31"/>
  <c r="U94" i="31"/>
  <c r="T171" i="31"/>
  <c r="T179" i="30"/>
  <c r="T42" i="30" s="1"/>
  <c r="T43" i="30" s="1"/>
  <c r="T65" i="30" s="1"/>
  <c r="U173" i="30"/>
  <c r="U178" i="30"/>
  <c r="T214" i="30"/>
  <c r="AK193" i="30"/>
  <c r="S7" i="30"/>
  <c r="W94" i="30"/>
  <c r="U89" i="30"/>
  <c r="T110" i="30"/>
  <c r="S82" i="30"/>
  <c r="S171" i="30"/>
  <c r="S171" i="28"/>
  <c r="T89" i="28"/>
  <c r="S214" i="28"/>
  <c r="T178" i="28"/>
  <c r="S179" i="28"/>
  <c r="S42" i="28" s="1"/>
  <c r="S43" i="28" s="1"/>
  <c r="S65" i="28" s="1"/>
  <c r="T173" i="28"/>
  <c r="AJ193" i="28"/>
  <c r="R7" i="28"/>
  <c r="U94" i="28"/>
  <c r="T82" i="28"/>
  <c r="R171" i="27"/>
  <c r="S89" i="27"/>
  <c r="R179" i="27"/>
  <c r="R42" i="27" s="1"/>
  <c r="R43" i="27" s="1"/>
  <c r="R65" i="27" s="1"/>
  <c r="S173" i="27"/>
  <c r="S82" i="27"/>
  <c r="T94" i="27"/>
  <c r="AI193" i="27"/>
  <c r="Q7" i="27"/>
  <c r="T214" i="27"/>
  <c r="U178" i="27"/>
  <c r="U214" i="31" l="1"/>
  <c r="V178" i="31"/>
  <c r="W173" i="31"/>
  <c r="V179" i="31"/>
  <c r="V42" i="31" s="1"/>
  <c r="V43" i="31" s="1"/>
  <c r="V65" i="31" s="1"/>
  <c r="U179" i="31"/>
  <c r="U42" i="31" s="1"/>
  <c r="U43" i="31" s="1"/>
  <c r="U65" i="31" s="1"/>
  <c r="U82" i="31"/>
  <c r="V94" i="31"/>
  <c r="V171" i="31"/>
  <c r="W89" i="31"/>
  <c r="X94" i="30"/>
  <c r="U110" i="30"/>
  <c r="T82" i="30"/>
  <c r="U214" i="30"/>
  <c r="V178" i="30"/>
  <c r="U171" i="30"/>
  <c r="V89" i="30"/>
  <c r="U179" i="30"/>
  <c r="U42" i="30" s="1"/>
  <c r="U43" i="30" s="1"/>
  <c r="U65" i="30" s="1"/>
  <c r="V173" i="30"/>
  <c r="T171" i="30"/>
  <c r="AL193" i="30"/>
  <c r="T7" i="30"/>
  <c r="T179" i="28"/>
  <c r="T42" i="28" s="1"/>
  <c r="T43" i="28" s="1"/>
  <c r="T65" i="28" s="1"/>
  <c r="U173" i="28"/>
  <c r="AK193" i="28"/>
  <c r="S7" i="28"/>
  <c r="U178" i="28"/>
  <c r="T214" i="28"/>
  <c r="T171" i="28"/>
  <c r="U89" i="28"/>
  <c r="V94" i="28"/>
  <c r="U82" i="28"/>
  <c r="U94" i="27"/>
  <c r="T82" i="27"/>
  <c r="AJ193" i="27"/>
  <c r="R7" i="27"/>
  <c r="U214" i="27"/>
  <c r="V178" i="27"/>
  <c r="S171" i="27"/>
  <c r="T89" i="27"/>
  <c r="S179" i="27"/>
  <c r="S42" i="27" s="1"/>
  <c r="S43" i="27" s="1"/>
  <c r="S65" i="27" s="1"/>
  <c r="T173" i="27"/>
  <c r="V82" i="31" l="1"/>
  <c r="W94" i="31"/>
  <c r="X173" i="31"/>
  <c r="AM193" i="31"/>
  <c r="U7" i="31"/>
  <c r="V214" i="31"/>
  <c r="W178" i="31"/>
  <c r="AN193" i="31"/>
  <c r="V7" i="31"/>
  <c r="W171" i="31"/>
  <c r="X89" i="31"/>
  <c r="V110" i="30"/>
  <c r="U82" i="30"/>
  <c r="W173" i="30"/>
  <c r="V179" i="30"/>
  <c r="V42" i="30" s="1"/>
  <c r="V43" i="30" s="1"/>
  <c r="V65" i="30" s="1"/>
  <c r="Y94" i="30"/>
  <c r="V171" i="30"/>
  <c r="W89" i="30"/>
  <c r="V214" i="30"/>
  <c r="W178" i="30"/>
  <c r="AM193" i="30"/>
  <c r="U7" i="30"/>
  <c r="U171" i="28"/>
  <c r="V89" i="28"/>
  <c r="V178" i="28"/>
  <c r="U214" i="28"/>
  <c r="U179" i="28"/>
  <c r="U42" i="28" s="1"/>
  <c r="U43" i="28" s="1"/>
  <c r="U65" i="28" s="1"/>
  <c r="V173" i="28"/>
  <c r="W94" i="28"/>
  <c r="V82" i="28"/>
  <c r="AL193" i="28"/>
  <c r="T7" i="28"/>
  <c r="T171" i="27"/>
  <c r="U89" i="27"/>
  <c r="V214" i="27"/>
  <c r="W178" i="27"/>
  <c r="T179" i="27"/>
  <c r="T42" i="27" s="1"/>
  <c r="T43" i="27" s="1"/>
  <c r="T65" i="27" s="1"/>
  <c r="U173" i="27"/>
  <c r="AK193" i="27"/>
  <c r="S7" i="27"/>
  <c r="U82" i="27"/>
  <c r="V94" i="27"/>
  <c r="W214" i="31" l="1"/>
  <c r="X178" i="31"/>
  <c r="X179" i="31"/>
  <c r="X42" i="31" s="1"/>
  <c r="X43" i="31" s="1"/>
  <c r="X65" i="31" s="1"/>
  <c r="Y173" i="31"/>
  <c r="W179" i="31"/>
  <c r="W42" i="31" s="1"/>
  <c r="W43" i="31" s="1"/>
  <c r="W65" i="31" s="1"/>
  <c r="W82" i="31"/>
  <c r="X94" i="31"/>
  <c r="X171" i="31"/>
  <c r="Y89" i="31"/>
  <c r="X89" i="30"/>
  <c r="Z94" i="30"/>
  <c r="AN193" i="30"/>
  <c r="V7" i="30"/>
  <c r="W179" i="30"/>
  <c r="W42" i="30" s="1"/>
  <c r="W43" i="30" s="1"/>
  <c r="W65" i="30" s="1"/>
  <c r="X173" i="30"/>
  <c r="W214" i="30"/>
  <c r="X178" i="30"/>
  <c r="W110" i="30"/>
  <c r="V82" i="30"/>
  <c r="AM193" i="28"/>
  <c r="U7" i="28"/>
  <c r="V214" i="28"/>
  <c r="W178" i="28"/>
  <c r="V179" i="28"/>
  <c r="V42" i="28" s="1"/>
  <c r="V43" i="28" s="1"/>
  <c r="V65" i="28" s="1"/>
  <c r="W173" i="28"/>
  <c r="V171" i="28"/>
  <c r="W89" i="28"/>
  <c r="W82" i="28"/>
  <c r="X94" i="28"/>
  <c r="U179" i="27"/>
  <c r="U42" i="27" s="1"/>
  <c r="U43" i="27" s="1"/>
  <c r="U65" i="27" s="1"/>
  <c r="V173" i="27"/>
  <c r="AL193" i="27"/>
  <c r="T7" i="27"/>
  <c r="W214" i="27"/>
  <c r="X178" i="27"/>
  <c r="W94" i="27"/>
  <c r="V82" i="27"/>
  <c r="U171" i="27"/>
  <c r="V89" i="27"/>
  <c r="X82" i="31"/>
  <c r="Y94" i="31"/>
  <c r="AP193" i="31"/>
  <c r="X7" i="31"/>
  <c r="AO193" i="31"/>
  <c r="W7" i="31"/>
  <c r="X214" i="31"/>
  <c r="Y178" i="31"/>
  <c r="Y179" i="31" s="1"/>
  <c r="Y42" i="31" s="1"/>
  <c r="Y43" i="31" s="1"/>
  <c r="Y65" i="31" s="1"/>
  <c r="Z173" i="31"/>
  <c r="Y171" i="31"/>
  <c r="Z89" i="31"/>
  <c r="AO193" i="30"/>
  <c r="W7" i="30"/>
  <c r="Y173" i="30"/>
  <c r="X179" i="30"/>
  <c r="X42" i="30" s="1"/>
  <c r="X43" i="30" s="1"/>
  <c r="X65" i="30" s="1"/>
  <c r="AA94" i="30"/>
  <c r="X214" i="30"/>
  <c r="Y178" i="30"/>
  <c r="Y89" i="30"/>
  <c r="X110" i="30"/>
  <c r="W82" i="30"/>
  <c r="W171" i="30"/>
  <c r="X173" i="28"/>
  <c r="W179" i="28"/>
  <c r="W42" i="28" s="1"/>
  <c r="W43" i="28" s="1"/>
  <c r="W65" i="28" s="1"/>
  <c r="W214" i="28"/>
  <c r="X178" i="28"/>
  <c r="W171" i="28"/>
  <c r="X89" i="28"/>
  <c r="Y94" i="28"/>
  <c r="X82" i="28"/>
  <c r="AN193" i="28"/>
  <c r="V7" i="28"/>
  <c r="W82" i="27"/>
  <c r="X94" i="27"/>
  <c r="X214" i="27"/>
  <c r="Y178" i="27"/>
  <c r="V171" i="27"/>
  <c r="W89" i="27"/>
  <c r="W173" i="27"/>
  <c r="V179" i="27"/>
  <c r="V42" i="27" s="1"/>
  <c r="V43" i="27" s="1"/>
  <c r="V65" i="27" s="1"/>
  <c r="AM193" i="27"/>
  <c r="U7" i="27"/>
  <c r="AQ193" i="31"/>
  <c r="Y7" i="31"/>
  <c r="AA89" i="31"/>
  <c r="Y82" i="31"/>
  <c r="Z94" i="31"/>
  <c r="Z171" i="31" s="1"/>
  <c r="Y214" i="31"/>
  <c r="Z178" i="31"/>
  <c r="AA173" i="31"/>
  <c r="Y214" i="30"/>
  <c r="Z178" i="30"/>
  <c r="AB94" i="30"/>
  <c r="Z173" i="30"/>
  <c r="Y179" i="30"/>
  <c r="Y42" i="30" s="1"/>
  <c r="Y43" i="30" s="1"/>
  <c r="Y65" i="30" s="1"/>
  <c r="AP193" i="30"/>
  <c r="X7" i="30"/>
  <c r="Z89" i="30"/>
  <c r="Y110" i="30"/>
  <c r="X82" i="30"/>
  <c r="X171" i="30"/>
  <c r="Z94" i="28"/>
  <c r="Y82" i="28"/>
  <c r="X171" i="28"/>
  <c r="Y89" i="28"/>
  <c r="AO193" i="28"/>
  <c r="W7" i="28"/>
  <c r="Y178" i="28"/>
  <c r="X214" i="28"/>
  <c r="X179" i="28"/>
  <c r="X42" i="28" s="1"/>
  <c r="X43" i="28" s="1"/>
  <c r="X65" i="28" s="1"/>
  <c r="Y173" i="28"/>
  <c r="AN193" i="27"/>
  <c r="V7" i="27"/>
  <c r="W171" i="27"/>
  <c r="X89" i="27"/>
  <c r="Z178" i="27"/>
  <c r="Y214" i="27"/>
  <c r="Y94" i="27"/>
  <c r="X82" i="27"/>
  <c r="X173" i="27"/>
  <c r="W179" i="27"/>
  <c r="W42" i="27" s="1"/>
  <c r="W43" i="27" s="1"/>
  <c r="W65" i="27" s="1"/>
  <c r="AA178" i="31"/>
  <c r="Z214" i="31"/>
  <c r="AA94" i="31"/>
  <c r="Z82" i="31"/>
  <c r="AB173" i="31"/>
  <c r="AA179" i="31"/>
  <c r="AA42" i="31" s="1"/>
  <c r="AA43" i="31" s="1"/>
  <c r="AA65" i="31" s="1"/>
  <c r="AA171" i="31"/>
  <c r="AB89" i="31"/>
  <c r="Z179" i="31"/>
  <c r="Z42" i="31" s="1"/>
  <c r="Z43" i="31" s="1"/>
  <c r="Z65" i="31" s="1"/>
  <c r="Z110" i="30"/>
  <c r="Y82" i="30"/>
  <c r="AQ193" i="30"/>
  <c r="Y7" i="30"/>
  <c r="Z179" i="30"/>
  <c r="Z43" i="30" s="1"/>
  <c r="Z65" i="30" s="1"/>
  <c r="AA173" i="30"/>
  <c r="AC94" i="30"/>
  <c r="Z171" i="30"/>
  <c r="AA89" i="30"/>
  <c r="AA178" i="30"/>
  <c r="Z214" i="30"/>
  <c r="Y171" i="30"/>
  <c r="Y171" i="28"/>
  <c r="Z89" i="28"/>
  <c r="Z82" i="28"/>
  <c r="AA94" i="28"/>
  <c r="AP193" i="28"/>
  <c r="X7" i="28"/>
  <c r="Z178" i="28"/>
  <c r="Y214" i="28"/>
  <c r="Z173" i="28"/>
  <c r="Y179" i="28"/>
  <c r="Y42" i="28" s="1"/>
  <c r="Y43" i="28" s="1"/>
  <c r="Y65" i="28" s="1"/>
  <c r="Z94" i="27"/>
  <c r="Y82" i="27"/>
  <c r="Z214" i="27"/>
  <c r="AA178" i="27"/>
  <c r="X171" i="27"/>
  <c r="Y89" i="27"/>
  <c r="AO193" i="27"/>
  <c r="W7" i="27"/>
  <c r="Y173" i="27"/>
  <c r="X179" i="27"/>
  <c r="X42" i="27" s="1"/>
  <c r="X43" i="27" s="1"/>
  <c r="X65" i="27" s="1"/>
  <c r="AC89" i="31"/>
  <c r="AS193" i="31"/>
  <c r="AA7" i="31"/>
  <c r="AA82" i="31"/>
  <c r="AB94" i="31"/>
  <c r="AC173" i="31"/>
  <c r="AB179" i="31"/>
  <c r="AB42" i="31" s="1"/>
  <c r="AB43" i="31" s="1"/>
  <c r="AB65" i="31" s="1"/>
  <c r="AR193" i="31"/>
  <c r="Z7" i="31"/>
  <c r="AA214" i="31"/>
  <c r="AB178" i="31"/>
  <c r="AD94" i="30"/>
  <c r="AA179" i="30"/>
  <c r="AA42" i="30" s="1"/>
  <c r="AA43" i="30" s="1"/>
  <c r="AA65" i="30" s="1"/>
  <c r="AB173" i="30"/>
  <c r="AR193" i="30"/>
  <c r="Z7" i="30"/>
  <c r="AA214" i="30"/>
  <c r="AB178" i="30"/>
  <c r="AB89" i="30"/>
  <c r="AA110" i="30"/>
  <c r="Z82" i="30"/>
  <c r="AB94" i="28"/>
  <c r="AA82" i="28"/>
  <c r="AQ193" i="28"/>
  <c r="Y7" i="28"/>
  <c r="Z171" i="28"/>
  <c r="AA89" i="28"/>
  <c r="AA178" i="28"/>
  <c r="Z214" i="28"/>
  <c r="AA173" i="28"/>
  <c r="Z179" i="28"/>
  <c r="Z43" i="28" s="1"/>
  <c r="Z65" i="28" s="1"/>
  <c r="Y171" i="27"/>
  <c r="Z89" i="27"/>
  <c r="AP193" i="27"/>
  <c r="X7" i="27"/>
  <c r="AB178" i="27"/>
  <c r="AA214" i="27"/>
  <c r="Z173" i="27"/>
  <c r="Y179" i="27"/>
  <c r="Y42" i="27" s="1"/>
  <c r="Y43" i="27" s="1"/>
  <c r="Y65" i="27" s="1"/>
  <c r="AA94" i="27"/>
  <c r="Z82" i="27"/>
  <c r="AT193" i="31"/>
  <c r="AB7" i="31"/>
  <c r="AD173" i="31"/>
  <c r="AB82" i="31"/>
  <c r="AC94" i="31"/>
  <c r="AB214" i="31"/>
  <c r="AC178" i="31"/>
  <c r="AD89" i="31"/>
  <c r="AB171" i="31"/>
  <c r="AB214" i="30"/>
  <c r="AC178" i="30"/>
  <c r="AS193" i="30"/>
  <c r="AA7" i="30"/>
  <c r="AB171" i="30"/>
  <c r="AC89" i="30"/>
  <c r="AB179" i="30"/>
  <c r="AB42" i="30" s="1"/>
  <c r="AB43" i="30" s="1"/>
  <c r="AB65" i="30" s="1"/>
  <c r="AC173" i="30"/>
  <c r="AB110" i="30"/>
  <c r="AA82" i="30"/>
  <c r="AA171" i="30"/>
  <c r="AE94" i="30"/>
  <c r="AA214" i="28"/>
  <c r="AB178" i="28"/>
  <c r="AA171" i="28"/>
  <c r="AB89" i="28"/>
  <c r="AR193" i="28"/>
  <c r="Z7" i="28"/>
  <c r="AA179" i="28"/>
  <c r="AA42" i="28" s="1"/>
  <c r="AA43" i="28" s="1"/>
  <c r="AA65" i="28" s="1"/>
  <c r="AB173" i="28"/>
  <c r="AC94" i="28"/>
  <c r="AB82" i="28"/>
  <c r="AQ193" i="27"/>
  <c r="Y7" i="27"/>
  <c r="Z171" i="27"/>
  <c r="AA89" i="27"/>
  <c r="Z179" i="27"/>
  <c r="Z43" i="27" s="1"/>
  <c r="Z65" i="27" s="1"/>
  <c r="AA173" i="27"/>
  <c r="AC178" i="27"/>
  <c r="AB214" i="27"/>
  <c r="AA82" i="27"/>
  <c r="AB94" i="27"/>
  <c r="AC82" i="31"/>
  <c r="AD94" i="31"/>
  <c r="AE173" i="31"/>
  <c r="AC214" i="31"/>
  <c r="AD178" i="31"/>
  <c r="AD179" i="31" s="1"/>
  <c r="AD42" i="31" s="1"/>
  <c r="AD43" i="31" s="1"/>
  <c r="AD65" i="31" s="1"/>
  <c r="AV193" i="31" s="1"/>
  <c r="AD171" i="31"/>
  <c r="AE89" i="31"/>
  <c r="AC179" i="31"/>
  <c r="AC42" i="31" s="1"/>
  <c r="AC43" i="31" s="1"/>
  <c r="AC65" i="31" s="1"/>
  <c r="AU193" i="31" s="1"/>
  <c r="AC171" i="31"/>
  <c r="AD173" i="30"/>
  <c r="AC179" i="30"/>
  <c r="AC42" i="30" s="1"/>
  <c r="AC43" i="30" s="1"/>
  <c r="AC65" i="30" s="1"/>
  <c r="AC171" i="30"/>
  <c r="AD89" i="30"/>
  <c r="AF94" i="30"/>
  <c r="AT193" i="30"/>
  <c r="AB7" i="30"/>
  <c r="AC214" i="30"/>
  <c r="AD178" i="30"/>
  <c r="AC110" i="30"/>
  <c r="AB82" i="30"/>
  <c r="AS193" i="28"/>
  <c r="AA7" i="28"/>
  <c r="AB171" i="28"/>
  <c r="AC89" i="28"/>
  <c r="AB179" i="28"/>
  <c r="AB42" i="28" s="1"/>
  <c r="AB43" i="28" s="1"/>
  <c r="AB65" i="28" s="1"/>
  <c r="AC173" i="28"/>
  <c r="AB214" i="28"/>
  <c r="AC178" i="28"/>
  <c r="AD94" i="28"/>
  <c r="AC82" i="28"/>
  <c r="AC214" i="27"/>
  <c r="AD178" i="27"/>
  <c r="AA179" i="27"/>
  <c r="AA42" i="27" s="1"/>
  <c r="AA43" i="27" s="1"/>
  <c r="AA65" i="27" s="1"/>
  <c r="AB173" i="27"/>
  <c r="AC94" i="27"/>
  <c r="AB82" i="27"/>
  <c r="AR193" i="27"/>
  <c r="Z7" i="27"/>
  <c r="AA171" i="27"/>
  <c r="AB89" i="27"/>
  <c r="AE171" i="31"/>
  <c r="AF89" i="31"/>
  <c r="AF173" i="31"/>
  <c r="AD214" i="31"/>
  <c r="AE178" i="31"/>
  <c r="AD82" i="31"/>
  <c r="AE94" i="31"/>
  <c r="AE89" i="30"/>
  <c r="AD110" i="30"/>
  <c r="AC82" i="30"/>
  <c r="AU193" i="30"/>
  <c r="AC7" i="30"/>
  <c r="AD214" i="30"/>
  <c r="AE178" i="30"/>
  <c r="AE173" i="30"/>
  <c r="AD179" i="30"/>
  <c r="AD42" i="30" s="1"/>
  <c r="AD43" i="30" s="1"/>
  <c r="AD65" i="30" s="1"/>
  <c r="AT193" i="28"/>
  <c r="AB7" i="28"/>
  <c r="AC179" i="28"/>
  <c r="AC42" i="28" s="1"/>
  <c r="AC43" i="28" s="1"/>
  <c r="AC65" i="28" s="1"/>
  <c r="AD173" i="28"/>
  <c r="AC171" i="28"/>
  <c r="AD89" i="28"/>
  <c r="AD178" i="28"/>
  <c r="AC214" i="28"/>
  <c r="AE94" i="28"/>
  <c r="AD82" i="28"/>
  <c r="AS193" i="27"/>
  <c r="AA7" i="27"/>
  <c r="AB171" i="27"/>
  <c r="AC89" i="27"/>
  <c r="AD214" i="27"/>
  <c r="AE178" i="27"/>
  <c r="AC82" i="27"/>
  <c r="AD94" i="27"/>
  <c r="AB179" i="27"/>
  <c r="AB42" i="27" s="1"/>
  <c r="AB43" i="27" s="1"/>
  <c r="AB65" i="27" s="1"/>
  <c r="AC173" i="27"/>
  <c r="AE214" i="31"/>
  <c r="AF178" i="31"/>
  <c r="AF214" i="31" s="1"/>
  <c r="AE179" i="31"/>
  <c r="AE42" i="31" s="1"/>
  <c r="AE43" i="31" s="1"/>
  <c r="AE65" i="31" s="1"/>
  <c r="AF179" i="31"/>
  <c r="AF42" i="31" s="1"/>
  <c r="AE82" i="31"/>
  <c r="AF94" i="31"/>
  <c r="AF82" i="31" s="1"/>
  <c r="AF171" i="31"/>
  <c r="AE110" i="30"/>
  <c r="AD82" i="30"/>
  <c r="AD171" i="30"/>
  <c r="AV193" i="30"/>
  <c r="AD7" i="30"/>
  <c r="AE171" i="30"/>
  <c r="AF89" i="30"/>
  <c r="AE179" i="30"/>
  <c r="AE42" i="30" s="1"/>
  <c r="AE43" i="30" s="1"/>
  <c r="AE65" i="30" s="1"/>
  <c r="AF173" i="30"/>
  <c r="AE214" i="30"/>
  <c r="AF178" i="30"/>
  <c r="AF214" i="30" s="1"/>
  <c r="AD171" i="28"/>
  <c r="AE89" i="28"/>
  <c r="AD179" i="28"/>
  <c r="AD42" i="28" s="1"/>
  <c r="AD43" i="28" s="1"/>
  <c r="AD65" i="28" s="1"/>
  <c r="AE173" i="28"/>
  <c r="AD214" i="28"/>
  <c r="AE178" i="28"/>
  <c r="AU193" i="28"/>
  <c r="AC7" i="28"/>
  <c r="AF94" i="28"/>
  <c r="AF82" i="28" s="1"/>
  <c r="AE82" i="28"/>
  <c r="AE94" i="27"/>
  <c r="AD82" i="27"/>
  <c r="AE214" i="27"/>
  <c r="AF178" i="27"/>
  <c r="AF214" i="27" s="1"/>
  <c r="AC171" i="27"/>
  <c r="AD89" i="27"/>
  <c r="AC179" i="27"/>
  <c r="AC42" i="27" s="1"/>
  <c r="AC43" i="27" s="1"/>
  <c r="AC65" i="27" s="1"/>
  <c r="AD173" i="27"/>
  <c r="AT193" i="27"/>
  <c r="AB7" i="27"/>
  <c r="AH82" i="31"/>
  <c r="AI82" i="31"/>
  <c r="AF43" i="31"/>
  <c r="AH42" i="31"/>
  <c r="AI42" i="31"/>
  <c r="AW193" i="31"/>
  <c r="AE7" i="31"/>
  <c r="AW193" i="30"/>
  <c r="AE7" i="30"/>
  <c r="AF179" i="30"/>
  <c r="AF42" i="30" s="1"/>
  <c r="AF110" i="30"/>
  <c r="AF82" i="30" s="1"/>
  <c r="AE82" i="30"/>
  <c r="AF173" i="28"/>
  <c r="AE179" i="28"/>
  <c r="AE42" i="28" s="1"/>
  <c r="AE43" i="28" s="1"/>
  <c r="AE65" i="28" s="1"/>
  <c r="AV193" i="28"/>
  <c r="AD7" i="28"/>
  <c r="AE214" i="28"/>
  <c r="AF178" i="28"/>
  <c r="AF214" i="28" s="1"/>
  <c r="AE171" i="28"/>
  <c r="AF89" i="28"/>
  <c r="AF171" i="28" s="1"/>
  <c r="AH82" i="28"/>
  <c r="AI82" i="28"/>
  <c r="AE173" i="27"/>
  <c r="AD179" i="27"/>
  <c r="AD42" i="27" s="1"/>
  <c r="AD43" i="27" s="1"/>
  <c r="AD65" i="27" s="1"/>
  <c r="AD171" i="27"/>
  <c r="AE89" i="27"/>
  <c r="AU193" i="27"/>
  <c r="AC7" i="27"/>
  <c r="AE82" i="27"/>
  <c r="AF94" i="27"/>
  <c r="AF82" i="27" s="1"/>
  <c r="AF65" i="31"/>
  <c r="AX193" i="31" s="1"/>
  <c r="AI43" i="31"/>
  <c r="AH43" i="31"/>
  <c r="AI82" i="30"/>
  <c r="AH82" i="30"/>
  <c r="AF43" i="30"/>
  <c r="AH42" i="30"/>
  <c r="AI42" i="30"/>
  <c r="AF171" i="30"/>
  <c r="AW193" i="28"/>
  <c r="AE7" i="28"/>
  <c r="AF179" i="28"/>
  <c r="AF42" i="28" s="1"/>
  <c r="AH82" i="27"/>
  <c r="AI82" i="27"/>
  <c r="AE171" i="27"/>
  <c r="AF89" i="27"/>
  <c r="AF171" i="27" s="1"/>
  <c r="AV193" i="27"/>
  <c r="AD7" i="27"/>
  <c r="AF173" i="27"/>
  <c r="AF179" i="27" s="1"/>
  <c r="AF42" i="27" s="1"/>
  <c r="AE179" i="27"/>
  <c r="AE42" i="27" s="1"/>
  <c r="AE43" i="27" s="1"/>
  <c r="AE65" i="27" s="1"/>
  <c r="AF65" i="30"/>
  <c r="AH43" i="30"/>
  <c r="AI43" i="30"/>
  <c r="AF43" i="28"/>
  <c r="AI42" i="28"/>
  <c r="AH42" i="28"/>
  <c r="AW193" i="27"/>
  <c r="AE7" i="27"/>
  <c r="AF43" i="27"/>
  <c r="AH42" i="27"/>
  <c r="AI42" i="27"/>
  <c r="AX193" i="30"/>
  <c r="AF7" i="30"/>
  <c r="A7" i="30" s="1"/>
  <c r="AH65" i="30"/>
  <c r="AI65" i="30"/>
  <c r="AF65" i="28"/>
  <c r="AI43" i="28"/>
  <c r="AH43" i="28"/>
  <c r="AF65" i="27"/>
  <c r="AH43" i="27"/>
  <c r="AI43" i="27"/>
  <c r="AX193" i="28"/>
  <c r="AF7" i="28"/>
  <c r="A7" i="28" s="1"/>
  <c r="AH65" i="28"/>
  <c r="AI65" i="28"/>
  <c r="AX193" i="27"/>
  <c r="AF7" i="27"/>
  <c r="A7" i="27" s="1"/>
  <c r="AH65" i="27"/>
  <c r="AI65" i="27"/>
  <c r="AF218" i="26"/>
  <c r="AE218" i="26"/>
  <c r="AD218" i="26"/>
  <c r="AC218" i="26"/>
  <c r="AB218" i="26"/>
  <c r="AA218" i="26"/>
  <c r="Z218" i="26"/>
  <c r="Y218" i="26"/>
  <c r="X218" i="26"/>
  <c r="W218" i="26"/>
  <c r="V218" i="26"/>
  <c r="U218" i="26"/>
  <c r="T218" i="26"/>
  <c r="S218" i="26"/>
  <c r="R218" i="26"/>
  <c r="Q218" i="26"/>
  <c r="P218" i="26"/>
  <c r="O218" i="26"/>
  <c r="N218" i="26"/>
  <c r="M218" i="26"/>
  <c r="L218" i="26"/>
  <c r="K218" i="26"/>
  <c r="J218" i="26"/>
  <c r="I218" i="26"/>
  <c r="H218" i="26"/>
  <c r="G218" i="26"/>
  <c r="F218" i="26"/>
  <c r="E218" i="26"/>
  <c r="D218" i="26"/>
  <c r="C218" i="26"/>
  <c r="B218" i="26"/>
  <c r="A218" i="26"/>
  <c r="AF217" i="26"/>
  <c r="AE217" i="26"/>
  <c r="AD217" i="26"/>
  <c r="AC217" i="26"/>
  <c r="AB217" i="26"/>
  <c r="AA217" i="26"/>
  <c r="Z217" i="26"/>
  <c r="Y217" i="26"/>
  <c r="X217" i="26"/>
  <c r="W217" i="26"/>
  <c r="V217" i="26"/>
  <c r="U217" i="26"/>
  <c r="T217" i="26"/>
  <c r="S217" i="26"/>
  <c r="R217" i="26"/>
  <c r="Q217" i="26"/>
  <c r="P217" i="26"/>
  <c r="O217" i="26"/>
  <c r="N217" i="26"/>
  <c r="M217" i="26"/>
  <c r="L217" i="26"/>
  <c r="K217" i="26"/>
  <c r="J217" i="26"/>
  <c r="I217" i="26"/>
  <c r="H217" i="26"/>
  <c r="G217" i="26"/>
  <c r="F217" i="26"/>
  <c r="E217" i="26"/>
  <c r="D217" i="26"/>
  <c r="C217" i="26"/>
  <c r="B217" i="26"/>
  <c r="A217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T216" i="26"/>
  <c r="S216" i="26"/>
  <c r="R216" i="26"/>
  <c r="Q216" i="26"/>
  <c r="P216" i="26"/>
  <c r="O216" i="26"/>
  <c r="N216" i="26"/>
  <c r="M216" i="26"/>
  <c r="L216" i="26"/>
  <c r="K216" i="26"/>
  <c r="J216" i="26"/>
  <c r="I216" i="26"/>
  <c r="H216" i="26"/>
  <c r="G216" i="26"/>
  <c r="F216" i="26"/>
  <c r="E216" i="26"/>
  <c r="D216" i="26"/>
  <c r="C216" i="26"/>
  <c r="B216" i="26"/>
  <c r="A216" i="26"/>
  <c r="AF215" i="26"/>
  <c r="AE215" i="26"/>
  <c r="AD215" i="26"/>
  <c r="AC215" i="26"/>
  <c r="AB215" i="26"/>
  <c r="AA215" i="26"/>
  <c r="Z215" i="26"/>
  <c r="Y215" i="26"/>
  <c r="X215" i="26"/>
  <c r="W215" i="26"/>
  <c r="V215" i="26"/>
  <c r="U215" i="26"/>
  <c r="T215" i="26"/>
  <c r="S215" i="26"/>
  <c r="R215" i="26"/>
  <c r="Q215" i="26"/>
  <c r="P215" i="26"/>
  <c r="O215" i="26"/>
  <c r="N215" i="26"/>
  <c r="M215" i="26"/>
  <c r="L215" i="26"/>
  <c r="K215" i="26"/>
  <c r="J215" i="26"/>
  <c r="I215" i="26"/>
  <c r="H215" i="26"/>
  <c r="G215" i="26"/>
  <c r="F215" i="26"/>
  <c r="E215" i="26"/>
  <c r="D215" i="26"/>
  <c r="C215" i="26"/>
  <c r="B215" i="26"/>
  <c r="A215" i="26"/>
  <c r="B214" i="26"/>
  <c r="S189" i="26"/>
  <c r="AG179" i="26"/>
  <c r="B179" i="26"/>
  <c r="D178" i="26"/>
  <c r="C178" i="26"/>
  <c r="C214" i="26" s="1"/>
  <c r="C177" i="26"/>
  <c r="D177" i="26" s="1"/>
  <c r="E177" i="26" s="1"/>
  <c r="F177" i="26" s="1"/>
  <c r="G177" i="26" s="1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C176" i="26"/>
  <c r="D176" i="26" s="1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C175" i="26"/>
  <c r="D175" i="26" s="1"/>
  <c r="E175" i="26" s="1"/>
  <c r="F175" i="26" s="1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C174" i="26"/>
  <c r="D174" i="26" s="1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C173" i="26"/>
  <c r="C179" i="26" s="1"/>
  <c r="AG171" i="26"/>
  <c r="B171" i="26"/>
  <c r="D170" i="26"/>
  <c r="E170" i="26" s="1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C170" i="26"/>
  <c r="C169" i="26"/>
  <c r="D169" i="26" s="1"/>
  <c r="E169" i="26" s="1"/>
  <c r="F169" i="26" s="1"/>
  <c r="G169" i="26" s="1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C168" i="26"/>
  <c r="D168" i="26" s="1"/>
  <c r="E168" i="26" s="1"/>
  <c r="F168" i="26" s="1"/>
  <c r="G168" i="26" s="1"/>
  <c r="H168" i="26" s="1"/>
  <c r="I168" i="26" s="1"/>
  <c r="J168" i="26" s="1"/>
  <c r="K168" i="26" s="1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H167" i="26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C167" i="26"/>
  <c r="D167" i="26" s="1"/>
  <c r="E167" i="26" s="1"/>
  <c r="F167" i="26" s="1"/>
  <c r="G167" i="26" s="1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C166" i="26"/>
  <c r="C165" i="26"/>
  <c r="D165" i="26" s="1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C164" i="26"/>
  <c r="D164" i="26" s="1"/>
  <c r="E164" i="26" s="1"/>
  <c r="F164" i="26" s="1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C163" i="26"/>
  <c r="D163" i="26" s="1"/>
  <c r="E163" i="26" s="1"/>
  <c r="F163" i="26" s="1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C162" i="26"/>
  <c r="D162" i="26" s="1"/>
  <c r="E162" i="26" s="1"/>
  <c r="F162" i="26" s="1"/>
  <c r="G162" i="26" s="1"/>
  <c r="H162" i="26" s="1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N161" i="26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C161" i="26"/>
  <c r="D161" i="26" s="1"/>
  <c r="E161" i="26" s="1"/>
  <c r="F161" i="26" s="1"/>
  <c r="G161" i="26" s="1"/>
  <c r="H161" i="26" s="1"/>
  <c r="I161" i="26" s="1"/>
  <c r="J161" i="26" s="1"/>
  <c r="K161" i="26" s="1"/>
  <c r="L161" i="26" s="1"/>
  <c r="M161" i="26" s="1"/>
  <c r="C160" i="26"/>
  <c r="D160" i="26" s="1"/>
  <c r="E160" i="26" s="1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J159" i="26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F159" i="26"/>
  <c r="G159" i="26" s="1"/>
  <c r="H159" i="26" s="1"/>
  <c r="I159" i="26" s="1"/>
  <c r="C159" i="26"/>
  <c r="D159" i="26" s="1"/>
  <c r="E159" i="26" s="1"/>
  <c r="C158" i="26"/>
  <c r="D158" i="26" s="1"/>
  <c r="E158" i="26" s="1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F157" i="26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C157" i="26"/>
  <c r="D157" i="26" s="1"/>
  <c r="E157" i="26" s="1"/>
  <c r="C156" i="26"/>
  <c r="D156" i="26" s="1"/>
  <c r="E156" i="26" s="1"/>
  <c r="F156" i="26" s="1"/>
  <c r="G156" i="26" s="1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C155" i="26"/>
  <c r="D155" i="26" s="1"/>
  <c r="E155" i="26" s="1"/>
  <c r="F155" i="26" s="1"/>
  <c r="G155" i="26" s="1"/>
  <c r="H155" i="26" s="1"/>
  <c r="I155" i="26" s="1"/>
  <c r="J155" i="26" s="1"/>
  <c r="K155" i="26" s="1"/>
  <c r="L155" i="26" s="1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C154" i="26"/>
  <c r="D154" i="26" s="1"/>
  <c r="E154" i="26" s="1"/>
  <c r="F154" i="26" s="1"/>
  <c r="G154" i="26" s="1"/>
  <c r="H154" i="26" s="1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C153" i="26"/>
  <c r="D153" i="26" s="1"/>
  <c r="E153" i="26" s="1"/>
  <c r="F153" i="26" s="1"/>
  <c r="G153" i="26" s="1"/>
  <c r="H153" i="26" s="1"/>
  <c r="I153" i="26" s="1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C152" i="26"/>
  <c r="D152" i="26" s="1"/>
  <c r="E152" i="26" s="1"/>
  <c r="F152" i="26" s="1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D151" i="26"/>
  <c r="E151" i="26" s="1"/>
  <c r="F151" i="26" s="1"/>
  <c r="G151" i="26" s="1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C151" i="26"/>
  <c r="C150" i="26"/>
  <c r="D150" i="26" s="1"/>
  <c r="E150" i="26" s="1"/>
  <c r="F150" i="26" s="1"/>
  <c r="G150" i="26" s="1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E149" i="26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C149" i="26"/>
  <c r="D149" i="26" s="1"/>
  <c r="C148" i="26"/>
  <c r="D148" i="26" s="1"/>
  <c r="E148" i="26" s="1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C147" i="26"/>
  <c r="D147" i="26" s="1"/>
  <c r="E147" i="26" s="1"/>
  <c r="F147" i="26" s="1"/>
  <c r="G147" i="26" s="1"/>
  <c r="H147" i="26" s="1"/>
  <c r="I147" i="26" s="1"/>
  <c r="J147" i="26" s="1"/>
  <c r="K147" i="26" s="1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V147" i="26" s="1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C146" i="26"/>
  <c r="D146" i="26" s="1"/>
  <c r="E146" i="26" s="1"/>
  <c r="F146" i="26" s="1"/>
  <c r="G146" i="26" s="1"/>
  <c r="H146" i="26" s="1"/>
  <c r="I146" i="26" s="1"/>
  <c r="J146" i="26" s="1"/>
  <c r="K146" i="26" s="1"/>
  <c r="L146" i="26" s="1"/>
  <c r="M146" i="26" s="1"/>
  <c r="N146" i="26" s="1"/>
  <c r="O146" i="26" s="1"/>
  <c r="P146" i="26" s="1"/>
  <c r="Q146" i="26" s="1"/>
  <c r="R146" i="26" s="1"/>
  <c r="S146" i="26" s="1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C145" i="26"/>
  <c r="D145" i="26" s="1"/>
  <c r="E145" i="26" s="1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F144" i="26"/>
  <c r="G144" i="26" s="1"/>
  <c r="H144" i="26" s="1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C144" i="26"/>
  <c r="D144" i="26" s="1"/>
  <c r="E144" i="26" s="1"/>
  <c r="C143" i="26"/>
  <c r="D143" i="26" s="1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C142" i="26"/>
  <c r="D142" i="26" s="1"/>
  <c r="E142" i="26" s="1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C141" i="26"/>
  <c r="D141" i="26" s="1"/>
  <c r="E141" i="26" s="1"/>
  <c r="F141" i="26" s="1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Y140" i="26"/>
  <c r="Z140" i="26" s="1"/>
  <c r="AA140" i="26" s="1"/>
  <c r="AB140" i="26" s="1"/>
  <c r="AC140" i="26" s="1"/>
  <c r="AD140" i="26" s="1"/>
  <c r="AE140" i="26" s="1"/>
  <c r="AF140" i="26" s="1"/>
  <c r="M140" i="26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C140" i="26"/>
  <c r="D140" i="26" s="1"/>
  <c r="E140" i="26" s="1"/>
  <c r="F140" i="26" s="1"/>
  <c r="G140" i="26" s="1"/>
  <c r="H140" i="26" s="1"/>
  <c r="I140" i="26" s="1"/>
  <c r="J140" i="26" s="1"/>
  <c r="K140" i="26" s="1"/>
  <c r="L140" i="26" s="1"/>
  <c r="C139" i="26"/>
  <c r="D139" i="26" s="1"/>
  <c r="E139" i="26" s="1"/>
  <c r="F139" i="26" s="1"/>
  <c r="G139" i="26" s="1"/>
  <c r="H139" i="26" s="1"/>
  <c r="I139" i="26" s="1"/>
  <c r="J139" i="26" s="1"/>
  <c r="K139" i="26" s="1"/>
  <c r="L139" i="26" s="1"/>
  <c r="M139" i="26" s="1"/>
  <c r="N139" i="26" s="1"/>
  <c r="O139" i="26" s="1"/>
  <c r="P139" i="26" s="1"/>
  <c r="Q139" i="26" s="1"/>
  <c r="R139" i="26" s="1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I138" i="26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C138" i="26"/>
  <c r="D138" i="26" s="1"/>
  <c r="E138" i="26" s="1"/>
  <c r="F138" i="26" s="1"/>
  <c r="G138" i="26" s="1"/>
  <c r="H138" i="26" s="1"/>
  <c r="C137" i="26"/>
  <c r="D137" i="26" s="1"/>
  <c r="E137" i="26" s="1"/>
  <c r="F137" i="26" s="1"/>
  <c r="G137" i="26" s="1"/>
  <c r="H137" i="26" s="1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E136" i="26"/>
  <c r="F136" i="26" s="1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C136" i="26"/>
  <c r="D136" i="26" s="1"/>
  <c r="C135" i="26"/>
  <c r="D135" i="26" s="1"/>
  <c r="E135" i="26" s="1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C134" i="26"/>
  <c r="D134" i="26" s="1"/>
  <c r="E134" i="26" s="1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C133" i="26"/>
  <c r="D133" i="26" s="1"/>
  <c r="E133" i="26" s="1"/>
  <c r="F133" i="26" s="1"/>
  <c r="G133" i="26" s="1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C132" i="26"/>
  <c r="D132" i="26" s="1"/>
  <c r="E132" i="26" s="1"/>
  <c r="F132" i="26" s="1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C131" i="26"/>
  <c r="D131" i="26" s="1"/>
  <c r="E131" i="26" s="1"/>
  <c r="F131" i="26" s="1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C130" i="26"/>
  <c r="D130" i="26" s="1"/>
  <c r="E130" i="26" s="1"/>
  <c r="F130" i="26" s="1"/>
  <c r="G130" i="26" s="1"/>
  <c r="H130" i="26" s="1"/>
  <c r="I130" i="26" s="1"/>
  <c r="J130" i="26" s="1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C129" i="26"/>
  <c r="D129" i="26" s="1"/>
  <c r="E129" i="26" s="1"/>
  <c r="F129" i="26" s="1"/>
  <c r="G129" i="26" s="1"/>
  <c r="H129" i="26" s="1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C128" i="26"/>
  <c r="D128" i="26" s="1"/>
  <c r="E128" i="26" s="1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C127" i="26"/>
  <c r="D127" i="26" s="1"/>
  <c r="E127" i="26" s="1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C126" i="26"/>
  <c r="D126" i="26" s="1"/>
  <c r="E126" i="26" s="1"/>
  <c r="F126" i="26" s="1"/>
  <c r="G126" i="26" s="1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C125" i="26"/>
  <c r="D125" i="26" s="1"/>
  <c r="E125" i="26" s="1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C124" i="26"/>
  <c r="D124" i="26" s="1"/>
  <c r="E124" i="26" s="1"/>
  <c r="F124" i="26" s="1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E123" i="26"/>
  <c r="F123" i="26" s="1"/>
  <c r="G123" i="26" s="1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C123" i="26"/>
  <c r="D123" i="26" s="1"/>
  <c r="C122" i="26"/>
  <c r="D122" i="26" s="1"/>
  <c r="E122" i="26" s="1"/>
  <c r="F122" i="26" s="1"/>
  <c r="G122" i="26" s="1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C121" i="26"/>
  <c r="D121" i="26" s="1"/>
  <c r="E121" i="26" s="1"/>
  <c r="F121" i="26" s="1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C120" i="26"/>
  <c r="D120" i="26" s="1"/>
  <c r="E120" i="26" s="1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C119" i="26"/>
  <c r="D119" i="26" s="1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C118" i="26"/>
  <c r="D118" i="26" s="1"/>
  <c r="E118" i="26" s="1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C117" i="26"/>
  <c r="D117" i="26" s="1"/>
  <c r="E117" i="26" s="1"/>
  <c r="F117" i="26" s="1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E116" i="26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C116" i="26"/>
  <c r="D116" i="26" s="1"/>
  <c r="E115" i="26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C115" i="26"/>
  <c r="D115" i="26" s="1"/>
  <c r="C114" i="26"/>
  <c r="D114" i="26" s="1"/>
  <c r="E114" i="26" s="1"/>
  <c r="F114" i="26" s="1"/>
  <c r="G114" i="26" s="1"/>
  <c r="H114" i="26" s="1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E113" i="26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C113" i="26"/>
  <c r="D113" i="26" s="1"/>
  <c r="C112" i="26"/>
  <c r="D112" i="26" s="1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C111" i="26"/>
  <c r="D111" i="26" s="1"/>
  <c r="E111" i="26" s="1"/>
  <c r="F111" i="26" s="1"/>
  <c r="G111" i="26" s="1"/>
  <c r="H111" i="26" s="1"/>
  <c r="I111" i="26" s="1"/>
  <c r="J111" i="26" s="1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J110" i="26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D110" i="26"/>
  <c r="E110" i="26" s="1"/>
  <c r="F110" i="26" s="1"/>
  <c r="G110" i="26" s="1"/>
  <c r="H110" i="26" s="1"/>
  <c r="I110" i="26" s="1"/>
  <c r="C110" i="26"/>
  <c r="C109" i="26"/>
  <c r="D109" i="26" s="1"/>
  <c r="E109" i="26" s="1"/>
  <c r="F109" i="26" s="1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D108" i="26"/>
  <c r="E108" i="26" s="1"/>
  <c r="F108" i="26" s="1"/>
  <c r="G108" i="26" s="1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C108" i="26"/>
  <c r="C107" i="26"/>
  <c r="D107" i="26" s="1"/>
  <c r="E107" i="26" s="1"/>
  <c r="F107" i="26" s="1"/>
  <c r="G107" i="26" s="1"/>
  <c r="H107" i="26" s="1"/>
  <c r="I107" i="26" s="1"/>
  <c r="J107" i="26" s="1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E106" i="26"/>
  <c r="F106" i="26" s="1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D106" i="26"/>
  <c r="C106" i="26"/>
  <c r="C105" i="26"/>
  <c r="D105" i="26" s="1"/>
  <c r="E105" i="26" s="1"/>
  <c r="F105" i="26" s="1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D104" i="26"/>
  <c r="E104" i="26" s="1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C104" i="26"/>
  <c r="D103" i="26"/>
  <c r="E103" i="26" s="1"/>
  <c r="F103" i="26" s="1"/>
  <c r="G103" i="26" s="1"/>
  <c r="H103" i="26" s="1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C103" i="26"/>
  <c r="C102" i="26"/>
  <c r="D102" i="26" s="1"/>
  <c r="E102" i="26" s="1"/>
  <c r="F102" i="26" s="1"/>
  <c r="G102" i="26" s="1"/>
  <c r="H102" i="26" s="1"/>
  <c r="I102" i="26" s="1"/>
  <c r="J102" i="26" s="1"/>
  <c r="K102" i="26" s="1"/>
  <c r="L102" i="26" s="1"/>
  <c r="M102" i="26" s="1"/>
  <c r="N102" i="26" s="1"/>
  <c r="O102" i="26" s="1"/>
  <c r="P102" i="26" s="1"/>
  <c r="Q102" i="26" s="1"/>
  <c r="R102" i="26" s="1"/>
  <c r="S102" i="26" s="1"/>
  <c r="T102" i="26" s="1"/>
  <c r="U102" i="26" s="1"/>
  <c r="V102" i="26" s="1"/>
  <c r="W102" i="26" s="1"/>
  <c r="X102" i="26" s="1"/>
  <c r="Y102" i="26" s="1"/>
  <c r="Z102" i="26" s="1"/>
  <c r="AA102" i="26" s="1"/>
  <c r="AB102" i="26" s="1"/>
  <c r="AC102" i="26" s="1"/>
  <c r="AD102" i="26" s="1"/>
  <c r="AE102" i="26" s="1"/>
  <c r="AF102" i="26" s="1"/>
  <c r="C101" i="26"/>
  <c r="D101" i="26" s="1"/>
  <c r="E101" i="26" s="1"/>
  <c r="F101" i="26" s="1"/>
  <c r="G101" i="26" s="1"/>
  <c r="H101" i="26" s="1"/>
  <c r="I101" i="26" s="1"/>
  <c r="J101" i="26" s="1"/>
  <c r="K101" i="26" s="1"/>
  <c r="L101" i="26" s="1"/>
  <c r="M101" i="26" s="1"/>
  <c r="N101" i="26" s="1"/>
  <c r="O101" i="26" s="1"/>
  <c r="P101" i="26" s="1"/>
  <c r="Q101" i="26" s="1"/>
  <c r="R101" i="26" s="1"/>
  <c r="S101" i="26" s="1"/>
  <c r="T101" i="26" s="1"/>
  <c r="U101" i="26" s="1"/>
  <c r="V101" i="26" s="1"/>
  <c r="W101" i="26" s="1"/>
  <c r="X101" i="26" s="1"/>
  <c r="Y101" i="26" s="1"/>
  <c r="Z101" i="26" s="1"/>
  <c r="AA101" i="26" s="1"/>
  <c r="AB101" i="26" s="1"/>
  <c r="AC101" i="26" s="1"/>
  <c r="AD101" i="26" s="1"/>
  <c r="AE101" i="26" s="1"/>
  <c r="AF101" i="26" s="1"/>
  <c r="C100" i="26"/>
  <c r="D100" i="26" s="1"/>
  <c r="E100" i="26" s="1"/>
  <c r="F100" i="26" s="1"/>
  <c r="G100" i="26" s="1"/>
  <c r="H100" i="26" s="1"/>
  <c r="I100" i="26" s="1"/>
  <c r="J100" i="26" s="1"/>
  <c r="K100" i="26" s="1"/>
  <c r="L100" i="26" s="1"/>
  <c r="M100" i="26" s="1"/>
  <c r="N100" i="26" s="1"/>
  <c r="O100" i="26" s="1"/>
  <c r="P100" i="26" s="1"/>
  <c r="Q100" i="26" s="1"/>
  <c r="R100" i="26" s="1"/>
  <c r="S100" i="26" s="1"/>
  <c r="T100" i="26" s="1"/>
  <c r="U100" i="26" s="1"/>
  <c r="V100" i="26" s="1"/>
  <c r="W100" i="26" s="1"/>
  <c r="X100" i="26" s="1"/>
  <c r="Y100" i="26" s="1"/>
  <c r="Z100" i="26" s="1"/>
  <c r="AA100" i="26" s="1"/>
  <c r="AB100" i="26" s="1"/>
  <c r="AC100" i="26" s="1"/>
  <c r="AD100" i="26" s="1"/>
  <c r="AE100" i="26" s="1"/>
  <c r="AF100" i="26" s="1"/>
  <c r="J99" i="26"/>
  <c r="K99" i="26" s="1"/>
  <c r="L99" i="26" s="1"/>
  <c r="M99" i="26" s="1"/>
  <c r="N99" i="26" s="1"/>
  <c r="O99" i="26" s="1"/>
  <c r="P99" i="26" s="1"/>
  <c r="Q99" i="26" s="1"/>
  <c r="R99" i="26" s="1"/>
  <c r="S99" i="26" s="1"/>
  <c r="T99" i="26" s="1"/>
  <c r="U99" i="26" s="1"/>
  <c r="V99" i="26" s="1"/>
  <c r="W99" i="26" s="1"/>
  <c r="X99" i="26" s="1"/>
  <c r="Y99" i="26" s="1"/>
  <c r="Z99" i="26" s="1"/>
  <c r="AA99" i="26" s="1"/>
  <c r="AB99" i="26" s="1"/>
  <c r="AC99" i="26" s="1"/>
  <c r="AD99" i="26" s="1"/>
  <c r="AE99" i="26" s="1"/>
  <c r="AF99" i="26" s="1"/>
  <c r="D99" i="26"/>
  <c r="E99" i="26" s="1"/>
  <c r="F99" i="26" s="1"/>
  <c r="G99" i="26" s="1"/>
  <c r="H99" i="26" s="1"/>
  <c r="C99" i="26"/>
  <c r="C98" i="26"/>
  <c r="D98" i="26" s="1"/>
  <c r="E98" i="26" s="1"/>
  <c r="F98" i="26" s="1"/>
  <c r="G98" i="26" s="1"/>
  <c r="H98" i="26" s="1"/>
  <c r="I98" i="26" s="1"/>
  <c r="J98" i="26" s="1"/>
  <c r="K98" i="26" s="1"/>
  <c r="L98" i="26" s="1"/>
  <c r="M98" i="26" s="1"/>
  <c r="N98" i="26" s="1"/>
  <c r="O98" i="26" s="1"/>
  <c r="P98" i="26" s="1"/>
  <c r="Q98" i="26" s="1"/>
  <c r="R98" i="26" s="1"/>
  <c r="S98" i="26" s="1"/>
  <c r="T98" i="26" s="1"/>
  <c r="U98" i="26" s="1"/>
  <c r="V98" i="26" s="1"/>
  <c r="W98" i="26" s="1"/>
  <c r="X98" i="26" s="1"/>
  <c r="Y98" i="26" s="1"/>
  <c r="Z98" i="26" s="1"/>
  <c r="AA98" i="26" s="1"/>
  <c r="AB98" i="26" s="1"/>
  <c r="AC98" i="26" s="1"/>
  <c r="AD98" i="26" s="1"/>
  <c r="AE98" i="26" s="1"/>
  <c r="AF98" i="26" s="1"/>
  <c r="D97" i="26"/>
  <c r="E97" i="26" s="1"/>
  <c r="F97" i="26" s="1"/>
  <c r="G97" i="26" s="1"/>
  <c r="H97" i="26" s="1"/>
  <c r="I97" i="26" s="1"/>
  <c r="J97" i="26" s="1"/>
  <c r="K97" i="26" s="1"/>
  <c r="L97" i="26" s="1"/>
  <c r="M97" i="26" s="1"/>
  <c r="N97" i="26" s="1"/>
  <c r="O97" i="26" s="1"/>
  <c r="P97" i="26" s="1"/>
  <c r="Q97" i="26" s="1"/>
  <c r="R97" i="26" s="1"/>
  <c r="S97" i="26" s="1"/>
  <c r="T97" i="26" s="1"/>
  <c r="U97" i="26" s="1"/>
  <c r="V97" i="26" s="1"/>
  <c r="W97" i="26" s="1"/>
  <c r="X97" i="26" s="1"/>
  <c r="Y97" i="26" s="1"/>
  <c r="Z97" i="26" s="1"/>
  <c r="AA97" i="26" s="1"/>
  <c r="AB97" i="26" s="1"/>
  <c r="AC97" i="26" s="1"/>
  <c r="AD97" i="26" s="1"/>
  <c r="AE97" i="26" s="1"/>
  <c r="AF97" i="26" s="1"/>
  <c r="C97" i="26"/>
  <c r="D96" i="26"/>
  <c r="E96" i="26" s="1"/>
  <c r="F96" i="26" s="1"/>
  <c r="G96" i="26" s="1"/>
  <c r="H96" i="26" s="1"/>
  <c r="I96" i="26" s="1"/>
  <c r="J96" i="26" s="1"/>
  <c r="K96" i="26" s="1"/>
  <c r="L96" i="26" s="1"/>
  <c r="M96" i="26" s="1"/>
  <c r="N96" i="26" s="1"/>
  <c r="O96" i="26" s="1"/>
  <c r="P96" i="26" s="1"/>
  <c r="Q96" i="26" s="1"/>
  <c r="R96" i="26" s="1"/>
  <c r="S96" i="26" s="1"/>
  <c r="T96" i="26" s="1"/>
  <c r="U96" i="26" s="1"/>
  <c r="V96" i="26" s="1"/>
  <c r="W96" i="26" s="1"/>
  <c r="X96" i="26" s="1"/>
  <c r="Y96" i="26" s="1"/>
  <c r="Z96" i="26" s="1"/>
  <c r="AA96" i="26" s="1"/>
  <c r="AB96" i="26" s="1"/>
  <c r="AC96" i="26" s="1"/>
  <c r="AD96" i="26" s="1"/>
  <c r="AE96" i="26" s="1"/>
  <c r="AF96" i="26" s="1"/>
  <c r="C96" i="26"/>
  <c r="E95" i="26"/>
  <c r="F95" i="26" s="1"/>
  <c r="G95" i="26" s="1"/>
  <c r="H95" i="26" s="1"/>
  <c r="I95" i="26" s="1"/>
  <c r="J95" i="26" s="1"/>
  <c r="K95" i="26" s="1"/>
  <c r="L95" i="26" s="1"/>
  <c r="M95" i="26" s="1"/>
  <c r="N95" i="26" s="1"/>
  <c r="O95" i="26" s="1"/>
  <c r="P95" i="26" s="1"/>
  <c r="Q95" i="26" s="1"/>
  <c r="R95" i="26" s="1"/>
  <c r="S95" i="26" s="1"/>
  <c r="T95" i="26" s="1"/>
  <c r="U95" i="26" s="1"/>
  <c r="V95" i="26" s="1"/>
  <c r="W95" i="26" s="1"/>
  <c r="X95" i="26" s="1"/>
  <c r="Y95" i="26" s="1"/>
  <c r="Z95" i="26" s="1"/>
  <c r="AA95" i="26" s="1"/>
  <c r="AB95" i="26" s="1"/>
  <c r="AC95" i="26" s="1"/>
  <c r="AD95" i="26" s="1"/>
  <c r="AE95" i="26" s="1"/>
  <c r="AF95" i="26" s="1"/>
  <c r="D95" i="26"/>
  <c r="C95" i="26"/>
  <c r="C94" i="26"/>
  <c r="D94" i="26" s="1"/>
  <c r="C93" i="26"/>
  <c r="D93" i="26" s="1"/>
  <c r="E93" i="26" s="1"/>
  <c r="F93" i="26" s="1"/>
  <c r="G93" i="26" s="1"/>
  <c r="H93" i="26" s="1"/>
  <c r="I93" i="26" s="1"/>
  <c r="J93" i="26" s="1"/>
  <c r="K93" i="26" s="1"/>
  <c r="L93" i="26" s="1"/>
  <c r="M93" i="26" s="1"/>
  <c r="N93" i="26" s="1"/>
  <c r="O93" i="26" s="1"/>
  <c r="P93" i="26" s="1"/>
  <c r="Q93" i="26" s="1"/>
  <c r="R93" i="26" s="1"/>
  <c r="S93" i="26" s="1"/>
  <c r="T93" i="26" s="1"/>
  <c r="U93" i="26" s="1"/>
  <c r="V93" i="26" s="1"/>
  <c r="W93" i="26" s="1"/>
  <c r="X93" i="26" s="1"/>
  <c r="Y93" i="26" s="1"/>
  <c r="Z93" i="26" s="1"/>
  <c r="AA93" i="26" s="1"/>
  <c r="AB93" i="26" s="1"/>
  <c r="AC93" i="26" s="1"/>
  <c r="AD93" i="26" s="1"/>
  <c r="AE93" i="26" s="1"/>
  <c r="AF93" i="26" s="1"/>
  <c r="C92" i="26"/>
  <c r="D92" i="26" s="1"/>
  <c r="E92" i="26" s="1"/>
  <c r="F92" i="26" s="1"/>
  <c r="G92" i="26" s="1"/>
  <c r="H92" i="26" s="1"/>
  <c r="I92" i="26" s="1"/>
  <c r="J92" i="26" s="1"/>
  <c r="K92" i="26" s="1"/>
  <c r="L92" i="26" s="1"/>
  <c r="M92" i="26" s="1"/>
  <c r="N92" i="26" s="1"/>
  <c r="O92" i="26" s="1"/>
  <c r="P92" i="26" s="1"/>
  <c r="Q92" i="26" s="1"/>
  <c r="R92" i="26" s="1"/>
  <c r="S92" i="26" s="1"/>
  <c r="T92" i="26" s="1"/>
  <c r="U92" i="26" s="1"/>
  <c r="V92" i="26" s="1"/>
  <c r="W92" i="26" s="1"/>
  <c r="X92" i="26" s="1"/>
  <c r="Y92" i="26" s="1"/>
  <c r="Z92" i="26" s="1"/>
  <c r="AA92" i="26" s="1"/>
  <c r="AB92" i="26" s="1"/>
  <c r="AC92" i="26" s="1"/>
  <c r="AD92" i="26" s="1"/>
  <c r="AE92" i="26" s="1"/>
  <c r="AF92" i="26" s="1"/>
  <c r="C91" i="26"/>
  <c r="D91" i="26" s="1"/>
  <c r="E91" i="26" s="1"/>
  <c r="F91" i="26" s="1"/>
  <c r="G91" i="26" s="1"/>
  <c r="H91" i="26" s="1"/>
  <c r="I91" i="26" s="1"/>
  <c r="J91" i="26" s="1"/>
  <c r="K91" i="26" s="1"/>
  <c r="L91" i="26" s="1"/>
  <c r="M91" i="26" s="1"/>
  <c r="N91" i="26" s="1"/>
  <c r="O91" i="26" s="1"/>
  <c r="P91" i="26" s="1"/>
  <c r="Q91" i="26" s="1"/>
  <c r="R91" i="26" s="1"/>
  <c r="S91" i="26" s="1"/>
  <c r="T91" i="26" s="1"/>
  <c r="U91" i="26" s="1"/>
  <c r="V91" i="26" s="1"/>
  <c r="W91" i="26" s="1"/>
  <c r="X91" i="26" s="1"/>
  <c r="Y91" i="26" s="1"/>
  <c r="Z91" i="26" s="1"/>
  <c r="AA91" i="26" s="1"/>
  <c r="AB91" i="26" s="1"/>
  <c r="AC91" i="26" s="1"/>
  <c r="AD91" i="26" s="1"/>
  <c r="AE91" i="26" s="1"/>
  <c r="AF91" i="26" s="1"/>
  <c r="D90" i="26"/>
  <c r="E90" i="26" s="1"/>
  <c r="F90" i="26" s="1"/>
  <c r="G90" i="26" s="1"/>
  <c r="H90" i="26" s="1"/>
  <c r="I90" i="26" s="1"/>
  <c r="J90" i="26" s="1"/>
  <c r="K90" i="26" s="1"/>
  <c r="L90" i="26" s="1"/>
  <c r="M90" i="26" s="1"/>
  <c r="N90" i="26" s="1"/>
  <c r="O90" i="26" s="1"/>
  <c r="P90" i="26" s="1"/>
  <c r="Q90" i="26" s="1"/>
  <c r="R90" i="26" s="1"/>
  <c r="S90" i="26" s="1"/>
  <c r="T90" i="26" s="1"/>
  <c r="U90" i="26" s="1"/>
  <c r="V90" i="26" s="1"/>
  <c r="W90" i="26" s="1"/>
  <c r="X90" i="26" s="1"/>
  <c r="Y90" i="26" s="1"/>
  <c r="Z90" i="26" s="1"/>
  <c r="AA90" i="26" s="1"/>
  <c r="AB90" i="26" s="1"/>
  <c r="AC90" i="26" s="1"/>
  <c r="AD90" i="26" s="1"/>
  <c r="AE90" i="26" s="1"/>
  <c r="AF90" i="26" s="1"/>
  <c r="C90" i="26"/>
  <c r="C89" i="26"/>
  <c r="AH87" i="26"/>
  <c r="AI87" i="26" s="1"/>
  <c r="AH86" i="26"/>
  <c r="AI86" i="26" s="1"/>
  <c r="AH85" i="26"/>
  <c r="AI85" i="26" s="1"/>
  <c r="AH84" i="26"/>
  <c r="AI84" i="26" s="1"/>
  <c r="AH83" i="26"/>
  <c r="AI83" i="26" s="1"/>
  <c r="AE80" i="26"/>
  <c r="AD80" i="26"/>
  <c r="AC80" i="26"/>
  <c r="AB80" i="26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B80" i="26"/>
  <c r="AI79" i="26"/>
  <c r="AH79" i="26"/>
  <c r="AI78" i="26"/>
  <c r="AH78" i="26"/>
  <c r="AI77" i="26"/>
  <c r="AH77" i="26"/>
  <c r="AI76" i="26"/>
  <c r="AH76" i="26"/>
  <c r="AI75" i="26"/>
  <c r="AH75" i="26"/>
  <c r="AI74" i="26"/>
  <c r="AH74" i="26"/>
  <c r="AI73" i="26"/>
  <c r="AH73" i="26"/>
  <c r="AI72" i="26"/>
  <c r="AH72" i="26"/>
  <c r="AG71" i="26"/>
  <c r="AI70" i="26"/>
  <c r="AH70" i="26"/>
  <c r="AF69" i="26"/>
  <c r="AE69" i="26"/>
  <c r="AD69" i="26"/>
  <c r="AC69" i="26"/>
  <c r="AB69" i="26"/>
  <c r="AA69" i="26"/>
  <c r="Z69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B69" i="26"/>
  <c r="AF68" i="26"/>
  <c r="AE68" i="26"/>
  <c r="AD68" i="26"/>
  <c r="AC68" i="26"/>
  <c r="AB68" i="26"/>
  <c r="AA68" i="26"/>
  <c r="Z68" i="26"/>
  <c r="Y68" i="26"/>
  <c r="X68" i="26"/>
  <c r="W68" i="26"/>
  <c r="V68" i="26"/>
  <c r="U68" i="26"/>
  <c r="T68" i="26"/>
  <c r="S68" i="26"/>
  <c r="R68" i="26"/>
  <c r="Q68" i="26"/>
  <c r="P68" i="26"/>
  <c r="O68" i="26"/>
  <c r="N68" i="26"/>
  <c r="M68" i="26"/>
  <c r="L68" i="26"/>
  <c r="K68" i="26"/>
  <c r="J68" i="26"/>
  <c r="I68" i="26"/>
  <c r="H68" i="26"/>
  <c r="G68" i="26"/>
  <c r="F68" i="26"/>
  <c r="E68" i="26"/>
  <c r="D68" i="26"/>
  <c r="C68" i="26"/>
  <c r="B68" i="26"/>
  <c r="AF67" i="26"/>
  <c r="AE67" i="26"/>
  <c r="AD67" i="26"/>
  <c r="AC67" i="26"/>
  <c r="AB67" i="26"/>
  <c r="AA67" i="26"/>
  <c r="Z67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AF66" i="26"/>
  <c r="AE66" i="26"/>
  <c r="AD66" i="26"/>
  <c r="AC66" i="26"/>
  <c r="AB66" i="26"/>
  <c r="AA66" i="26"/>
  <c r="Z66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AI64" i="26"/>
  <c r="AH64" i="26"/>
  <c r="AG63" i="26"/>
  <c r="AF63" i="26"/>
  <c r="AE63" i="26"/>
  <c r="AD63" i="26"/>
  <c r="AC63" i="26"/>
  <c r="AB63" i="26"/>
  <c r="AA63" i="26"/>
  <c r="Z63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AH63" i="26" s="1"/>
  <c r="AI62" i="26"/>
  <c r="AH62" i="26"/>
  <c r="AI61" i="26"/>
  <c r="AH61" i="26"/>
  <c r="AI60" i="26"/>
  <c r="AH60" i="26"/>
  <c r="AG59" i="26"/>
  <c r="AF59" i="26"/>
  <c r="AF5" i="26" s="1"/>
  <c r="AE59" i="26"/>
  <c r="AE5" i="26" s="1"/>
  <c r="AD59" i="26"/>
  <c r="AD5" i="26" s="1"/>
  <c r="AC59" i="26"/>
  <c r="AC5" i="26" s="1"/>
  <c r="AB59" i="26"/>
  <c r="AA59" i="26"/>
  <c r="AA5" i="26" s="1"/>
  <c r="Z59" i="26"/>
  <c r="Z5" i="26" s="1"/>
  <c r="Y59" i="26"/>
  <c r="Y5" i="26" s="1"/>
  <c r="X59" i="26"/>
  <c r="X5" i="26" s="1"/>
  <c r="W59" i="26"/>
  <c r="W5" i="26" s="1"/>
  <c r="V59" i="26"/>
  <c r="V5" i="26" s="1"/>
  <c r="U59" i="26"/>
  <c r="U5" i="26" s="1"/>
  <c r="T59" i="26"/>
  <c r="T5" i="26" s="1"/>
  <c r="S59" i="26"/>
  <c r="S5" i="26" s="1"/>
  <c r="R59" i="26"/>
  <c r="R5" i="26" s="1"/>
  <c r="Q59" i="26"/>
  <c r="Q5" i="26" s="1"/>
  <c r="P59" i="26"/>
  <c r="P5" i="26" s="1"/>
  <c r="O59" i="26"/>
  <c r="O5" i="26" s="1"/>
  <c r="N59" i="26"/>
  <c r="N5" i="26" s="1"/>
  <c r="M59" i="26"/>
  <c r="M5" i="26" s="1"/>
  <c r="L59" i="26"/>
  <c r="K59" i="26"/>
  <c r="K5" i="26" s="1"/>
  <c r="J59" i="26"/>
  <c r="J5" i="26" s="1"/>
  <c r="I59" i="26"/>
  <c r="I5" i="26" s="1"/>
  <c r="H59" i="26"/>
  <c r="H5" i="26" s="1"/>
  <c r="G59" i="26"/>
  <c r="G5" i="26" s="1"/>
  <c r="F59" i="26"/>
  <c r="F5" i="26" s="1"/>
  <c r="E59" i="26"/>
  <c r="E5" i="26" s="1"/>
  <c r="D59" i="26"/>
  <c r="D5" i="26" s="1"/>
  <c r="C59" i="26"/>
  <c r="C5" i="26" s="1"/>
  <c r="B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F80" i="26"/>
  <c r="AI48" i="26"/>
  <c r="AH48" i="26"/>
  <c r="AG47" i="26"/>
  <c r="AF47" i="26"/>
  <c r="AE47" i="26"/>
  <c r="AD47" i="26"/>
  <c r="AC47" i="26"/>
  <c r="AB47" i="26"/>
  <c r="AA47" i="26"/>
  <c r="Z47" i="26"/>
  <c r="Y47" i="26"/>
  <c r="X47" i="26"/>
  <c r="W47" i="26"/>
  <c r="V47" i="26"/>
  <c r="U47" i="26"/>
  <c r="T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B47" i="26"/>
  <c r="AI46" i="26"/>
  <c r="AH46" i="26"/>
  <c r="AI45" i="26"/>
  <c r="AH45" i="26"/>
  <c r="AI44" i="26"/>
  <c r="AH44" i="26"/>
  <c r="AG43" i="26"/>
  <c r="AG3" i="26" s="1"/>
  <c r="Z43" i="26"/>
  <c r="AG42" i="26"/>
  <c r="C42" i="26"/>
  <c r="C43" i="26" s="1"/>
  <c r="B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G30" i="26"/>
  <c r="AG2" i="26" s="1"/>
  <c r="AG6" i="26" s="1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B5" i="26"/>
  <c r="L5" i="26"/>
  <c r="AG4" i="26"/>
  <c r="K4" i="26"/>
  <c r="C4" i="26"/>
  <c r="D4" i="26" s="1"/>
  <c r="AF49" i="25"/>
  <c r="T85" i="25"/>
  <c r="T84" i="25"/>
  <c r="S84" i="25"/>
  <c r="AF71" i="26"/>
  <c r="E94" i="26"/>
  <c r="D82" i="26"/>
  <c r="F71" i="26"/>
  <c r="N71" i="26"/>
  <c r="AG65" i="26"/>
  <c r="D173" i="26"/>
  <c r="D179" i="26" s="1"/>
  <c r="D42" i="26" s="1"/>
  <c r="D43" i="26" s="1"/>
  <c r="AD71" i="26"/>
  <c r="S71" i="26"/>
  <c r="AC71" i="26"/>
  <c r="AB71" i="26"/>
  <c r="Y71" i="26"/>
  <c r="Z71" i="26"/>
  <c r="X71" i="26"/>
  <c r="V71" i="26"/>
  <c r="U71" i="26"/>
  <c r="T71" i="26"/>
  <c r="R71" i="26"/>
  <c r="Q71" i="26"/>
  <c r="P71" i="26"/>
  <c r="M71" i="26"/>
  <c r="L71" i="26"/>
  <c r="J71" i="26"/>
  <c r="H71" i="26"/>
  <c r="E71" i="26"/>
  <c r="D71" i="26"/>
  <c r="AH47" i="26"/>
  <c r="I71" i="26"/>
  <c r="C71" i="26"/>
  <c r="K71" i="26"/>
  <c r="AH67" i="26"/>
  <c r="AH69" i="26"/>
  <c r="O71" i="26"/>
  <c r="W71" i="26"/>
  <c r="AE71" i="26"/>
  <c r="AI66" i="26"/>
  <c r="AI69" i="26"/>
  <c r="AH59" i="26"/>
  <c r="AH66" i="26"/>
  <c r="AI67" i="26"/>
  <c r="AI68" i="26"/>
  <c r="AA71" i="26"/>
  <c r="AI47" i="26"/>
  <c r="D65" i="26"/>
  <c r="V193" i="26" s="1"/>
  <c r="C65" i="26"/>
  <c r="C7" i="26" s="1"/>
  <c r="AH30" i="26"/>
  <c r="Z65" i="26"/>
  <c r="AR193" i="26" s="1"/>
  <c r="F94" i="26"/>
  <c r="E82" i="26"/>
  <c r="AH80" i="26"/>
  <c r="AI80" i="26"/>
  <c r="B5" i="26"/>
  <c r="AI30" i="26"/>
  <c r="B43" i="26"/>
  <c r="AH68" i="26"/>
  <c r="B82" i="26"/>
  <c r="C82" i="26"/>
  <c r="AI59" i="26"/>
  <c r="G71" i="26"/>
  <c r="AI63" i="26"/>
  <c r="C171" i="26"/>
  <c r="D89" i="26"/>
  <c r="B71" i="26"/>
  <c r="D214" i="26"/>
  <c r="E178" i="26"/>
  <c r="E173" i="26"/>
  <c r="F173" i="26" s="1"/>
  <c r="Z7" i="26"/>
  <c r="U193" i="26"/>
  <c r="D7" i="26"/>
  <c r="AI71" i="26"/>
  <c r="AH71" i="26"/>
  <c r="G94" i="26"/>
  <c r="F82" i="26"/>
  <c r="E214" i="26"/>
  <c r="F178" i="26"/>
  <c r="B65" i="26"/>
  <c r="D171" i="26"/>
  <c r="E89" i="26"/>
  <c r="E179" i="26"/>
  <c r="E42" i="26" s="1"/>
  <c r="E171" i="26"/>
  <c r="F89" i="26"/>
  <c r="E43" i="26"/>
  <c r="T193" i="26"/>
  <c r="B7" i="26"/>
  <c r="F214" i="26"/>
  <c r="G178" i="26"/>
  <c r="H94" i="26"/>
  <c r="G82" i="26"/>
  <c r="F179" i="26"/>
  <c r="F42" i="26" s="1"/>
  <c r="F43" i="26" s="1"/>
  <c r="F65" i="26" s="1"/>
  <c r="G173" i="26"/>
  <c r="I94" i="26"/>
  <c r="H82" i="26"/>
  <c r="X193" i="26"/>
  <c r="F7" i="26"/>
  <c r="G214" i="26"/>
  <c r="H178" i="26"/>
  <c r="E65" i="26"/>
  <c r="F171" i="26"/>
  <c r="G89" i="26"/>
  <c r="H173" i="26"/>
  <c r="G179" i="26"/>
  <c r="G42" i="26" s="1"/>
  <c r="G43" i="26" s="1"/>
  <c r="G65" i="26" s="1"/>
  <c r="I173" i="26"/>
  <c r="H179" i="26"/>
  <c r="H42" i="26" s="1"/>
  <c r="H214" i="26"/>
  <c r="I178" i="26"/>
  <c r="G171" i="26"/>
  <c r="H89" i="26"/>
  <c r="Y193" i="26"/>
  <c r="G7" i="26"/>
  <c r="W193" i="26"/>
  <c r="E7" i="26"/>
  <c r="I82" i="26"/>
  <c r="J94" i="26"/>
  <c r="H171" i="26"/>
  <c r="I89" i="26"/>
  <c r="J178" i="26"/>
  <c r="I214" i="26"/>
  <c r="H43" i="26"/>
  <c r="K94" i="26"/>
  <c r="J82" i="26"/>
  <c r="I179" i="26"/>
  <c r="I42" i="26" s="1"/>
  <c r="I43" i="26" s="1"/>
  <c r="I65" i="26" s="1"/>
  <c r="J173" i="26"/>
  <c r="H65" i="26"/>
  <c r="K173" i="26"/>
  <c r="J179" i="26"/>
  <c r="J42" i="26" s="1"/>
  <c r="AA193" i="26"/>
  <c r="I7" i="26"/>
  <c r="K178" i="26"/>
  <c r="J214" i="26"/>
  <c r="K82" i="26"/>
  <c r="L94" i="26"/>
  <c r="I171" i="26"/>
  <c r="J89" i="26"/>
  <c r="J171" i="26"/>
  <c r="K89" i="26"/>
  <c r="J43" i="26"/>
  <c r="M94" i="26"/>
  <c r="L82" i="26"/>
  <c r="K179" i="26"/>
  <c r="K42" i="26" s="1"/>
  <c r="K43" i="26" s="1"/>
  <c r="K65" i="26" s="1"/>
  <c r="L173" i="26"/>
  <c r="Z193" i="26"/>
  <c r="H7" i="26"/>
  <c r="K214" i="26"/>
  <c r="L178" i="26"/>
  <c r="N94" i="26"/>
  <c r="M82" i="26"/>
  <c r="AC193" i="26"/>
  <c r="K7" i="26"/>
  <c r="J65" i="26"/>
  <c r="K171" i="26"/>
  <c r="L89" i="26"/>
  <c r="L214" i="26"/>
  <c r="M178" i="26"/>
  <c r="L179" i="26"/>
  <c r="L42" i="26" s="1"/>
  <c r="L43" i="26" s="1"/>
  <c r="L65" i="26" s="1"/>
  <c r="M173" i="26"/>
  <c r="N173" i="26"/>
  <c r="M179" i="26"/>
  <c r="M42" i="26" s="1"/>
  <c r="M43" i="26" s="1"/>
  <c r="AD193" i="26"/>
  <c r="L7" i="26"/>
  <c r="AB193" i="26"/>
  <c r="J7" i="26"/>
  <c r="M214" i="26"/>
  <c r="N178" i="26"/>
  <c r="L171" i="26"/>
  <c r="M89" i="26"/>
  <c r="O94" i="26"/>
  <c r="N82" i="26"/>
  <c r="O82" i="26"/>
  <c r="P94" i="26"/>
  <c r="M171" i="26"/>
  <c r="N89" i="26"/>
  <c r="N214" i="26"/>
  <c r="O178" i="26"/>
  <c r="M65" i="26"/>
  <c r="N179" i="26"/>
  <c r="N42" i="26" s="1"/>
  <c r="N43" i="26" s="1"/>
  <c r="N65" i="26" s="1"/>
  <c r="O173" i="26"/>
  <c r="AE193" i="26"/>
  <c r="M7" i="26"/>
  <c r="C188" i="26"/>
  <c r="B188" i="26"/>
  <c r="O214" i="26"/>
  <c r="P178" i="26"/>
  <c r="N171" i="26"/>
  <c r="O89" i="26"/>
  <c r="P173" i="26"/>
  <c r="O179" i="26"/>
  <c r="O42" i="26" s="1"/>
  <c r="O43" i="26" s="1"/>
  <c r="O65" i="26" s="1"/>
  <c r="AF193" i="26"/>
  <c r="N7" i="26"/>
  <c r="Q94" i="26"/>
  <c r="P82" i="26"/>
  <c r="K6" i="26"/>
  <c r="P214" i="26"/>
  <c r="Q178" i="26"/>
  <c r="Q82" i="26"/>
  <c r="R94" i="26"/>
  <c r="AG193" i="26"/>
  <c r="O7" i="26"/>
  <c r="Q173" i="26"/>
  <c r="P179" i="26"/>
  <c r="P42" i="26" s="1"/>
  <c r="P43" i="26" s="1"/>
  <c r="P65" i="26" s="1"/>
  <c r="O171" i="26"/>
  <c r="P89" i="26"/>
  <c r="AH193" i="26"/>
  <c r="P7" i="26"/>
  <c r="Q179" i="26"/>
  <c r="Q42" i="26" s="1"/>
  <c r="Q43" i="26" s="1"/>
  <c r="Q65" i="26" s="1"/>
  <c r="R173" i="26"/>
  <c r="R82" i="26"/>
  <c r="S94" i="26"/>
  <c r="P171" i="26"/>
  <c r="Q89" i="26"/>
  <c r="R178" i="26"/>
  <c r="Q214" i="26"/>
  <c r="Q171" i="26"/>
  <c r="R89" i="26"/>
  <c r="T94" i="26"/>
  <c r="S82" i="26"/>
  <c r="S173" i="26"/>
  <c r="R179" i="26"/>
  <c r="R42" i="26" s="1"/>
  <c r="R43" i="26" s="1"/>
  <c r="R65" i="26" s="1"/>
  <c r="AI193" i="26"/>
  <c r="Q7" i="26"/>
  <c r="S178" i="26"/>
  <c r="R214" i="26"/>
  <c r="AJ193" i="26"/>
  <c r="R7" i="26"/>
  <c r="S179" i="26"/>
  <c r="S42" i="26" s="1"/>
  <c r="S43" i="26" s="1"/>
  <c r="S65" i="26" s="1"/>
  <c r="T173" i="26"/>
  <c r="U94" i="26"/>
  <c r="T82" i="26"/>
  <c r="R171" i="26"/>
  <c r="S89" i="26"/>
  <c r="S214" i="26"/>
  <c r="T178" i="26"/>
  <c r="S171" i="26"/>
  <c r="T89" i="26"/>
  <c r="V94" i="26"/>
  <c r="U82" i="26"/>
  <c r="T179" i="26"/>
  <c r="T42" i="26" s="1"/>
  <c r="T43" i="26" s="1"/>
  <c r="T65" i="26" s="1"/>
  <c r="U173" i="26"/>
  <c r="AK193" i="26"/>
  <c r="S7" i="26"/>
  <c r="T214" i="26"/>
  <c r="U178" i="26"/>
  <c r="V173" i="26"/>
  <c r="U179" i="26"/>
  <c r="U42" i="26" s="1"/>
  <c r="U43" i="26" s="1"/>
  <c r="U65" i="26" s="1"/>
  <c r="AL193" i="26"/>
  <c r="T7" i="26"/>
  <c r="W94" i="26"/>
  <c r="V82" i="26"/>
  <c r="U214" i="26"/>
  <c r="V178" i="26"/>
  <c r="T171" i="26"/>
  <c r="U89" i="26"/>
  <c r="V214" i="26"/>
  <c r="W178" i="26"/>
  <c r="W82" i="26"/>
  <c r="X94" i="26"/>
  <c r="U171" i="26"/>
  <c r="V89" i="26"/>
  <c r="AM193" i="26"/>
  <c r="U7" i="26"/>
  <c r="V179" i="26"/>
  <c r="V42" i="26" s="1"/>
  <c r="V43" i="26" s="1"/>
  <c r="V65" i="26" s="1"/>
  <c r="W173" i="26"/>
  <c r="V171" i="26"/>
  <c r="W89" i="26"/>
  <c r="Y94" i="26"/>
  <c r="X82" i="26"/>
  <c r="X173" i="26"/>
  <c r="W179" i="26"/>
  <c r="W42" i="26" s="1"/>
  <c r="W43" i="26" s="1"/>
  <c r="W65" i="26" s="1"/>
  <c r="W214" i="26"/>
  <c r="X178" i="26"/>
  <c r="AN193" i="26"/>
  <c r="V7" i="26"/>
  <c r="X214" i="26"/>
  <c r="Y178" i="26"/>
  <c r="AO193" i="26"/>
  <c r="W7" i="26"/>
  <c r="Y173" i="26"/>
  <c r="X179" i="26"/>
  <c r="X42" i="26" s="1"/>
  <c r="X43" i="26" s="1"/>
  <c r="X65" i="26" s="1"/>
  <c r="Z94" i="26"/>
  <c r="Y82" i="26"/>
  <c r="W171" i="26"/>
  <c r="X89" i="26"/>
  <c r="Z82" i="26"/>
  <c r="AA94" i="26"/>
  <c r="AP193" i="26"/>
  <c r="X7" i="26"/>
  <c r="Y179" i="26"/>
  <c r="Y42" i="26" s="1"/>
  <c r="Y43" i="26" s="1"/>
  <c r="Y65" i="26" s="1"/>
  <c r="Z173" i="26"/>
  <c r="X171" i="26"/>
  <c r="Y89" i="26"/>
  <c r="Z178" i="26"/>
  <c r="Y214" i="26"/>
  <c r="Y171" i="26"/>
  <c r="Z89" i="26"/>
  <c r="AA173" i="26"/>
  <c r="Z179" i="26"/>
  <c r="AQ193" i="26"/>
  <c r="Y7" i="26"/>
  <c r="AB94" i="26"/>
  <c r="AA82" i="26"/>
  <c r="AA178" i="26"/>
  <c r="Z214" i="26"/>
  <c r="AB82" i="26"/>
  <c r="AC94" i="26"/>
  <c r="AA179" i="26"/>
  <c r="AA42" i="26" s="1"/>
  <c r="AA43" i="26" s="1"/>
  <c r="AA65" i="26" s="1"/>
  <c r="AB173" i="26"/>
  <c r="Z171" i="26"/>
  <c r="AA89" i="26"/>
  <c r="AA214" i="26"/>
  <c r="AB178" i="26"/>
  <c r="AB214" i="26"/>
  <c r="AC178" i="26"/>
  <c r="AA171" i="26"/>
  <c r="AB89" i="26"/>
  <c r="AB179" i="26"/>
  <c r="AB42" i="26" s="1"/>
  <c r="AB43" i="26" s="1"/>
  <c r="AB65" i="26" s="1"/>
  <c r="AC173" i="26"/>
  <c r="AS193" i="26"/>
  <c r="AA7" i="26"/>
  <c r="AD94" i="26"/>
  <c r="AC82" i="26"/>
  <c r="AD173" i="26"/>
  <c r="AC179" i="26"/>
  <c r="AC42" i="26" s="1"/>
  <c r="AC43" i="26" s="1"/>
  <c r="AC65" i="26" s="1"/>
  <c r="AT193" i="26"/>
  <c r="AB7" i="26"/>
  <c r="AB171" i="26"/>
  <c r="AC89" i="26"/>
  <c r="AC214" i="26"/>
  <c r="AD178" i="26"/>
  <c r="AE94" i="26"/>
  <c r="AD82" i="26"/>
  <c r="AD214" i="26"/>
  <c r="AE178" i="26"/>
  <c r="AC171" i="26"/>
  <c r="AD89" i="26"/>
  <c r="AU193" i="26"/>
  <c r="AC7" i="26"/>
  <c r="AE82" i="26"/>
  <c r="AF94" i="26"/>
  <c r="AF82" i="26" s="1"/>
  <c r="AD179" i="26"/>
  <c r="AD42" i="26" s="1"/>
  <c r="AD43" i="26" s="1"/>
  <c r="AD65" i="26" s="1"/>
  <c r="AE173" i="26"/>
  <c r="AI82" i="26"/>
  <c r="AH82" i="26"/>
  <c r="AD171" i="26"/>
  <c r="AE89" i="26"/>
  <c r="AF173" i="26"/>
  <c r="AE179" i="26"/>
  <c r="AE42" i="26" s="1"/>
  <c r="AE43" i="26" s="1"/>
  <c r="AE65" i="26" s="1"/>
  <c r="AE214" i="26"/>
  <c r="AF178" i="26"/>
  <c r="AF214" i="26" s="1"/>
  <c r="AV193" i="26"/>
  <c r="AD7" i="26"/>
  <c r="AW193" i="26"/>
  <c r="AE7" i="26"/>
  <c r="AF179" i="26"/>
  <c r="AF42" i="26" s="1"/>
  <c r="AE171" i="26"/>
  <c r="AF89" i="26"/>
  <c r="AF171" i="26" s="1"/>
  <c r="AF43" i="26"/>
  <c r="AH42" i="26"/>
  <c r="AI42" i="26"/>
  <c r="AF65" i="26"/>
  <c r="AI43" i="26"/>
  <c r="AH43" i="26"/>
  <c r="AX193" i="26"/>
  <c r="AF7" i="26"/>
  <c r="A7" i="26" s="1"/>
  <c r="AI65" i="26"/>
  <c r="AH65" i="26"/>
  <c r="AH87" i="25"/>
  <c r="AI87" i="25" s="1"/>
  <c r="C84" i="25"/>
  <c r="B84" i="25"/>
  <c r="B82" i="25"/>
  <c r="B80" i="25"/>
  <c r="B69" i="25"/>
  <c r="B68" i="25"/>
  <c r="B67" i="25"/>
  <c r="B66" i="25"/>
  <c r="B63" i="25"/>
  <c r="B59" i="25"/>
  <c r="B47" i="25"/>
  <c r="B42" i="25"/>
  <c r="B43" i="25" s="1"/>
  <c r="B30" i="25"/>
  <c r="AF218" i="25"/>
  <c r="AE218" i="25"/>
  <c r="AD218" i="25"/>
  <c r="AC218" i="25"/>
  <c r="AB218" i="25"/>
  <c r="AA218" i="25"/>
  <c r="Z218" i="25"/>
  <c r="Y218" i="25"/>
  <c r="X218" i="25"/>
  <c r="W218" i="25"/>
  <c r="V218" i="25"/>
  <c r="U218" i="25"/>
  <c r="T218" i="25"/>
  <c r="S218" i="25"/>
  <c r="R218" i="25"/>
  <c r="Q218" i="25"/>
  <c r="P218" i="25"/>
  <c r="O218" i="25"/>
  <c r="N218" i="25"/>
  <c r="M218" i="25"/>
  <c r="L218" i="25"/>
  <c r="K218" i="25"/>
  <c r="J218" i="25"/>
  <c r="I218" i="25"/>
  <c r="H218" i="25"/>
  <c r="G218" i="25"/>
  <c r="F218" i="25"/>
  <c r="E218" i="25"/>
  <c r="D218" i="25"/>
  <c r="C218" i="25"/>
  <c r="B218" i="25"/>
  <c r="A218" i="25"/>
  <c r="AF217" i="25"/>
  <c r="AE217" i="25"/>
  <c r="AD217" i="25"/>
  <c r="AC217" i="25"/>
  <c r="AB217" i="25"/>
  <c r="AA217" i="25"/>
  <c r="Z217" i="25"/>
  <c r="Y217" i="25"/>
  <c r="X217" i="25"/>
  <c r="W217" i="25"/>
  <c r="V217" i="25"/>
  <c r="U217" i="25"/>
  <c r="T217" i="25"/>
  <c r="S217" i="25"/>
  <c r="R217" i="25"/>
  <c r="Q217" i="25"/>
  <c r="P217" i="25"/>
  <c r="O217" i="25"/>
  <c r="N217" i="25"/>
  <c r="M217" i="25"/>
  <c r="L217" i="25"/>
  <c r="K217" i="25"/>
  <c r="J217" i="25"/>
  <c r="I217" i="25"/>
  <c r="H217" i="25"/>
  <c r="G217" i="25"/>
  <c r="F217" i="25"/>
  <c r="E217" i="25"/>
  <c r="D217" i="25"/>
  <c r="C217" i="25"/>
  <c r="B217" i="25"/>
  <c r="A217" i="25"/>
  <c r="AF216" i="25"/>
  <c r="AE216" i="25"/>
  <c r="AD216" i="25"/>
  <c r="AC216" i="25"/>
  <c r="AB216" i="25"/>
  <c r="AA216" i="25"/>
  <c r="Z216" i="25"/>
  <c r="Y216" i="25"/>
  <c r="X216" i="25"/>
  <c r="W216" i="25"/>
  <c r="V216" i="25"/>
  <c r="U216" i="25"/>
  <c r="T216" i="25"/>
  <c r="S216" i="25"/>
  <c r="R216" i="25"/>
  <c r="Q216" i="25"/>
  <c r="P216" i="25"/>
  <c r="O216" i="25"/>
  <c r="N216" i="25"/>
  <c r="M216" i="25"/>
  <c r="L216" i="25"/>
  <c r="K216" i="25"/>
  <c r="J216" i="25"/>
  <c r="I216" i="25"/>
  <c r="H216" i="25"/>
  <c r="G216" i="25"/>
  <c r="F216" i="25"/>
  <c r="E216" i="25"/>
  <c r="D216" i="25"/>
  <c r="C216" i="25"/>
  <c r="B216" i="25"/>
  <c r="A216" i="25"/>
  <c r="AF215" i="25"/>
  <c r="AE215" i="25"/>
  <c r="AD215" i="25"/>
  <c r="AC215" i="25"/>
  <c r="AB215" i="25"/>
  <c r="AA215" i="25"/>
  <c r="Z215" i="25"/>
  <c r="Y215" i="25"/>
  <c r="X215" i="25"/>
  <c r="W215" i="25"/>
  <c r="V215" i="25"/>
  <c r="U215" i="25"/>
  <c r="T215" i="25"/>
  <c r="S215" i="25"/>
  <c r="R215" i="25"/>
  <c r="Q215" i="25"/>
  <c r="P215" i="25"/>
  <c r="O215" i="25"/>
  <c r="N215" i="25"/>
  <c r="M215" i="25"/>
  <c r="L215" i="25"/>
  <c r="K215" i="25"/>
  <c r="J215" i="25"/>
  <c r="I215" i="25"/>
  <c r="H215" i="25"/>
  <c r="G215" i="25"/>
  <c r="F215" i="25"/>
  <c r="E215" i="25"/>
  <c r="D215" i="25"/>
  <c r="C215" i="25"/>
  <c r="B215" i="25"/>
  <c r="A215" i="25"/>
  <c r="C214" i="25"/>
  <c r="B214" i="25"/>
  <c r="S189" i="25"/>
  <c r="AG179" i="25"/>
  <c r="B179" i="25"/>
  <c r="D178" i="25"/>
  <c r="C178" i="25"/>
  <c r="D177" i="25"/>
  <c r="E177" i="25" s="1"/>
  <c r="F177" i="25" s="1"/>
  <c r="G177" i="25" s="1"/>
  <c r="H177" i="25" s="1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Y177" i="25" s="1"/>
  <c r="Z177" i="25" s="1"/>
  <c r="AA177" i="25" s="1"/>
  <c r="AB177" i="25" s="1"/>
  <c r="AC177" i="25" s="1"/>
  <c r="AD177" i="25" s="1"/>
  <c r="AE177" i="25" s="1"/>
  <c r="AF177" i="25" s="1"/>
  <c r="C177" i="25"/>
  <c r="D176" i="25"/>
  <c r="E176" i="25" s="1"/>
  <c r="F176" i="25" s="1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C176" i="25"/>
  <c r="P175" i="25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C175" i="25"/>
  <c r="D175" i="25" s="1"/>
  <c r="E175" i="25" s="1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D174" i="25"/>
  <c r="E174" i="25" s="1"/>
  <c r="F174" i="25" s="1"/>
  <c r="G174" i="25" s="1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C174" i="25"/>
  <c r="D173" i="25"/>
  <c r="C173" i="25"/>
  <c r="C179" i="25" s="1"/>
  <c r="AG171" i="25"/>
  <c r="B171" i="25"/>
  <c r="C170" i="25"/>
  <c r="D170" i="25" s="1"/>
  <c r="E170" i="25" s="1"/>
  <c r="F170" i="25" s="1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F169" i="25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C169" i="25"/>
  <c r="D169" i="25" s="1"/>
  <c r="E169" i="25" s="1"/>
  <c r="AD168" i="25"/>
  <c r="AE168" i="25" s="1"/>
  <c r="AF168" i="25" s="1"/>
  <c r="F168" i="25"/>
  <c r="G168" i="25" s="1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D168" i="25"/>
  <c r="E168" i="25" s="1"/>
  <c r="C168" i="25"/>
  <c r="D167" i="25"/>
  <c r="E167" i="25" s="1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C167" i="25"/>
  <c r="R166" i="25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F166" i="25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C166" i="25"/>
  <c r="D166" i="25" s="1"/>
  <c r="E166" i="25" s="1"/>
  <c r="D165" i="25"/>
  <c r="E165" i="25" s="1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C165" i="25"/>
  <c r="W164" i="25"/>
  <c r="X164" i="25" s="1"/>
  <c r="Y164" i="25" s="1"/>
  <c r="Z164" i="25" s="1"/>
  <c r="AA164" i="25" s="1"/>
  <c r="AB164" i="25" s="1"/>
  <c r="AC164" i="25" s="1"/>
  <c r="AD164" i="25" s="1"/>
  <c r="AE164" i="25" s="1"/>
  <c r="AF164" i="25" s="1"/>
  <c r="N164" i="25"/>
  <c r="O164" i="25" s="1"/>
  <c r="P164" i="25" s="1"/>
  <c r="Q164" i="25" s="1"/>
  <c r="R164" i="25" s="1"/>
  <c r="S164" i="25" s="1"/>
  <c r="T164" i="25" s="1"/>
  <c r="U164" i="25" s="1"/>
  <c r="V164" i="25" s="1"/>
  <c r="D164" i="25"/>
  <c r="E164" i="25" s="1"/>
  <c r="F164" i="25" s="1"/>
  <c r="G164" i="25" s="1"/>
  <c r="H164" i="25" s="1"/>
  <c r="I164" i="25" s="1"/>
  <c r="J164" i="25" s="1"/>
  <c r="K164" i="25" s="1"/>
  <c r="L164" i="25" s="1"/>
  <c r="M164" i="25" s="1"/>
  <c r="C164" i="25"/>
  <c r="G163" i="25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E163" i="25"/>
  <c r="F163" i="25" s="1"/>
  <c r="D163" i="25"/>
  <c r="C163" i="25"/>
  <c r="D162" i="25"/>
  <c r="E162" i="25" s="1"/>
  <c r="F162" i="25" s="1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C162" i="25"/>
  <c r="D161" i="25"/>
  <c r="E161" i="25" s="1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C161" i="25"/>
  <c r="D160" i="25"/>
  <c r="E160" i="25" s="1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C160" i="25"/>
  <c r="AD159" i="25"/>
  <c r="AE159" i="25" s="1"/>
  <c r="AF159" i="25" s="1"/>
  <c r="D159" i="25"/>
  <c r="E159" i="25" s="1"/>
  <c r="F159" i="25" s="1"/>
  <c r="G159" i="25" s="1"/>
  <c r="H159" i="25" s="1"/>
  <c r="I159" i="25" s="1"/>
  <c r="J159" i="25" s="1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C159" i="25"/>
  <c r="D158" i="25"/>
  <c r="E158" i="25" s="1"/>
  <c r="F158" i="25" s="1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C158" i="25"/>
  <c r="AA157" i="25"/>
  <c r="AB157" i="25" s="1"/>
  <c r="AC157" i="25" s="1"/>
  <c r="AD157" i="25" s="1"/>
  <c r="AE157" i="25" s="1"/>
  <c r="AF157" i="25" s="1"/>
  <c r="D157" i="25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C157" i="25"/>
  <c r="I156" i="25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E156" i="25"/>
  <c r="F156" i="25" s="1"/>
  <c r="G156" i="25" s="1"/>
  <c r="H156" i="25" s="1"/>
  <c r="C156" i="25"/>
  <c r="D156" i="25" s="1"/>
  <c r="D155" i="25"/>
  <c r="E155" i="25" s="1"/>
  <c r="F155" i="25" s="1"/>
  <c r="G155" i="25" s="1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C155" i="25"/>
  <c r="C154" i="25"/>
  <c r="D154" i="25" s="1"/>
  <c r="E154" i="25" s="1"/>
  <c r="F154" i="25" s="1"/>
  <c r="G154" i="25" s="1"/>
  <c r="H154" i="25" s="1"/>
  <c r="I154" i="25" s="1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C153" i="25"/>
  <c r="D153" i="25" s="1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E152" i="25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C152" i="25"/>
  <c r="D152" i="25" s="1"/>
  <c r="C151" i="25"/>
  <c r="D151" i="25" s="1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C150" i="25"/>
  <c r="D150" i="25" s="1"/>
  <c r="E150" i="25" s="1"/>
  <c r="F150" i="25" s="1"/>
  <c r="G150" i="25" s="1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X150" i="25" s="1"/>
  <c r="Y150" i="25" s="1"/>
  <c r="Z150" i="25" s="1"/>
  <c r="AA150" i="25" s="1"/>
  <c r="AB150" i="25" s="1"/>
  <c r="AC150" i="25" s="1"/>
  <c r="AD150" i="25" s="1"/>
  <c r="AE150" i="25" s="1"/>
  <c r="AF150" i="25" s="1"/>
  <c r="AF149" i="25"/>
  <c r="C149" i="25"/>
  <c r="D149" i="25" s="1"/>
  <c r="E149" i="25" s="1"/>
  <c r="F149" i="25" s="1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O148" i="25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E148" i="25"/>
  <c r="F148" i="25" s="1"/>
  <c r="G148" i="25" s="1"/>
  <c r="H148" i="25" s="1"/>
  <c r="I148" i="25" s="1"/>
  <c r="J148" i="25" s="1"/>
  <c r="K148" i="25" s="1"/>
  <c r="L148" i="25" s="1"/>
  <c r="M148" i="25" s="1"/>
  <c r="N148" i="25" s="1"/>
  <c r="C148" i="25"/>
  <c r="D148" i="25" s="1"/>
  <c r="E147" i="25"/>
  <c r="F147" i="25" s="1"/>
  <c r="G147" i="25" s="1"/>
  <c r="H147" i="25" s="1"/>
  <c r="I147" i="25" s="1"/>
  <c r="J147" i="25" s="1"/>
  <c r="K147" i="25" s="1"/>
  <c r="L147" i="25" s="1"/>
  <c r="M147" i="25" s="1"/>
  <c r="N147" i="25" s="1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C147" i="25"/>
  <c r="D147" i="25" s="1"/>
  <c r="C146" i="25"/>
  <c r="D146" i="25" s="1"/>
  <c r="E146" i="25" s="1"/>
  <c r="F146" i="25" s="1"/>
  <c r="G146" i="25" s="1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C145" i="25"/>
  <c r="D145" i="25" s="1"/>
  <c r="E145" i="25" s="1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J144" i="25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E144" i="25"/>
  <c r="F144" i="25" s="1"/>
  <c r="G144" i="25" s="1"/>
  <c r="H144" i="25" s="1"/>
  <c r="I144" i="25" s="1"/>
  <c r="C144" i="25"/>
  <c r="D144" i="25" s="1"/>
  <c r="D143" i="25"/>
  <c r="E143" i="25" s="1"/>
  <c r="F143" i="25" s="1"/>
  <c r="G143" i="25" s="1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C143" i="25"/>
  <c r="S142" i="25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C142" i="25"/>
  <c r="D142" i="25" s="1"/>
  <c r="E142" i="25" s="1"/>
  <c r="F142" i="25" s="1"/>
  <c r="G142" i="25" s="1"/>
  <c r="H142" i="25" s="1"/>
  <c r="I142" i="25" s="1"/>
  <c r="J142" i="25" s="1"/>
  <c r="K142" i="25" s="1"/>
  <c r="L142" i="25" s="1"/>
  <c r="M142" i="25" s="1"/>
  <c r="N142" i="25" s="1"/>
  <c r="O142" i="25" s="1"/>
  <c r="P142" i="25" s="1"/>
  <c r="Q142" i="25" s="1"/>
  <c r="R142" i="25" s="1"/>
  <c r="C141" i="25"/>
  <c r="D141" i="25" s="1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C140" i="25"/>
  <c r="D140" i="25" s="1"/>
  <c r="E140" i="25" s="1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C139" i="25"/>
  <c r="D139" i="25" s="1"/>
  <c r="E139" i="25" s="1"/>
  <c r="F139" i="25" s="1"/>
  <c r="G139" i="25" s="1"/>
  <c r="H139" i="25" s="1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G138" i="25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C138" i="25"/>
  <c r="D138" i="25" s="1"/>
  <c r="E138" i="25" s="1"/>
  <c r="F138" i="25" s="1"/>
  <c r="E137" i="25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D137" i="25"/>
  <c r="C137" i="25"/>
  <c r="AE136" i="25"/>
  <c r="AF136" i="25" s="1"/>
  <c r="F136" i="25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E136" i="25"/>
  <c r="D136" i="25"/>
  <c r="C136" i="25"/>
  <c r="E135" i="25"/>
  <c r="F135" i="25" s="1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D135" i="25"/>
  <c r="C135" i="25"/>
  <c r="O134" i="25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C134" i="25"/>
  <c r="D134" i="25" s="1"/>
  <c r="E134" i="25" s="1"/>
  <c r="F134" i="25" s="1"/>
  <c r="G134" i="25" s="1"/>
  <c r="H134" i="25" s="1"/>
  <c r="I134" i="25" s="1"/>
  <c r="J134" i="25" s="1"/>
  <c r="K134" i="25" s="1"/>
  <c r="L134" i="25" s="1"/>
  <c r="M134" i="25" s="1"/>
  <c r="N134" i="25" s="1"/>
  <c r="E133" i="25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D133" i="25"/>
  <c r="C133" i="25"/>
  <c r="C132" i="25"/>
  <c r="D132" i="25" s="1"/>
  <c r="E132" i="25" s="1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AC131" i="25"/>
  <c r="AD131" i="25" s="1"/>
  <c r="AE131" i="25" s="1"/>
  <c r="AF131" i="25" s="1"/>
  <c r="I131" i="25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E131" i="25"/>
  <c r="F131" i="25" s="1"/>
  <c r="G131" i="25" s="1"/>
  <c r="H131" i="25" s="1"/>
  <c r="C131" i="25"/>
  <c r="D131" i="25" s="1"/>
  <c r="D130" i="25"/>
  <c r="E130" i="25" s="1"/>
  <c r="F130" i="25" s="1"/>
  <c r="G130" i="25" s="1"/>
  <c r="H130" i="25" s="1"/>
  <c r="I130" i="25" s="1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C130" i="25"/>
  <c r="I129" i="25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D129" i="25"/>
  <c r="E129" i="25" s="1"/>
  <c r="F129" i="25" s="1"/>
  <c r="G129" i="25" s="1"/>
  <c r="H129" i="25" s="1"/>
  <c r="C129" i="25"/>
  <c r="AC128" i="25"/>
  <c r="AD128" i="25" s="1"/>
  <c r="AE128" i="25" s="1"/>
  <c r="AF128" i="25" s="1"/>
  <c r="K128" i="25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D128" i="25"/>
  <c r="E128" i="25" s="1"/>
  <c r="F128" i="25" s="1"/>
  <c r="G128" i="25" s="1"/>
  <c r="H128" i="25" s="1"/>
  <c r="I128" i="25" s="1"/>
  <c r="J128" i="25" s="1"/>
  <c r="C128" i="25"/>
  <c r="D127" i="25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C127" i="25"/>
  <c r="C126" i="25"/>
  <c r="D126" i="25" s="1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J125" i="25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H125" i="25"/>
  <c r="I125" i="25" s="1"/>
  <c r="D125" i="25"/>
  <c r="E125" i="25" s="1"/>
  <c r="F125" i="25" s="1"/>
  <c r="G125" i="25" s="1"/>
  <c r="C125" i="25"/>
  <c r="C124" i="25"/>
  <c r="D124" i="25" s="1"/>
  <c r="E124" i="25" s="1"/>
  <c r="F124" i="25" s="1"/>
  <c r="G124" i="25" s="1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E123" i="25"/>
  <c r="F123" i="25" s="1"/>
  <c r="G123" i="25" s="1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C123" i="25"/>
  <c r="D123" i="25" s="1"/>
  <c r="L122" i="25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C122" i="25"/>
  <c r="D122" i="25" s="1"/>
  <c r="E122" i="25" s="1"/>
  <c r="F122" i="25" s="1"/>
  <c r="G122" i="25" s="1"/>
  <c r="H122" i="25" s="1"/>
  <c r="I122" i="25" s="1"/>
  <c r="J122" i="25" s="1"/>
  <c r="K122" i="25" s="1"/>
  <c r="F121" i="25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C121" i="25"/>
  <c r="D121" i="25" s="1"/>
  <c r="E121" i="25" s="1"/>
  <c r="H120" i="25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D120" i="25"/>
  <c r="E120" i="25" s="1"/>
  <c r="F120" i="25" s="1"/>
  <c r="G120" i="25" s="1"/>
  <c r="C120" i="25"/>
  <c r="G119" i="25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E119" i="25"/>
  <c r="F119" i="25" s="1"/>
  <c r="C119" i="25"/>
  <c r="D119" i="25" s="1"/>
  <c r="H118" i="25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C118" i="25"/>
  <c r="D118" i="25" s="1"/>
  <c r="E118" i="25" s="1"/>
  <c r="F118" i="25" s="1"/>
  <c r="G118" i="25" s="1"/>
  <c r="P117" i="25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C117" i="25"/>
  <c r="D117" i="25" s="1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D116" i="25"/>
  <c r="E116" i="25" s="1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C116" i="25"/>
  <c r="E115" i="25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C115" i="25"/>
  <c r="D115" i="25" s="1"/>
  <c r="C114" i="25"/>
  <c r="D114" i="25" s="1"/>
  <c r="E114" i="25" s="1"/>
  <c r="F114" i="25" s="1"/>
  <c r="G114" i="25" s="1"/>
  <c r="H114" i="25" s="1"/>
  <c r="I114" i="25" s="1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C113" i="25"/>
  <c r="D113" i="25" s="1"/>
  <c r="E113" i="25" s="1"/>
  <c r="F113" i="25" s="1"/>
  <c r="G113" i="25" s="1"/>
  <c r="H113" i="25" s="1"/>
  <c r="I113" i="25" s="1"/>
  <c r="J113" i="25" s="1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E112" i="25"/>
  <c r="F112" i="25" s="1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C112" i="25"/>
  <c r="D112" i="25" s="1"/>
  <c r="E111" i="25"/>
  <c r="F111" i="25" s="1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C111" i="25"/>
  <c r="D111" i="25" s="1"/>
  <c r="C110" i="25"/>
  <c r="D110" i="25" s="1"/>
  <c r="E110" i="25" s="1"/>
  <c r="F110" i="25" s="1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E109" i="25"/>
  <c r="F109" i="25" s="1"/>
  <c r="G109" i="25" s="1"/>
  <c r="H109" i="25" s="1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C109" i="25"/>
  <c r="D109" i="25" s="1"/>
  <c r="Q108" i="25"/>
  <c r="R108" i="25" s="1"/>
  <c r="S108" i="25" s="1"/>
  <c r="T108" i="25" s="1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E108" i="25"/>
  <c r="F108" i="25" s="1"/>
  <c r="G108" i="25" s="1"/>
  <c r="H108" i="25" s="1"/>
  <c r="I108" i="25" s="1"/>
  <c r="J108" i="25" s="1"/>
  <c r="K108" i="25" s="1"/>
  <c r="L108" i="25" s="1"/>
  <c r="M108" i="25" s="1"/>
  <c r="N108" i="25" s="1"/>
  <c r="O108" i="25" s="1"/>
  <c r="P108" i="25" s="1"/>
  <c r="C108" i="25"/>
  <c r="D108" i="25" s="1"/>
  <c r="C107" i="25"/>
  <c r="D107" i="25" s="1"/>
  <c r="E107" i="25" s="1"/>
  <c r="F107" i="25" s="1"/>
  <c r="G107" i="25" s="1"/>
  <c r="H107" i="25" s="1"/>
  <c r="I107" i="25" s="1"/>
  <c r="J107" i="25" s="1"/>
  <c r="K107" i="25" s="1"/>
  <c r="L107" i="25" s="1"/>
  <c r="M107" i="25" s="1"/>
  <c r="N107" i="25" s="1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E106" i="25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D106" i="25"/>
  <c r="C106" i="25"/>
  <c r="C105" i="25"/>
  <c r="D105" i="25" s="1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C104" i="25"/>
  <c r="D104" i="25" s="1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F103" i="25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E103" i="25"/>
  <c r="C103" i="25"/>
  <c r="D103" i="25" s="1"/>
  <c r="C102" i="25"/>
  <c r="D102" i="25" s="1"/>
  <c r="E102" i="25" s="1"/>
  <c r="F102" i="25" s="1"/>
  <c r="G102" i="25" s="1"/>
  <c r="H102" i="25" s="1"/>
  <c r="I102" i="25" s="1"/>
  <c r="J102" i="25" s="1"/>
  <c r="K102" i="25" s="1"/>
  <c r="L102" i="25" s="1"/>
  <c r="M102" i="25" s="1"/>
  <c r="N102" i="25" s="1"/>
  <c r="O102" i="25" s="1"/>
  <c r="P102" i="25" s="1"/>
  <c r="Q102" i="25" s="1"/>
  <c r="R102" i="25" s="1"/>
  <c r="S102" i="25" s="1"/>
  <c r="T102" i="25" s="1"/>
  <c r="U102" i="25" s="1"/>
  <c r="V102" i="25" s="1"/>
  <c r="W102" i="25" s="1"/>
  <c r="X102" i="25" s="1"/>
  <c r="Y102" i="25" s="1"/>
  <c r="Z102" i="25" s="1"/>
  <c r="AA102" i="25" s="1"/>
  <c r="AB102" i="25" s="1"/>
  <c r="AC102" i="25" s="1"/>
  <c r="AD102" i="25" s="1"/>
  <c r="AE102" i="25" s="1"/>
  <c r="AF102" i="25" s="1"/>
  <c r="G101" i="25"/>
  <c r="H101" i="25" s="1"/>
  <c r="I101" i="25" s="1"/>
  <c r="J101" i="25" s="1"/>
  <c r="K101" i="25" s="1"/>
  <c r="L101" i="25" s="1"/>
  <c r="M101" i="25" s="1"/>
  <c r="N101" i="25" s="1"/>
  <c r="O101" i="25" s="1"/>
  <c r="P101" i="25" s="1"/>
  <c r="Q101" i="25" s="1"/>
  <c r="R101" i="25" s="1"/>
  <c r="S101" i="25" s="1"/>
  <c r="T101" i="25" s="1"/>
  <c r="U101" i="25" s="1"/>
  <c r="V101" i="25" s="1"/>
  <c r="W101" i="25" s="1"/>
  <c r="X101" i="25" s="1"/>
  <c r="Y101" i="25" s="1"/>
  <c r="Z101" i="25" s="1"/>
  <c r="AA101" i="25" s="1"/>
  <c r="AB101" i="25" s="1"/>
  <c r="AC101" i="25" s="1"/>
  <c r="AD101" i="25" s="1"/>
  <c r="AE101" i="25" s="1"/>
  <c r="AF101" i="25" s="1"/>
  <c r="C101" i="25"/>
  <c r="D101" i="25" s="1"/>
  <c r="E101" i="25" s="1"/>
  <c r="F101" i="25" s="1"/>
  <c r="D100" i="25"/>
  <c r="E100" i="25" s="1"/>
  <c r="F100" i="25" s="1"/>
  <c r="G100" i="25" s="1"/>
  <c r="H100" i="25" s="1"/>
  <c r="I100" i="25" s="1"/>
  <c r="J100" i="25" s="1"/>
  <c r="K100" i="25" s="1"/>
  <c r="L100" i="25" s="1"/>
  <c r="M100" i="25" s="1"/>
  <c r="N100" i="25" s="1"/>
  <c r="O100" i="25" s="1"/>
  <c r="P100" i="25" s="1"/>
  <c r="Q100" i="25" s="1"/>
  <c r="R100" i="25" s="1"/>
  <c r="S100" i="25" s="1"/>
  <c r="T100" i="25" s="1"/>
  <c r="U100" i="25" s="1"/>
  <c r="V100" i="25" s="1"/>
  <c r="W100" i="25" s="1"/>
  <c r="X100" i="25" s="1"/>
  <c r="Y100" i="25" s="1"/>
  <c r="Z100" i="25" s="1"/>
  <c r="AA100" i="25" s="1"/>
  <c r="AB100" i="25" s="1"/>
  <c r="AC100" i="25" s="1"/>
  <c r="AD100" i="25" s="1"/>
  <c r="AE100" i="25" s="1"/>
  <c r="AF100" i="25" s="1"/>
  <c r="C100" i="25"/>
  <c r="J99" i="25"/>
  <c r="K99" i="25" s="1"/>
  <c r="L99" i="25" s="1"/>
  <c r="M99" i="25" s="1"/>
  <c r="N99" i="25" s="1"/>
  <c r="O99" i="25" s="1"/>
  <c r="P99" i="25" s="1"/>
  <c r="Q99" i="25" s="1"/>
  <c r="R99" i="25" s="1"/>
  <c r="S99" i="25" s="1"/>
  <c r="T99" i="25" s="1"/>
  <c r="U99" i="25" s="1"/>
  <c r="V99" i="25" s="1"/>
  <c r="W99" i="25" s="1"/>
  <c r="X99" i="25" s="1"/>
  <c r="Y99" i="25" s="1"/>
  <c r="Z99" i="25" s="1"/>
  <c r="AA99" i="25" s="1"/>
  <c r="AB99" i="25" s="1"/>
  <c r="AC99" i="25" s="1"/>
  <c r="AD99" i="25" s="1"/>
  <c r="AE99" i="25" s="1"/>
  <c r="AF99" i="25" s="1"/>
  <c r="F99" i="25"/>
  <c r="G99" i="25" s="1"/>
  <c r="H99" i="25" s="1"/>
  <c r="E99" i="25"/>
  <c r="D99" i="25"/>
  <c r="C99" i="25"/>
  <c r="D98" i="25"/>
  <c r="E98" i="25" s="1"/>
  <c r="F98" i="25" s="1"/>
  <c r="G98" i="25" s="1"/>
  <c r="H98" i="25" s="1"/>
  <c r="I98" i="25" s="1"/>
  <c r="J98" i="25" s="1"/>
  <c r="K98" i="25" s="1"/>
  <c r="L98" i="25" s="1"/>
  <c r="M98" i="25" s="1"/>
  <c r="N98" i="25" s="1"/>
  <c r="O98" i="25" s="1"/>
  <c r="P98" i="25" s="1"/>
  <c r="Q98" i="25" s="1"/>
  <c r="R98" i="25" s="1"/>
  <c r="S98" i="25" s="1"/>
  <c r="T98" i="25" s="1"/>
  <c r="U98" i="25" s="1"/>
  <c r="V98" i="25" s="1"/>
  <c r="W98" i="25" s="1"/>
  <c r="X98" i="25" s="1"/>
  <c r="Y98" i="25" s="1"/>
  <c r="Z98" i="25" s="1"/>
  <c r="AA98" i="25" s="1"/>
  <c r="AB98" i="25" s="1"/>
  <c r="AC98" i="25" s="1"/>
  <c r="AD98" i="25" s="1"/>
  <c r="AE98" i="25" s="1"/>
  <c r="AF98" i="25" s="1"/>
  <c r="C98" i="25"/>
  <c r="C97" i="25"/>
  <c r="D97" i="25" s="1"/>
  <c r="E97" i="25" s="1"/>
  <c r="F97" i="25" s="1"/>
  <c r="G97" i="25" s="1"/>
  <c r="H97" i="25" s="1"/>
  <c r="I97" i="25" s="1"/>
  <c r="J97" i="25" s="1"/>
  <c r="K97" i="25" s="1"/>
  <c r="L97" i="25" s="1"/>
  <c r="M97" i="25" s="1"/>
  <c r="N97" i="25" s="1"/>
  <c r="O97" i="25" s="1"/>
  <c r="P97" i="25" s="1"/>
  <c r="Q97" i="25" s="1"/>
  <c r="R97" i="25" s="1"/>
  <c r="S97" i="25" s="1"/>
  <c r="T97" i="25" s="1"/>
  <c r="U97" i="25" s="1"/>
  <c r="V97" i="25" s="1"/>
  <c r="W97" i="25" s="1"/>
  <c r="X97" i="25" s="1"/>
  <c r="Y97" i="25" s="1"/>
  <c r="Z97" i="25" s="1"/>
  <c r="AA97" i="25" s="1"/>
  <c r="AB97" i="25" s="1"/>
  <c r="AC97" i="25" s="1"/>
  <c r="AD97" i="25" s="1"/>
  <c r="AE97" i="25" s="1"/>
  <c r="AF97" i="25" s="1"/>
  <c r="K96" i="25"/>
  <c r="L96" i="25" s="1"/>
  <c r="M96" i="25" s="1"/>
  <c r="N96" i="25" s="1"/>
  <c r="O96" i="25" s="1"/>
  <c r="P96" i="25" s="1"/>
  <c r="Q96" i="25" s="1"/>
  <c r="R96" i="25" s="1"/>
  <c r="S96" i="25" s="1"/>
  <c r="T96" i="25" s="1"/>
  <c r="U96" i="25" s="1"/>
  <c r="V96" i="25" s="1"/>
  <c r="W96" i="25" s="1"/>
  <c r="X96" i="25" s="1"/>
  <c r="Y96" i="25" s="1"/>
  <c r="Z96" i="25" s="1"/>
  <c r="AA96" i="25" s="1"/>
  <c r="AB96" i="25" s="1"/>
  <c r="AC96" i="25" s="1"/>
  <c r="AD96" i="25" s="1"/>
  <c r="AE96" i="25" s="1"/>
  <c r="AF96" i="25" s="1"/>
  <c r="F96" i="25"/>
  <c r="G96" i="25" s="1"/>
  <c r="H96" i="25" s="1"/>
  <c r="I96" i="25" s="1"/>
  <c r="J96" i="25" s="1"/>
  <c r="D96" i="25"/>
  <c r="E96" i="25" s="1"/>
  <c r="C96" i="25"/>
  <c r="N95" i="25"/>
  <c r="O95" i="25" s="1"/>
  <c r="P95" i="25" s="1"/>
  <c r="Q95" i="25" s="1"/>
  <c r="R95" i="25" s="1"/>
  <c r="S95" i="25" s="1"/>
  <c r="T95" i="25" s="1"/>
  <c r="U95" i="25" s="1"/>
  <c r="V95" i="25" s="1"/>
  <c r="W95" i="25" s="1"/>
  <c r="X95" i="25" s="1"/>
  <c r="Y95" i="25" s="1"/>
  <c r="Z95" i="25" s="1"/>
  <c r="AA95" i="25" s="1"/>
  <c r="AB95" i="25" s="1"/>
  <c r="AC95" i="25" s="1"/>
  <c r="AD95" i="25" s="1"/>
  <c r="AE95" i="25" s="1"/>
  <c r="AF95" i="25" s="1"/>
  <c r="E95" i="25"/>
  <c r="F95" i="25" s="1"/>
  <c r="G95" i="25" s="1"/>
  <c r="H95" i="25" s="1"/>
  <c r="I95" i="25" s="1"/>
  <c r="J95" i="25" s="1"/>
  <c r="K95" i="25" s="1"/>
  <c r="L95" i="25" s="1"/>
  <c r="M95" i="25" s="1"/>
  <c r="D95" i="25"/>
  <c r="C95" i="25"/>
  <c r="C94" i="25"/>
  <c r="C82" i="25" s="1"/>
  <c r="K93" i="25"/>
  <c r="L93" i="25" s="1"/>
  <c r="M93" i="25" s="1"/>
  <c r="N93" i="25" s="1"/>
  <c r="O93" i="25" s="1"/>
  <c r="P93" i="25" s="1"/>
  <c r="Q93" i="25" s="1"/>
  <c r="R93" i="25" s="1"/>
  <c r="S93" i="25" s="1"/>
  <c r="T93" i="25" s="1"/>
  <c r="U93" i="25" s="1"/>
  <c r="V93" i="25" s="1"/>
  <c r="W93" i="25" s="1"/>
  <c r="X93" i="25" s="1"/>
  <c r="Y93" i="25" s="1"/>
  <c r="Z93" i="25" s="1"/>
  <c r="AA93" i="25" s="1"/>
  <c r="AB93" i="25" s="1"/>
  <c r="AC93" i="25" s="1"/>
  <c r="AD93" i="25" s="1"/>
  <c r="AE93" i="25" s="1"/>
  <c r="AF93" i="25" s="1"/>
  <c r="E93" i="25"/>
  <c r="F93" i="25" s="1"/>
  <c r="G93" i="25" s="1"/>
  <c r="H93" i="25" s="1"/>
  <c r="I93" i="25" s="1"/>
  <c r="J93" i="25" s="1"/>
  <c r="D93" i="25"/>
  <c r="C93" i="25"/>
  <c r="N92" i="25"/>
  <c r="O92" i="25" s="1"/>
  <c r="P92" i="25" s="1"/>
  <c r="Q92" i="25" s="1"/>
  <c r="R92" i="25" s="1"/>
  <c r="S92" i="25" s="1"/>
  <c r="T92" i="25" s="1"/>
  <c r="U92" i="25" s="1"/>
  <c r="V92" i="25" s="1"/>
  <c r="W92" i="25" s="1"/>
  <c r="X92" i="25" s="1"/>
  <c r="Y92" i="25" s="1"/>
  <c r="Z92" i="25" s="1"/>
  <c r="AA92" i="25" s="1"/>
  <c r="AB92" i="25" s="1"/>
  <c r="AC92" i="25" s="1"/>
  <c r="AD92" i="25" s="1"/>
  <c r="AE92" i="25" s="1"/>
  <c r="AF92" i="25" s="1"/>
  <c r="D92" i="25"/>
  <c r="E92" i="25" s="1"/>
  <c r="F92" i="25" s="1"/>
  <c r="G92" i="25" s="1"/>
  <c r="H92" i="25" s="1"/>
  <c r="I92" i="25" s="1"/>
  <c r="J92" i="25" s="1"/>
  <c r="K92" i="25" s="1"/>
  <c r="L92" i="25" s="1"/>
  <c r="M92" i="25" s="1"/>
  <c r="C92" i="25"/>
  <c r="E91" i="25"/>
  <c r="F91" i="25" s="1"/>
  <c r="G91" i="25" s="1"/>
  <c r="H91" i="25" s="1"/>
  <c r="I91" i="25" s="1"/>
  <c r="J91" i="25" s="1"/>
  <c r="K91" i="25" s="1"/>
  <c r="L91" i="25" s="1"/>
  <c r="M91" i="25" s="1"/>
  <c r="N91" i="25" s="1"/>
  <c r="O91" i="25" s="1"/>
  <c r="P91" i="25" s="1"/>
  <c r="Q91" i="25" s="1"/>
  <c r="R91" i="25" s="1"/>
  <c r="S91" i="25" s="1"/>
  <c r="T91" i="25" s="1"/>
  <c r="U91" i="25" s="1"/>
  <c r="V91" i="25" s="1"/>
  <c r="W91" i="25" s="1"/>
  <c r="X91" i="25" s="1"/>
  <c r="Y91" i="25" s="1"/>
  <c r="Z91" i="25" s="1"/>
  <c r="AA91" i="25" s="1"/>
  <c r="AB91" i="25" s="1"/>
  <c r="AC91" i="25" s="1"/>
  <c r="AD91" i="25" s="1"/>
  <c r="AE91" i="25" s="1"/>
  <c r="AF91" i="25" s="1"/>
  <c r="D91" i="25"/>
  <c r="C91" i="25"/>
  <c r="E90" i="25"/>
  <c r="F90" i="25" s="1"/>
  <c r="G90" i="25" s="1"/>
  <c r="H90" i="25" s="1"/>
  <c r="I90" i="25" s="1"/>
  <c r="J90" i="25" s="1"/>
  <c r="K90" i="25" s="1"/>
  <c r="L90" i="25" s="1"/>
  <c r="M90" i="25" s="1"/>
  <c r="N90" i="25" s="1"/>
  <c r="O90" i="25" s="1"/>
  <c r="P90" i="25" s="1"/>
  <c r="Q90" i="25" s="1"/>
  <c r="R90" i="25" s="1"/>
  <c r="S90" i="25" s="1"/>
  <c r="T90" i="25" s="1"/>
  <c r="U90" i="25" s="1"/>
  <c r="V90" i="25" s="1"/>
  <c r="W90" i="25" s="1"/>
  <c r="X90" i="25" s="1"/>
  <c r="Y90" i="25" s="1"/>
  <c r="Z90" i="25" s="1"/>
  <c r="AA90" i="25" s="1"/>
  <c r="AB90" i="25" s="1"/>
  <c r="AC90" i="25" s="1"/>
  <c r="AD90" i="25" s="1"/>
  <c r="AE90" i="25" s="1"/>
  <c r="AF90" i="25" s="1"/>
  <c r="D90" i="25"/>
  <c r="C90" i="25"/>
  <c r="C89" i="25"/>
  <c r="AH86" i="25"/>
  <c r="AI86" i="25" s="1"/>
  <c r="AH85" i="25"/>
  <c r="AI85" i="25" s="1"/>
  <c r="AH84" i="25"/>
  <c r="AI84" i="25" s="1"/>
  <c r="AH83" i="25"/>
  <c r="AI83" i="25" s="1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AI79" i="25"/>
  <c r="AH79" i="25"/>
  <c r="AI78" i="25"/>
  <c r="AH78" i="25"/>
  <c r="AI77" i="25"/>
  <c r="AH77" i="25"/>
  <c r="AI76" i="25"/>
  <c r="AH76" i="25"/>
  <c r="AI75" i="25"/>
  <c r="AH75" i="25"/>
  <c r="AI74" i="25"/>
  <c r="AH74" i="25"/>
  <c r="AI73" i="25"/>
  <c r="AH73" i="25"/>
  <c r="AI72" i="25"/>
  <c r="AH72" i="25"/>
  <c r="AG71" i="25"/>
  <c r="AI70" i="25"/>
  <c r="AH70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C71" i="25" s="1"/>
  <c r="AF68" i="25"/>
  <c r="AE68" i="25"/>
  <c r="AD68" i="25"/>
  <c r="AC68" i="25"/>
  <c r="AB68" i="25"/>
  <c r="AA68" i="25"/>
  <c r="Z68" i="25"/>
  <c r="Z71" i="25" s="1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AF67" i="25"/>
  <c r="AF71" i="25" s="1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R71" i="25" s="1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Q71" i="25" s="1"/>
  <c r="P66" i="25"/>
  <c r="O66" i="25"/>
  <c r="N66" i="25"/>
  <c r="N71" i="25" s="1"/>
  <c r="M66" i="25"/>
  <c r="L66" i="25"/>
  <c r="L71" i="25" s="1"/>
  <c r="K66" i="25"/>
  <c r="J66" i="25"/>
  <c r="I66" i="25"/>
  <c r="H66" i="25"/>
  <c r="H71" i="25" s="1"/>
  <c r="G66" i="25"/>
  <c r="F66" i="25"/>
  <c r="E66" i="25"/>
  <c r="D66" i="25"/>
  <c r="C66" i="25"/>
  <c r="AI64" i="25"/>
  <c r="AH64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AI62" i="25"/>
  <c r="AH62" i="25"/>
  <c r="AI61" i="25"/>
  <c r="AH61" i="25"/>
  <c r="AI60" i="25"/>
  <c r="AH60" i="25"/>
  <c r="AG59" i="25"/>
  <c r="AF59" i="25"/>
  <c r="AF5" i="25" s="1"/>
  <c r="AE59" i="25"/>
  <c r="AE5" i="25" s="1"/>
  <c r="AD59" i="25"/>
  <c r="AC59" i="25"/>
  <c r="AC5" i="25" s="1"/>
  <c r="AB59" i="25"/>
  <c r="AB5" i="25" s="1"/>
  <c r="AA59" i="25"/>
  <c r="Z59" i="25"/>
  <c r="Y59" i="25"/>
  <c r="X59" i="25"/>
  <c r="X5" i="25" s="1"/>
  <c r="W59" i="25"/>
  <c r="W5" i="25" s="1"/>
  <c r="V59" i="25"/>
  <c r="V5" i="25" s="1"/>
  <c r="U59" i="25"/>
  <c r="U5" i="25" s="1"/>
  <c r="T59" i="25"/>
  <c r="S59" i="25"/>
  <c r="R59" i="25"/>
  <c r="Q59" i="25"/>
  <c r="Q5" i="25" s="1"/>
  <c r="P59" i="25"/>
  <c r="P5" i="25" s="1"/>
  <c r="O59" i="25"/>
  <c r="O5" i="25" s="1"/>
  <c r="N59" i="25"/>
  <c r="N5" i="25" s="1"/>
  <c r="M59" i="25"/>
  <c r="M5" i="25" s="1"/>
  <c r="L59" i="25"/>
  <c r="K59" i="25"/>
  <c r="J59" i="25"/>
  <c r="I59" i="25"/>
  <c r="H59" i="25"/>
  <c r="G59" i="25"/>
  <c r="G5" i="25" s="1"/>
  <c r="F59" i="25"/>
  <c r="F5" i="25" s="1"/>
  <c r="E59" i="25"/>
  <c r="E5" i="25" s="1"/>
  <c r="D59" i="25"/>
  <c r="D5" i="25" s="1"/>
  <c r="C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AI46" i="25"/>
  <c r="AH46" i="25"/>
  <c r="AI45" i="25"/>
  <c r="AH45" i="25"/>
  <c r="AI44" i="25"/>
  <c r="AH44" i="25"/>
  <c r="AG42" i="25"/>
  <c r="AG43" i="25" s="1"/>
  <c r="C42" i="25"/>
  <c r="C43" i="25" s="1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G30" i="25"/>
  <c r="AG2" i="25" s="1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D5" i="25"/>
  <c r="AA5" i="25"/>
  <c r="Z5" i="25"/>
  <c r="Y5" i="25"/>
  <c r="T5" i="25"/>
  <c r="S5" i="25"/>
  <c r="R5" i="25"/>
  <c r="L5" i="25"/>
  <c r="K5" i="25"/>
  <c r="J5" i="25"/>
  <c r="I5" i="25"/>
  <c r="H5" i="25"/>
  <c r="B5" i="25"/>
  <c r="AG4" i="25"/>
  <c r="K4" i="25"/>
  <c r="C4" i="25"/>
  <c r="D4" i="25" s="1"/>
  <c r="AF84" i="24"/>
  <c r="AE84" i="24"/>
  <c r="R49" i="24"/>
  <c r="Q84" i="24"/>
  <c r="P84" i="24"/>
  <c r="AD71" i="25"/>
  <c r="AB71" i="25"/>
  <c r="AA71" i="25"/>
  <c r="Y71" i="25"/>
  <c r="X71" i="25"/>
  <c r="T71" i="25"/>
  <c r="S71" i="25"/>
  <c r="P71" i="25"/>
  <c r="K71" i="25"/>
  <c r="J71" i="25"/>
  <c r="I71" i="25"/>
  <c r="F71" i="25"/>
  <c r="D71" i="25"/>
  <c r="AI59" i="25"/>
  <c r="AI47" i="25"/>
  <c r="AI30" i="25"/>
  <c r="C5" i="25"/>
  <c r="AI69" i="25"/>
  <c r="C65" i="25"/>
  <c r="U193" i="25" s="1"/>
  <c r="B71" i="25"/>
  <c r="B65" i="25"/>
  <c r="T193" i="25" s="1"/>
  <c r="AH80" i="25"/>
  <c r="AG65" i="25"/>
  <c r="AG3" i="25"/>
  <c r="AG6" i="25" s="1"/>
  <c r="G71" i="25"/>
  <c r="AH30" i="25"/>
  <c r="W71" i="25"/>
  <c r="AH47" i="25"/>
  <c r="AH59" i="25"/>
  <c r="AH63" i="25"/>
  <c r="AH66" i="25"/>
  <c r="AI68" i="25"/>
  <c r="AI63" i="25"/>
  <c r="AI66" i="25"/>
  <c r="AI67" i="25"/>
  <c r="AI80" i="25"/>
  <c r="AE71" i="25"/>
  <c r="V71" i="25"/>
  <c r="O71" i="25"/>
  <c r="E71" i="25"/>
  <c r="M71" i="25"/>
  <c r="U71" i="25"/>
  <c r="AC71" i="25"/>
  <c r="AH67" i="25"/>
  <c r="D94" i="25"/>
  <c r="AH68" i="25"/>
  <c r="AH69" i="25"/>
  <c r="C171" i="25"/>
  <c r="D89" i="25"/>
  <c r="D214" i="25"/>
  <c r="E178" i="25"/>
  <c r="D179" i="25"/>
  <c r="D42" i="25" s="1"/>
  <c r="D43" i="25" s="1"/>
  <c r="E173" i="25"/>
  <c r="N84" i="24"/>
  <c r="L86" i="24"/>
  <c r="AI71" i="25"/>
  <c r="AH71" i="25"/>
  <c r="C7" i="25"/>
  <c r="B7" i="25"/>
  <c r="F173" i="25"/>
  <c r="E179" i="25"/>
  <c r="E42" i="25" s="1"/>
  <c r="E43" i="25" s="1"/>
  <c r="E65" i="25" s="1"/>
  <c r="D82" i="25"/>
  <c r="E94" i="25"/>
  <c r="D171" i="25"/>
  <c r="E89" i="25"/>
  <c r="E214" i="25"/>
  <c r="F178" i="25"/>
  <c r="D65" i="25"/>
  <c r="V193" i="25"/>
  <c r="D7" i="25"/>
  <c r="F214" i="25"/>
  <c r="G178" i="25"/>
  <c r="F94" i="25"/>
  <c r="E82" i="25"/>
  <c r="W193" i="25"/>
  <c r="E7" i="25"/>
  <c r="G173" i="25"/>
  <c r="F179" i="25"/>
  <c r="F42" i="25" s="1"/>
  <c r="E171" i="25"/>
  <c r="F89" i="25"/>
  <c r="G94" i="25"/>
  <c r="F82" i="25"/>
  <c r="F171" i="25"/>
  <c r="G89" i="25"/>
  <c r="G214" i="25"/>
  <c r="H178" i="25"/>
  <c r="F43" i="25"/>
  <c r="H173" i="25"/>
  <c r="G179" i="25"/>
  <c r="G42" i="25" s="1"/>
  <c r="G43" i="25" s="1"/>
  <c r="G65" i="25" s="1"/>
  <c r="Y193" i="25"/>
  <c r="G7" i="25"/>
  <c r="I173" i="25"/>
  <c r="H179" i="25"/>
  <c r="H42" i="25" s="1"/>
  <c r="H43" i="25" s="1"/>
  <c r="H65" i="25" s="1"/>
  <c r="G82" i="25"/>
  <c r="H94" i="25"/>
  <c r="G171" i="25"/>
  <c r="H89" i="25"/>
  <c r="F65" i="25"/>
  <c r="H214" i="25"/>
  <c r="I178" i="25"/>
  <c r="I179" i="25"/>
  <c r="I42" i="25" s="1"/>
  <c r="J173" i="25"/>
  <c r="J178" i="25"/>
  <c r="I214" i="25"/>
  <c r="X193" i="25"/>
  <c r="F7" i="25"/>
  <c r="H171" i="25"/>
  <c r="I89" i="25"/>
  <c r="I94" i="25"/>
  <c r="H82" i="25"/>
  <c r="Z193" i="25"/>
  <c r="H7" i="25"/>
  <c r="I82" i="25"/>
  <c r="J94" i="25"/>
  <c r="I171" i="25"/>
  <c r="J89" i="25"/>
  <c r="K178" i="25"/>
  <c r="J214" i="25"/>
  <c r="J179" i="25"/>
  <c r="J42" i="25" s="1"/>
  <c r="J43" i="25" s="1"/>
  <c r="J65" i="25" s="1"/>
  <c r="K173" i="25"/>
  <c r="I43" i="25"/>
  <c r="I65" i="25" s="1"/>
  <c r="AH87" i="24"/>
  <c r="AI87" i="24" s="1"/>
  <c r="AF218" i="24"/>
  <c r="AE218" i="24"/>
  <c r="AD218" i="24"/>
  <c r="AC218" i="24"/>
  <c r="AB218" i="24"/>
  <c r="AA218" i="24"/>
  <c r="Z218" i="24"/>
  <c r="Y218" i="24"/>
  <c r="X218" i="24"/>
  <c r="W218" i="24"/>
  <c r="V218" i="24"/>
  <c r="U218" i="24"/>
  <c r="T218" i="24"/>
  <c r="S218" i="24"/>
  <c r="R218" i="24"/>
  <c r="Q218" i="24"/>
  <c r="P218" i="24"/>
  <c r="O218" i="24"/>
  <c r="N218" i="24"/>
  <c r="M218" i="24"/>
  <c r="L218" i="24"/>
  <c r="K218" i="24"/>
  <c r="J218" i="24"/>
  <c r="I218" i="24"/>
  <c r="H218" i="24"/>
  <c r="G218" i="24"/>
  <c r="F218" i="24"/>
  <c r="E218" i="24"/>
  <c r="D218" i="24"/>
  <c r="C218" i="24"/>
  <c r="B218" i="24"/>
  <c r="A218" i="24"/>
  <c r="AF217" i="24"/>
  <c r="AE217" i="24"/>
  <c r="AD217" i="24"/>
  <c r="AC217" i="24"/>
  <c r="AB217" i="24"/>
  <c r="AA217" i="24"/>
  <c r="Z217" i="24"/>
  <c r="Y217" i="24"/>
  <c r="X217" i="24"/>
  <c r="W217" i="24"/>
  <c r="V217" i="24"/>
  <c r="U217" i="24"/>
  <c r="T217" i="24"/>
  <c r="S217" i="24"/>
  <c r="R217" i="24"/>
  <c r="Q217" i="24"/>
  <c r="P217" i="24"/>
  <c r="O217" i="24"/>
  <c r="N217" i="24"/>
  <c r="M217" i="24"/>
  <c r="L217" i="24"/>
  <c r="K217" i="24"/>
  <c r="J217" i="24"/>
  <c r="I217" i="24"/>
  <c r="H217" i="24"/>
  <c r="G217" i="24"/>
  <c r="F217" i="24"/>
  <c r="E217" i="24"/>
  <c r="D217" i="24"/>
  <c r="C217" i="24"/>
  <c r="B217" i="24"/>
  <c r="A217" i="24"/>
  <c r="AF216" i="24"/>
  <c r="AE216" i="24"/>
  <c r="AD216" i="24"/>
  <c r="AC216" i="24"/>
  <c r="AB216" i="24"/>
  <c r="AA216" i="24"/>
  <c r="Z216" i="24"/>
  <c r="Y216" i="24"/>
  <c r="X216" i="24"/>
  <c r="W216" i="24"/>
  <c r="V216" i="24"/>
  <c r="U216" i="24"/>
  <c r="T216" i="24"/>
  <c r="S216" i="24"/>
  <c r="R216" i="24"/>
  <c r="Q216" i="24"/>
  <c r="P216" i="24"/>
  <c r="O216" i="24"/>
  <c r="N216" i="24"/>
  <c r="M216" i="24"/>
  <c r="L216" i="24"/>
  <c r="K216" i="24"/>
  <c r="J216" i="24"/>
  <c r="I216" i="24"/>
  <c r="H216" i="24"/>
  <c r="G216" i="24"/>
  <c r="F216" i="24"/>
  <c r="E216" i="24"/>
  <c r="D216" i="24"/>
  <c r="C216" i="24"/>
  <c r="B216" i="24"/>
  <c r="A216" i="24"/>
  <c r="AF215" i="24"/>
  <c r="AE215" i="24"/>
  <c r="AD215" i="24"/>
  <c r="AC215" i="24"/>
  <c r="AB215" i="24"/>
  <c r="AA215" i="24"/>
  <c r="Z215" i="24"/>
  <c r="Y215" i="24"/>
  <c r="X215" i="24"/>
  <c r="W215" i="24"/>
  <c r="V215" i="24"/>
  <c r="U215" i="24"/>
  <c r="T215" i="24"/>
  <c r="S215" i="24"/>
  <c r="R215" i="24"/>
  <c r="Q215" i="24"/>
  <c r="P215" i="24"/>
  <c r="O215" i="24"/>
  <c r="N215" i="24"/>
  <c r="M215" i="24"/>
  <c r="L215" i="24"/>
  <c r="K215" i="24"/>
  <c r="J215" i="24"/>
  <c r="I215" i="24"/>
  <c r="H215" i="24"/>
  <c r="G215" i="24"/>
  <c r="F215" i="24"/>
  <c r="E215" i="24"/>
  <c r="D215" i="24"/>
  <c r="C215" i="24"/>
  <c r="B215" i="24"/>
  <c r="A215" i="24"/>
  <c r="B214" i="24"/>
  <c r="S189" i="24"/>
  <c r="AG179" i="24"/>
  <c r="B179" i="24"/>
  <c r="C178" i="24"/>
  <c r="U177" i="24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F177" i="24"/>
  <c r="G177" i="24" s="1"/>
  <c r="H177" i="24" s="1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E177" i="24"/>
  <c r="C177" i="24"/>
  <c r="D177" i="24" s="1"/>
  <c r="G176" i="24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E176" i="24"/>
  <c r="F176" i="24" s="1"/>
  <c r="C176" i="24"/>
  <c r="D176" i="24" s="1"/>
  <c r="H175" i="24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E175" i="24"/>
  <c r="F175" i="24" s="1"/>
  <c r="G175" i="24" s="1"/>
  <c r="C175" i="24"/>
  <c r="D175" i="24" s="1"/>
  <c r="V174" i="24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F174" i="24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C174" i="24"/>
  <c r="D174" i="24" s="1"/>
  <c r="E174" i="24" s="1"/>
  <c r="D173" i="24"/>
  <c r="C173" i="24"/>
  <c r="AG171" i="24"/>
  <c r="B171" i="24"/>
  <c r="Q170" i="24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E170" i="24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C170" i="24"/>
  <c r="D170" i="24" s="1"/>
  <c r="AF169" i="24"/>
  <c r="R169" i="24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H169" i="24"/>
  <c r="I169" i="24" s="1"/>
  <c r="J169" i="24" s="1"/>
  <c r="K169" i="24" s="1"/>
  <c r="L169" i="24" s="1"/>
  <c r="M169" i="24" s="1"/>
  <c r="N169" i="24" s="1"/>
  <c r="O169" i="24" s="1"/>
  <c r="P169" i="24" s="1"/>
  <c r="Q169" i="24" s="1"/>
  <c r="C169" i="24"/>
  <c r="D169" i="24" s="1"/>
  <c r="E169" i="24" s="1"/>
  <c r="F169" i="24" s="1"/>
  <c r="G169" i="24" s="1"/>
  <c r="O168" i="24"/>
  <c r="P168" i="24" s="1"/>
  <c r="Q168" i="24" s="1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K168" i="24"/>
  <c r="L168" i="24" s="1"/>
  <c r="M168" i="24" s="1"/>
  <c r="N168" i="24" s="1"/>
  <c r="C168" i="24"/>
  <c r="D168" i="24" s="1"/>
  <c r="E168" i="24" s="1"/>
  <c r="F168" i="24" s="1"/>
  <c r="G168" i="24" s="1"/>
  <c r="H168" i="24" s="1"/>
  <c r="I168" i="24" s="1"/>
  <c r="J168" i="24" s="1"/>
  <c r="AC167" i="24"/>
  <c r="AD167" i="24" s="1"/>
  <c r="AE167" i="24" s="1"/>
  <c r="AF167" i="24" s="1"/>
  <c r="F167" i="24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E167" i="24"/>
  <c r="D167" i="24"/>
  <c r="C167" i="24"/>
  <c r="Q166" i="24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C166" i="24"/>
  <c r="D166" i="24" s="1"/>
  <c r="E166" i="24" s="1"/>
  <c r="F166" i="24" s="1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R165" i="24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I165" i="24"/>
  <c r="J165" i="24" s="1"/>
  <c r="K165" i="24" s="1"/>
  <c r="L165" i="24" s="1"/>
  <c r="M165" i="24" s="1"/>
  <c r="N165" i="24" s="1"/>
  <c r="O165" i="24" s="1"/>
  <c r="P165" i="24" s="1"/>
  <c r="Q165" i="24" s="1"/>
  <c r="G165" i="24"/>
  <c r="H165" i="24" s="1"/>
  <c r="E165" i="24"/>
  <c r="F165" i="24" s="1"/>
  <c r="D165" i="24"/>
  <c r="C165" i="24"/>
  <c r="N164" i="24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C164" i="24"/>
  <c r="D164" i="24" s="1"/>
  <c r="E164" i="24" s="1"/>
  <c r="F164" i="24" s="1"/>
  <c r="G164" i="24" s="1"/>
  <c r="H164" i="24" s="1"/>
  <c r="I164" i="24" s="1"/>
  <c r="J164" i="24" s="1"/>
  <c r="K164" i="24" s="1"/>
  <c r="L164" i="24" s="1"/>
  <c r="M164" i="24" s="1"/>
  <c r="T163" i="24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S163" i="24"/>
  <c r="F163" i="24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C163" i="24"/>
  <c r="D163" i="24" s="1"/>
  <c r="E163" i="24" s="1"/>
  <c r="C162" i="24"/>
  <c r="D162" i="24" s="1"/>
  <c r="E162" i="24" s="1"/>
  <c r="F162" i="24" s="1"/>
  <c r="G162" i="24" s="1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U161" i="24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H161" i="24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G161" i="24"/>
  <c r="E161" i="24"/>
  <c r="F161" i="24" s="1"/>
  <c r="C161" i="24"/>
  <c r="D161" i="24" s="1"/>
  <c r="J160" i="24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C160" i="24"/>
  <c r="D160" i="24" s="1"/>
  <c r="E160" i="24" s="1"/>
  <c r="F160" i="24" s="1"/>
  <c r="G160" i="24" s="1"/>
  <c r="H160" i="24" s="1"/>
  <c r="I160" i="24" s="1"/>
  <c r="AC159" i="24"/>
  <c r="AD159" i="24" s="1"/>
  <c r="AE159" i="24" s="1"/>
  <c r="AF159" i="24" s="1"/>
  <c r="T159" i="24"/>
  <c r="U159" i="24" s="1"/>
  <c r="V159" i="24" s="1"/>
  <c r="W159" i="24" s="1"/>
  <c r="X159" i="24" s="1"/>
  <c r="Y159" i="24" s="1"/>
  <c r="Z159" i="24" s="1"/>
  <c r="AA159" i="24" s="1"/>
  <c r="AB159" i="24" s="1"/>
  <c r="D159" i="24"/>
  <c r="E159" i="24" s="1"/>
  <c r="F159" i="24" s="1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C159" i="24"/>
  <c r="W158" i="24"/>
  <c r="X158" i="24" s="1"/>
  <c r="Y158" i="24" s="1"/>
  <c r="Z158" i="24" s="1"/>
  <c r="AA158" i="24" s="1"/>
  <c r="AB158" i="24" s="1"/>
  <c r="AC158" i="24" s="1"/>
  <c r="AD158" i="24" s="1"/>
  <c r="AE158" i="24" s="1"/>
  <c r="AF158" i="24" s="1"/>
  <c r="K158" i="24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J158" i="24"/>
  <c r="C158" i="24"/>
  <c r="D158" i="24" s="1"/>
  <c r="E158" i="24" s="1"/>
  <c r="F158" i="24" s="1"/>
  <c r="G158" i="24" s="1"/>
  <c r="H158" i="24" s="1"/>
  <c r="I158" i="24" s="1"/>
  <c r="K157" i="24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H157" i="24"/>
  <c r="I157" i="24" s="1"/>
  <c r="J157" i="24" s="1"/>
  <c r="D157" i="24"/>
  <c r="E157" i="24" s="1"/>
  <c r="F157" i="24" s="1"/>
  <c r="G157" i="24" s="1"/>
  <c r="C157" i="24"/>
  <c r="AE156" i="24"/>
  <c r="AF156" i="24" s="1"/>
  <c r="F156" i="24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E156" i="24"/>
  <c r="C156" i="24"/>
  <c r="D156" i="24" s="1"/>
  <c r="AC155" i="24"/>
  <c r="AD155" i="24" s="1"/>
  <c r="AE155" i="24" s="1"/>
  <c r="AF155" i="24" s="1"/>
  <c r="R155" i="24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Q155" i="24"/>
  <c r="J155" i="24"/>
  <c r="K155" i="24" s="1"/>
  <c r="L155" i="24" s="1"/>
  <c r="M155" i="24" s="1"/>
  <c r="N155" i="24" s="1"/>
  <c r="O155" i="24" s="1"/>
  <c r="P155" i="24" s="1"/>
  <c r="D155" i="24"/>
  <c r="E155" i="24" s="1"/>
  <c r="F155" i="24" s="1"/>
  <c r="G155" i="24" s="1"/>
  <c r="H155" i="24" s="1"/>
  <c r="I155" i="24" s="1"/>
  <c r="C155" i="24"/>
  <c r="V154" i="24"/>
  <c r="W154" i="24" s="1"/>
  <c r="X154" i="24" s="1"/>
  <c r="Y154" i="24" s="1"/>
  <c r="Z154" i="24" s="1"/>
  <c r="AA154" i="24" s="1"/>
  <c r="AB154" i="24" s="1"/>
  <c r="AC154" i="24" s="1"/>
  <c r="AD154" i="24" s="1"/>
  <c r="AE154" i="24" s="1"/>
  <c r="AF154" i="24" s="1"/>
  <c r="P154" i="24"/>
  <c r="Q154" i="24" s="1"/>
  <c r="R154" i="24" s="1"/>
  <c r="S154" i="24" s="1"/>
  <c r="T154" i="24" s="1"/>
  <c r="U154" i="24" s="1"/>
  <c r="H154" i="24"/>
  <c r="I154" i="24" s="1"/>
  <c r="J154" i="24" s="1"/>
  <c r="K154" i="24" s="1"/>
  <c r="L154" i="24" s="1"/>
  <c r="M154" i="24" s="1"/>
  <c r="N154" i="24" s="1"/>
  <c r="O154" i="24" s="1"/>
  <c r="G154" i="24"/>
  <c r="E154" i="24"/>
  <c r="F154" i="24" s="1"/>
  <c r="D154" i="24"/>
  <c r="C154" i="24"/>
  <c r="C153" i="24"/>
  <c r="D153" i="24" s="1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T152" i="24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S152" i="24"/>
  <c r="L152" i="24"/>
  <c r="M152" i="24" s="1"/>
  <c r="N152" i="24" s="1"/>
  <c r="O152" i="24" s="1"/>
  <c r="P152" i="24" s="1"/>
  <c r="Q152" i="24" s="1"/>
  <c r="R152" i="24" s="1"/>
  <c r="J152" i="24"/>
  <c r="K152" i="24" s="1"/>
  <c r="D152" i="24"/>
  <c r="E152" i="24" s="1"/>
  <c r="F152" i="24" s="1"/>
  <c r="G152" i="24" s="1"/>
  <c r="H152" i="24" s="1"/>
  <c r="I152" i="24" s="1"/>
  <c r="C152" i="24"/>
  <c r="G151" i="24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F151" i="24"/>
  <c r="D151" i="24"/>
  <c r="E151" i="24" s="1"/>
  <c r="C151" i="24"/>
  <c r="E150" i="24"/>
  <c r="F150" i="24" s="1"/>
  <c r="G150" i="24" s="1"/>
  <c r="H150" i="24" s="1"/>
  <c r="I150" i="24" s="1"/>
  <c r="J150" i="24" s="1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D150" i="24"/>
  <c r="C150" i="24"/>
  <c r="P149" i="24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L149" i="24"/>
  <c r="M149" i="24" s="1"/>
  <c r="N149" i="24" s="1"/>
  <c r="O149" i="24" s="1"/>
  <c r="H149" i="24"/>
  <c r="I149" i="24" s="1"/>
  <c r="J149" i="24" s="1"/>
  <c r="K149" i="24" s="1"/>
  <c r="D149" i="24"/>
  <c r="E149" i="24" s="1"/>
  <c r="F149" i="24" s="1"/>
  <c r="G149" i="24" s="1"/>
  <c r="C149" i="24"/>
  <c r="T148" i="24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F148" i="24"/>
  <c r="G148" i="24" s="1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D148" i="24"/>
  <c r="E148" i="24" s="1"/>
  <c r="C148" i="24"/>
  <c r="D147" i="24"/>
  <c r="E147" i="24" s="1"/>
  <c r="F147" i="24" s="1"/>
  <c r="G147" i="24" s="1"/>
  <c r="H147" i="24" s="1"/>
  <c r="I147" i="24" s="1"/>
  <c r="J147" i="24" s="1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C147" i="24"/>
  <c r="C146" i="24"/>
  <c r="D146" i="24" s="1"/>
  <c r="E146" i="24" s="1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J145" i="24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F145" i="24"/>
  <c r="G145" i="24" s="1"/>
  <c r="H145" i="24" s="1"/>
  <c r="I145" i="24" s="1"/>
  <c r="E145" i="24"/>
  <c r="C145" i="24"/>
  <c r="D145" i="24" s="1"/>
  <c r="C144" i="24"/>
  <c r="D144" i="24" s="1"/>
  <c r="E144" i="24" s="1"/>
  <c r="F144" i="24" s="1"/>
  <c r="G144" i="24" s="1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O143" i="24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K143" i="24"/>
  <c r="L143" i="24" s="1"/>
  <c r="M143" i="24" s="1"/>
  <c r="N143" i="24" s="1"/>
  <c r="J143" i="24"/>
  <c r="H143" i="24"/>
  <c r="I143" i="24" s="1"/>
  <c r="F143" i="24"/>
  <c r="G143" i="24" s="1"/>
  <c r="E143" i="24"/>
  <c r="C143" i="24"/>
  <c r="D143" i="24" s="1"/>
  <c r="AE142" i="24"/>
  <c r="AF142" i="24" s="1"/>
  <c r="M142" i="24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K142" i="24"/>
  <c r="L142" i="24" s="1"/>
  <c r="H142" i="24"/>
  <c r="I142" i="24" s="1"/>
  <c r="J142" i="24" s="1"/>
  <c r="E142" i="24"/>
  <c r="F142" i="24" s="1"/>
  <c r="G142" i="24" s="1"/>
  <c r="D142" i="24"/>
  <c r="C142" i="24"/>
  <c r="AE141" i="24"/>
  <c r="AF141" i="24" s="1"/>
  <c r="G141" i="24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F141" i="24"/>
  <c r="D141" i="24"/>
  <c r="E141" i="24" s="1"/>
  <c r="C141" i="24"/>
  <c r="D140" i="24"/>
  <c r="E140" i="24" s="1"/>
  <c r="F140" i="24" s="1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C140" i="24"/>
  <c r="R139" i="24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C139" i="24"/>
  <c r="D139" i="24" s="1"/>
  <c r="E139" i="24" s="1"/>
  <c r="F139" i="24" s="1"/>
  <c r="G139" i="24" s="1"/>
  <c r="H139" i="24" s="1"/>
  <c r="I139" i="24" s="1"/>
  <c r="J139" i="24" s="1"/>
  <c r="K139" i="24" s="1"/>
  <c r="L139" i="24" s="1"/>
  <c r="M139" i="24" s="1"/>
  <c r="N139" i="24" s="1"/>
  <c r="O139" i="24" s="1"/>
  <c r="P139" i="24" s="1"/>
  <c r="Q139" i="24" s="1"/>
  <c r="AD138" i="24"/>
  <c r="AE138" i="24" s="1"/>
  <c r="AF138" i="24" s="1"/>
  <c r="L138" i="24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I138" i="24"/>
  <c r="J138" i="24" s="1"/>
  <c r="K138" i="24" s="1"/>
  <c r="F138" i="24"/>
  <c r="G138" i="24" s="1"/>
  <c r="H138" i="24" s="1"/>
  <c r="E138" i="24"/>
  <c r="C138" i="24"/>
  <c r="D138" i="24" s="1"/>
  <c r="C137" i="24"/>
  <c r="D137" i="24" s="1"/>
  <c r="E137" i="24" s="1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J136" i="24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G136" i="24"/>
  <c r="H136" i="24" s="1"/>
  <c r="I136" i="24" s="1"/>
  <c r="E136" i="24"/>
  <c r="F136" i="24" s="1"/>
  <c r="D136" i="24"/>
  <c r="C136" i="24"/>
  <c r="E135" i="24"/>
  <c r="F135" i="24" s="1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C135" i="24"/>
  <c r="D135" i="24" s="1"/>
  <c r="I134" i="24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F134" i="24"/>
  <c r="G134" i="24" s="1"/>
  <c r="H134" i="24" s="1"/>
  <c r="D134" i="24"/>
  <c r="E134" i="24" s="1"/>
  <c r="C134" i="24"/>
  <c r="I133" i="24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G133" i="24"/>
  <c r="H133" i="24" s="1"/>
  <c r="F133" i="24"/>
  <c r="D133" i="24"/>
  <c r="E133" i="24" s="1"/>
  <c r="C133" i="24"/>
  <c r="E132" i="24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D132" i="24"/>
  <c r="C132" i="24"/>
  <c r="H131" i="24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F131" i="24"/>
  <c r="G131" i="24" s="1"/>
  <c r="E131" i="24"/>
  <c r="C131" i="24"/>
  <c r="D131" i="24" s="1"/>
  <c r="D130" i="24"/>
  <c r="E130" i="24" s="1"/>
  <c r="F130" i="24" s="1"/>
  <c r="G130" i="24" s="1"/>
  <c r="H130" i="24" s="1"/>
  <c r="I130" i="24" s="1"/>
  <c r="J130" i="24" s="1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C130" i="24"/>
  <c r="G129" i="24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E129" i="24"/>
  <c r="F129" i="24" s="1"/>
  <c r="D129" i="24"/>
  <c r="C129" i="24"/>
  <c r="D128" i="24"/>
  <c r="E128" i="24" s="1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C128" i="24"/>
  <c r="C127" i="24"/>
  <c r="D126" i="24"/>
  <c r="E126" i="24" s="1"/>
  <c r="F126" i="24" s="1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C126" i="24"/>
  <c r="J125" i="24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E125" i="24"/>
  <c r="F125" i="24" s="1"/>
  <c r="G125" i="24" s="1"/>
  <c r="H125" i="24" s="1"/>
  <c r="I125" i="24" s="1"/>
  <c r="D125" i="24"/>
  <c r="C125" i="24"/>
  <c r="J124" i="24"/>
  <c r="K124" i="24" s="1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D124" i="24"/>
  <c r="E124" i="24" s="1"/>
  <c r="F124" i="24" s="1"/>
  <c r="G124" i="24" s="1"/>
  <c r="H124" i="24" s="1"/>
  <c r="I124" i="24" s="1"/>
  <c r="C124" i="24"/>
  <c r="U123" i="24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H123" i="24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F123" i="24"/>
  <c r="G123" i="24" s="1"/>
  <c r="E123" i="24"/>
  <c r="C123" i="24"/>
  <c r="D123" i="24" s="1"/>
  <c r="AF122" i="24"/>
  <c r="F122" i="24"/>
  <c r="G122" i="24" s="1"/>
  <c r="H122" i="24" s="1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D122" i="24"/>
  <c r="E122" i="24" s="1"/>
  <c r="C122" i="24"/>
  <c r="E121" i="24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D121" i="24"/>
  <c r="C121" i="24"/>
  <c r="R120" i="24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D120" i="24"/>
  <c r="E120" i="24" s="1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C120" i="24"/>
  <c r="X119" i="24"/>
  <c r="Y119" i="24" s="1"/>
  <c r="Z119" i="24" s="1"/>
  <c r="AA119" i="24" s="1"/>
  <c r="AB119" i="24" s="1"/>
  <c r="AC119" i="24" s="1"/>
  <c r="AD119" i="24" s="1"/>
  <c r="AE119" i="24" s="1"/>
  <c r="AF119" i="24" s="1"/>
  <c r="J119" i="24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E119" i="24"/>
  <c r="F119" i="24" s="1"/>
  <c r="G119" i="24" s="1"/>
  <c r="H119" i="24" s="1"/>
  <c r="I119" i="24" s="1"/>
  <c r="C119" i="24"/>
  <c r="D119" i="24" s="1"/>
  <c r="C118" i="24"/>
  <c r="D118" i="24" s="1"/>
  <c r="E118" i="24" s="1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AD117" i="24"/>
  <c r="AE117" i="24" s="1"/>
  <c r="AF117" i="24" s="1"/>
  <c r="F117" i="24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E117" i="24"/>
  <c r="D117" i="24"/>
  <c r="C117" i="24"/>
  <c r="P116" i="24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H116" i="24"/>
  <c r="I116" i="24" s="1"/>
  <c r="J116" i="24" s="1"/>
  <c r="K116" i="24" s="1"/>
  <c r="L116" i="24" s="1"/>
  <c r="M116" i="24" s="1"/>
  <c r="N116" i="24" s="1"/>
  <c r="O116" i="24" s="1"/>
  <c r="E116" i="24"/>
  <c r="F116" i="24" s="1"/>
  <c r="G116" i="24" s="1"/>
  <c r="D116" i="24"/>
  <c r="C116" i="24"/>
  <c r="Y115" i="24"/>
  <c r="Z115" i="24" s="1"/>
  <c r="AA115" i="24" s="1"/>
  <c r="AB115" i="24" s="1"/>
  <c r="AC115" i="24" s="1"/>
  <c r="AD115" i="24" s="1"/>
  <c r="AE115" i="24" s="1"/>
  <c r="AF115" i="24" s="1"/>
  <c r="G115" i="24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C115" i="24"/>
  <c r="D115" i="24" s="1"/>
  <c r="E115" i="24" s="1"/>
  <c r="F115" i="24" s="1"/>
  <c r="C114" i="24"/>
  <c r="D114" i="24" s="1"/>
  <c r="E114" i="24" s="1"/>
  <c r="F114" i="24" s="1"/>
  <c r="G114" i="24" s="1"/>
  <c r="H114" i="24" s="1"/>
  <c r="I114" i="24" s="1"/>
  <c r="J114" i="24" s="1"/>
  <c r="K114" i="24" s="1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N113" i="24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C113" i="24"/>
  <c r="D113" i="24" s="1"/>
  <c r="E113" i="24" s="1"/>
  <c r="F113" i="24" s="1"/>
  <c r="G113" i="24" s="1"/>
  <c r="H113" i="24" s="1"/>
  <c r="I113" i="24" s="1"/>
  <c r="J113" i="24" s="1"/>
  <c r="K113" i="24" s="1"/>
  <c r="L113" i="24" s="1"/>
  <c r="M113" i="24" s="1"/>
  <c r="S112" i="24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H112" i="24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E112" i="24"/>
  <c r="F112" i="24" s="1"/>
  <c r="G112" i="24" s="1"/>
  <c r="D112" i="24"/>
  <c r="C112" i="24"/>
  <c r="AE111" i="24"/>
  <c r="AF111" i="24" s="1"/>
  <c r="Z111" i="24"/>
  <c r="AA111" i="24" s="1"/>
  <c r="AB111" i="24" s="1"/>
  <c r="AC111" i="24" s="1"/>
  <c r="AD111" i="24" s="1"/>
  <c r="H111" i="24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C111" i="24"/>
  <c r="D111" i="24" s="1"/>
  <c r="E111" i="24" s="1"/>
  <c r="F111" i="24" s="1"/>
  <c r="G111" i="24" s="1"/>
  <c r="M110" i="24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F110" i="24"/>
  <c r="G110" i="24" s="1"/>
  <c r="H110" i="24" s="1"/>
  <c r="I110" i="24" s="1"/>
  <c r="J110" i="24" s="1"/>
  <c r="K110" i="24" s="1"/>
  <c r="L110" i="24" s="1"/>
  <c r="D110" i="24"/>
  <c r="E110" i="24" s="1"/>
  <c r="C110" i="24"/>
  <c r="D109" i="24"/>
  <c r="E109" i="24" s="1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C109" i="24"/>
  <c r="AD108" i="24"/>
  <c r="AE108" i="24" s="1"/>
  <c r="AF108" i="24" s="1"/>
  <c r="N108" i="24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H108" i="24"/>
  <c r="I108" i="24" s="1"/>
  <c r="J108" i="24" s="1"/>
  <c r="K108" i="24" s="1"/>
  <c r="L108" i="24" s="1"/>
  <c r="M108" i="24" s="1"/>
  <c r="F108" i="24"/>
  <c r="G108" i="24" s="1"/>
  <c r="C108" i="24"/>
  <c r="D108" i="24" s="1"/>
  <c r="E108" i="24" s="1"/>
  <c r="D107" i="24"/>
  <c r="E107" i="24" s="1"/>
  <c r="F107" i="24" s="1"/>
  <c r="G107" i="24" s="1"/>
  <c r="H107" i="24" s="1"/>
  <c r="I107" i="24" s="1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C107" i="24"/>
  <c r="K106" i="24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E106" i="24"/>
  <c r="F106" i="24" s="1"/>
  <c r="G106" i="24" s="1"/>
  <c r="H106" i="24" s="1"/>
  <c r="I106" i="24" s="1"/>
  <c r="J106" i="24" s="1"/>
  <c r="C106" i="24"/>
  <c r="D106" i="24" s="1"/>
  <c r="C105" i="24"/>
  <c r="D105" i="24" s="1"/>
  <c r="E105" i="24" s="1"/>
  <c r="F105" i="24" s="1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G104" i="24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C104" i="24"/>
  <c r="D104" i="24" s="1"/>
  <c r="E104" i="24" s="1"/>
  <c r="F104" i="24" s="1"/>
  <c r="E103" i="24"/>
  <c r="F103" i="24" s="1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D103" i="24"/>
  <c r="C103" i="24"/>
  <c r="O102" i="24"/>
  <c r="P102" i="24" s="1"/>
  <c r="Q102" i="24" s="1"/>
  <c r="R102" i="24" s="1"/>
  <c r="S102" i="24" s="1"/>
  <c r="T102" i="24" s="1"/>
  <c r="U102" i="24" s="1"/>
  <c r="V102" i="24" s="1"/>
  <c r="W102" i="24" s="1"/>
  <c r="X102" i="24" s="1"/>
  <c r="Y102" i="24" s="1"/>
  <c r="Z102" i="24" s="1"/>
  <c r="AA102" i="24" s="1"/>
  <c r="AB102" i="24" s="1"/>
  <c r="AC102" i="24" s="1"/>
  <c r="AD102" i="24" s="1"/>
  <c r="AE102" i="24" s="1"/>
  <c r="AF102" i="24" s="1"/>
  <c r="D102" i="24"/>
  <c r="E102" i="24" s="1"/>
  <c r="F102" i="24" s="1"/>
  <c r="G102" i="24" s="1"/>
  <c r="H102" i="24" s="1"/>
  <c r="I102" i="24" s="1"/>
  <c r="J102" i="24" s="1"/>
  <c r="K102" i="24" s="1"/>
  <c r="L102" i="24" s="1"/>
  <c r="M102" i="24" s="1"/>
  <c r="N102" i="24" s="1"/>
  <c r="C102" i="24"/>
  <c r="M101" i="24"/>
  <c r="N101" i="24" s="1"/>
  <c r="O101" i="24" s="1"/>
  <c r="P101" i="24" s="1"/>
  <c r="Q101" i="24" s="1"/>
  <c r="R101" i="24" s="1"/>
  <c r="S101" i="24" s="1"/>
  <c r="T101" i="24" s="1"/>
  <c r="U101" i="24" s="1"/>
  <c r="V101" i="24" s="1"/>
  <c r="W101" i="24" s="1"/>
  <c r="X101" i="24" s="1"/>
  <c r="Y101" i="24" s="1"/>
  <c r="Z101" i="24" s="1"/>
  <c r="AA101" i="24" s="1"/>
  <c r="AB101" i="24" s="1"/>
  <c r="AC101" i="24" s="1"/>
  <c r="AD101" i="24" s="1"/>
  <c r="AE101" i="24" s="1"/>
  <c r="AF101" i="24" s="1"/>
  <c r="C101" i="24"/>
  <c r="D101" i="24" s="1"/>
  <c r="E101" i="24" s="1"/>
  <c r="F101" i="24" s="1"/>
  <c r="G101" i="24" s="1"/>
  <c r="H101" i="24" s="1"/>
  <c r="I101" i="24" s="1"/>
  <c r="J101" i="24" s="1"/>
  <c r="K101" i="24" s="1"/>
  <c r="L101" i="24" s="1"/>
  <c r="F100" i="24"/>
  <c r="G100" i="24" s="1"/>
  <c r="H100" i="24" s="1"/>
  <c r="I100" i="24" s="1"/>
  <c r="J100" i="24" s="1"/>
  <c r="K100" i="24" s="1"/>
  <c r="L100" i="24" s="1"/>
  <c r="M100" i="24" s="1"/>
  <c r="N100" i="24" s="1"/>
  <c r="O100" i="24" s="1"/>
  <c r="P100" i="24" s="1"/>
  <c r="Q100" i="24" s="1"/>
  <c r="R100" i="24" s="1"/>
  <c r="S100" i="24" s="1"/>
  <c r="T100" i="24" s="1"/>
  <c r="U100" i="24" s="1"/>
  <c r="V100" i="24" s="1"/>
  <c r="W100" i="24" s="1"/>
  <c r="X100" i="24" s="1"/>
  <c r="Y100" i="24" s="1"/>
  <c r="Z100" i="24" s="1"/>
  <c r="AA100" i="24" s="1"/>
  <c r="AB100" i="24" s="1"/>
  <c r="AC100" i="24" s="1"/>
  <c r="AD100" i="24" s="1"/>
  <c r="AE100" i="24" s="1"/>
  <c r="AF100" i="24" s="1"/>
  <c r="C100" i="24"/>
  <c r="D100" i="24" s="1"/>
  <c r="E100" i="24" s="1"/>
  <c r="L99" i="24"/>
  <c r="M99" i="24" s="1"/>
  <c r="N99" i="24" s="1"/>
  <c r="O99" i="24" s="1"/>
  <c r="P99" i="24" s="1"/>
  <c r="Q99" i="24" s="1"/>
  <c r="R99" i="24" s="1"/>
  <c r="S99" i="24" s="1"/>
  <c r="T99" i="24" s="1"/>
  <c r="U99" i="24" s="1"/>
  <c r="V99" i="24" s="1"/>
  <c r="W99" i="24" s="1"/>
  <c r="X99" i="24" s="1"/>
  <c r="Y99" i="24" s="1"/>
  <c r="Z99" i="24" s="1"/>
  <c r="AA99" i="24" s="1"/>
  <c r="AB99" i="24" s="1"/>
  <c r="AC99" i="24" s="1"/>
  <c r="AD99" i="24" s="1"/>
  <c r="AE99" i="24" s="1"/>
  <c r="AF99" i="24" s="1"/>
  <c r="K99" i="24"/>
  <c r="J99" i="24"/>
  <c r="C99" i="24"/>
  <c r="D99" i="24" s="1"/>
  <c r="E99" i="24" s="1"/>
  <c r="F99" i="24" s="1"/>
  <c r="G99" i="24" s="1"/>
  <c r="H99" i="24" s="1"/>
  <c r="S98" i="24"/>
  <c r="T98" i="24" s="1"/>
  <c r="U98" i="24" s="1"/>
  <c r="V98" i="24" s="1"/>
  <c r="W98" i="24" s="1"/>
  <c r="X98" i="24" s="1"/>
  <c r="Y98" i="24" s="1"/>
  <c r="Z98" i="24" s="1"/>
  <c r="AA98" i="24" s="1"/>
  <c r="AB98" i="24" s="1"/>
  <c r="AC98" i="24" s="1"/>
  <c r="AD98" i="24" s="1"/>
  <c r="AE98" i="24" s="1"/>
  <c r="AF98" i="24" s="1"/>
  <c r="Q98" i="24"/>
  <c r="R98" i="24" s="1"/>
  <c r="E98" i="24"/>
  <c r="F98" i="24" s="1"/>
  <c r="G98" i="24" s="1"/>
  <c r="H98" i="24" s="1"/>
  <c r="I98" i="24" s="1"/>
  <c r="J98" i="24" s="1"/>
  <c r="K98" i="24" s="1"/>
  <c r="L98" i="24" s="1"/>
  <c r="M98" i="24" s="1"/>
  <c r="N98" i="24" s="1"/>
  <c r="O98" i="24" s="1"/>
  <c r="P98" i="24" s="1"/>
  <c r="C98" i="24"/>
  <c r="D98" i="24" s="1"/>
  <c r="F97" i="24"/>
  <c r="G97" i="24" s="1"/>
  <c r="H97" i="24" s="1"/>
  <c r="I97" i="24" s="1"/>
  <c r="J97" i="24" s="1"/>
  <c r="K97" i="24" s="1"/>
  <c r="L97" i="24" s="1"/>
  <c r="M97" i="24" s="1"/>
  <c r="N97" i="24" s="1"/>
  <c r="O97" i="24" s="1"/>
  <c r="P97" i="24" s="1"/>
  <c r="Q97" i="24" s="1"/>
  <c r="R97" i="24" s="1"/>
  <c r="S97" i="24" s="1"/>
  <c r="T97" i="24" s="1"/>
  <c r="U97" i="24" s="1"/>
  <c r="V97" i="24" s="1"/>
  <c r="W97" i="24" s="1"/>
  <c r="X97" i="24" s="1"/>
  <c r="Y97" i="24" s="1"/>
  <c r="Z97" i="24" s="1"/>
  <c r="AA97" i="24" s="1"/>
  <c r="AB97" i="24" s="1"/>
  <c r="AC97" i="24" s="1"/>
  <c r="AD97" i="24" s="1"/>
  <c r="AE97" i="24" s="1"/>
  <c r="AF97" i="24" s="1"/>
  <c r="C97" i="24"/>
  <c r="D97" i="24" s="1"/>
  <c r="E97" i="24" s="1"/>
  <c r="D96" i="24"/>
  <c r="E96" i="24" s="1"/>
  <c r="F96" i="24" s="1"/>
  <c r="G96" i="24" s="1"/>
  <c r="H96" i="24" s="1"/>
  <c r="I96" i="24" s="1"/>
  <c r="J96" i="24" s="1"/>
  <c r="K96" i="24" s="1"/>
  <c r="L96" i="24" s="1"/>
  <c r="M96" i="24" s="1"/>
  <c r="N96" i="24" s="1"/>
  <c r="O96" i="24" s="1"/>
  <c r="P96" i="24" s="1"/>
  <c r="Q96" i="24" s="1"/>
  <c r="R96" i="24" s="1"/>
  <c r="S96" i="24" s="1"/>
  <c r="T96" i="24" s="1"/>
  <c r="U96" i="24" s="1"/>
  <c r="V96" i="24" s="1"/>
  <c r="W96" i="24" s="1"/>
  <c r="X96" i="24" s="1"/>
  <c r="Y96" i="24" s="1"/>
  <c r="Z96" i="24" s="1"/>
  <c r="AA96" i="24" s="1"/>
  <c r="AB96" i="24" s="1"/>
  <c r="AC96" i="24" s="1"/>
  <c r="AD96" i="24" s="1"/>
  <c r="AE96" i="24" s="1"/>
  <c r="AF96" i="24" s="1"/>
  <c r="C96" i="24"/>
  <c r="C95" i="24"/>
  <c r="D95" i="24" s="1"/>
  <c r="E95" i="24" s="1"/>
  <c r="F95" i="24" s="1"/>
  <c r="G95" i="24" s="1"/>
  <c r="H95" i="24" s="1"/>
  <c r="I95" i="24" s="1"/>
  <c r="J95" i="24" s="1"/>
  <c r="K95" i="24" s="1"/>
  <c r="L95" i="24" s="1"/>
  <c r="M95" i="24" s="1"/>
  <c r="N95" i="24" s="1"/>
  <c r="O95" i="24" s="1"/>
  <c r="P95" i="24" s="1"/>
  <c r="Q95" i="24" s="1"/>
  <c r="R95" i="24" s="1"/>
  <c r="S95" i="24" s="1"/>
  <c r="T95" i="24" s="1"/>
  <c r="U95" i="24" s="1"/>
  <c r="V95" i="24" s="1"/>
  <c r="W95" i="24" s="1"/>
  <c r="X95" i="24" s="1"/>
  <c r="Y95" i="24" s="1"/>
  <c r="Z95" i="24" s="1"/>
  <c r="AA95" i="24" s="1"/>
  <c r="AB95" i="24" s="1"/>
  <c r="AC95" i="24" s="1"/>
  <c r="AD95" i="24" s="1"/>
  <c r="AE95" i="24" s="1"/>
  <c r="AF95" i="24" s="1"/>
  <c r="C94" i="24"/>
  <c r="D94" i="24" s="1"/>
  <c r="E94" i="24" s="1"/>
  <c r="H93" i="24"/>
  <c r="I93" i="24" s="1"/>
  <c r="J93" i="24" s="1"/>
  <c r="K93" i="24" s="1"/>
  <c r="L93" i="24" s="1"/>
  <c r="M93" i="24" s="1"/>
  <c r="N93" i="24" s="1"/>
  <c r="O93" i="24" s="1"/>
  <c r="P93" i="24" s="1"/>
  <c r="Q93" i="24" s="1"/>
  <c r="R93" i="24" s="1"/>
  <c r="S93" i="24" s="1"/>
  <c r="T93" i="24" s="1"/>
  <c r="U93" i="24" s="1"/>
  <c r="V93" i="24" s="1"/>
  <c r="W93" i="24" s="1"/>
  <c r="X93" i="24" s="1"/>
  <c r="Y93" i="24" s="1"/>
  <c r="Z93" i="24" s="1"/>
  <c r="AA93" i="24" s="1"/>
  <c r="AB93" i="24" s="1"/>
  <c r="AC93" i="24" s="1"/>
  <c r="AD93" i="24" s="1"/>
  <c r="AE93" i="24" s="1"/>
  <c r="AF93" i="24" s="1"/>
  <c r="C93" i="24"/>
  <c r="D93" i="24" s="1"/>
  <c r="E93" i="24" s="1"/>
  <c r="F93" i="24" s="1"/>
  <c r="G93" i="24" s="1"/>
  <c r="D92" i="24"/>
  <c r="E92" i="24" s="1"/>
  <c r="F92" i="24" s="1"/>
  <c r="G92" i="24" s="1"/>
  <c r="H92" i="24" s="1"/>
  <c r="I92" i="24" s="1"/>
  <c r="J92" i="24" s="1"/>
  <c r="K92" i="24" s="1"/>
  <c r="L92" i="24" s="1"/>
  <c r="M92" i="24" s="1"/>
  <c r="N92" i="24" s="1"/>
  <c r="O92" i="24" s="1"/>
  <c r="P92" i="24" s="1"/>
  <c r="Q92" i="24" s="1"/>
  <c r="R92" i="24" s="1"/>
  <c r="S92" i="24" s="1"/>
  <c r="T92" i="24" s="1"/>
  <c r="U92" i="24" s="1"/>
  <c r="V92" i="24" s="1"/>
  <c r="W92" i="24" s="1"/>
  <c r="X92" i="24" s="1"/>
  <c r="Y92" i="24" s="1"/>
  <c r="Z92" i="24" s="1"/>
  <c r="AA92" i="24" s="1"/>
  <c r="AB92" i="24" s="1"/>
  <c r="AC92" i="24" s="1"/>
  <c r="AD92" i="24" s="1"/>
  <c r="AE92" i="24" s="1"/>
  <c r="AF92" i="24" s="1"/>
  <c r="C92" i="24"/>
  <c r="P91" i="24"/>
  <c r="Q91" i="24" s="1"/>
  <c r="R91" i="24" s="1"/>
  <c r="S91" i="24" s="1"/>
  <c r="T91" i="24" s="1"/>
  <c r="U91" i="24" s="1"/>
  <c r="V91" i="24" s="1"/>
  <c r="W91" i="24" s="1"/>
  <c r="X91" i="24" s="1"/>
  <c r="Y91" i="24" s="1"/>
  <c r="Z91" i="24" s="1"/>
  <c r="AA91" i="24" s="1"/>
  <c r="AB91" i="24" s="1"/>
  <c r="AC91" i="24" s="1"/>
  <c r="AD91" i="24" s="1"/>
  <c r="AE91" i="24" s="1"/>
  <c r="AF91" i="24" s="1"/>
  <c r="G91" i="24"/>
  <c r="H91" i="24" s="1"/>
  <c r="I91" i="24" s="1"/>
  <c r="J91" i="24" s="1"/>
  <c r="K91" i="24" s="1"/>
  <c r="L91" i="24" s="1"/>
  <c r="M91" i="24" s="1"/>
  <c r="N91" i="24" s="1"/>
  <c r="O91" i="24" s="1"/>
  <c r="E91" i="24"/>
  <c r="F91" i="24" s="1"/>
  <c r="C91" i="24"/>
  <c r="D91" i="24" s="1"/>
  <c r="C90" i="24"/>
  <c r="D90" i="24" s="1"/>
  <c r="E90" i="24" s="1"/>
  <c r="F90" i="24" s="1"/>
  <c r="G90" i="24" s="1"/>
  <c r="H90" i="24" s="1"/>
  <c r="I90" i="24" s="1"/>
  <c r="J90" i="24" s="1"/>
  <c r="K90" i="24" s="1"/>
  <c r="L90" i="24" s="1"/>
  <c r="M90" i="24" s="1"/>
  <c r="N90" i="24" s="1"/>
  <c r="O90" i="24" s="1"/>
  <c r="P90" i="24" s="1"/>
  <c r="Q90" i="24" s="1"/>
  <c r="R90" i="24" s="1"/>
  <c r="S90" i="24" s="1"/>
  <c r="T90" i="24" s="1"/>
  <c r="U90" i="24" s="1"/>
  <c r="V90" i="24" s="1"/>
  <c r="W90" i="24" s="1"/>
  <c r="X90" i="24" s="1"/>
  <c r="Y90" i="24" s="1"/>
  <c r="Z90" i="24" s="1"/>
  <c r="AA90" i="24" s="1"/>
  <c r="AB90" i="24" s="1"/>
  <c r="AC90" i="24" s="1"/>
  <c r="AD90" i="24" s="1"/>
  <c r="AE90" i="24" s="1"/>
  <c r="AF90" i="24" s="1"/>
  <c r="C89" i="24"/>
  <c r="AH86" i="24"/>
  <c r="AI86" i="24" s="1"/>
  <c r="AH85" i="24"/>
  <c r="AI85" i="24" s="1"/>
  <c r="AH84" i="24"/>
  <c r="AI84" i="24" s="1"/>
  <c r="AH83" i="24"/>
  <c r="AI83" i="24" s="1"/>
  <c r="B82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AI79" i="24"/>
  <c r="AH79" i="24"/>
  <c r="AI78" i="24"/>
  <c r="AH78" i="24"/>
  <c r="AI77" i="24"/>
  <c r="AH77" i="24"/>
  <c r="AI76" i="24"/>
  <c r="AH76" i="24"/>
  <c r="AI75" i="24"/>
  <c r="AH75" i="24"/>
  <c r="AI74" i="24"/>
  <c r="AH74" i="24"/>
  <c r="AI73" i="24"/>
  <c r="AH73" i="24"/>
  <c r="AI72" i="24"/>
  <c r="AH72" i="24"/>
  <c r="AG71" i="24"/>
  <c r="M71" i="24"/>
  <c r="AI70" i="24"/>
  <c r="AH70" i="24"/>
  <c r="AF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C71" i="24" s="1"/>
  <c r="B69" i="24"/>
  <c r="AF68" i="24"/>
  <c r="AE68" i="24"/>
  <c r="AE71" i="24" s="1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R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B68" i="24"/>
  <c r="AF67" i="24"/>
  <c r="AE67" i="24"/>
  <c r="AD67" i="24"/>
  <c r="AC67" i="24"/>
  <c r="AB67" i="24"/>
  <c r="AA67" i="24"/>
  <c r="Z67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E71" i="24" s="1"/>
  <c r="D67" i="24"/>
  <c r="C67" i="24"/>
  <c r="B67" i="24"/>
  <c r="AF66" i="24"/>
  <c r="AE66" i="24"/>
  <c r="AD66" i="24"/>
  <c r="AC66" i="24"/>
  <c r="AB66" i="24"/>
  <c r="AA66" i="24"/>
  <c r="Z66" i="24"/>
  <c r="Y66" i="24"/>
  <c r="Y71" i="24" s="1"/>
  <c r="X66" i="24"/>
  <c r="W66" i="24"/>
  <c r="V66" i="24"/>
  <c r="U66" i="24"/>
  <c r="U71" i="24" s="1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AI64" i="24"/>
  <c r="AH64" i="24"/>
  <c r="AG63" i="24"/>
  <c r="AF63" i="24"/>
  <c r="AE63" i="24"/>
  <c r="AD63" i="24"/>
  <c r="AC63" i="24"/>
  <c r="AB63" i="24"/>
  <c r="AA63" i="24"/>
  <c r="Z63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AH63" i="24" s="1"/>
  <c r="AI62" i="24"/>
  <c r="AH62" i="24"/>
  <c r="AI61" i="24"/>
  <c r="AH61" i="24"/>
  <c r="AI60" i="24"/>
  <c r="AH60" i="24"/>
  <c r="AG59" i="24"/>
  <c r="AF59" i="24"/>
  <c r="AF5" i="24" s="1"/>
  <c r="AE59" i="24"/>
  <c r="AE5" i="24" s="1"/>
  <c r="AD59" i="24"/>
  <c r="AD5" i="24" s="1"/>
  <c r="AC59" i="24"/>
  <c r="AC5" i="24" s="1"/>
  <c r="AB59" i="24"/>
  <c r="AB5" i="24" s="1"/>
  <c r="AA59" i="24"/>
  <c r="AA5" i="24" s="1"/>
  <c r="Z59" i="24"/>
  <c r="Y59" i="24"/>
  <c r="Y5" i="24" s="1"/>
  <c r="X59" i="24"/>
  <c r="W59" i="24"/>
  <c r="W5" i="24" s="1"/>
  <c r="V59" i="24"/>
  <c r="U59" i="24"/>
  <c r="T59" i="24"/>
  <c r="T5" i="24" s="1"/>
  <c r="S59" i="24"/>
  <c r="S5" i="24" s="1"/>
  <c r="R59" i="24"/>
  <c r="R5" i="24" s="1"/>
  <c r="Q59" i="24"/>
  <c r="Q5" i="24" s="1"/>
  <c r="P59" i="24"/>
  <c r="P5" i="24" s="1"/>
  <c r="O59" i="24"/>
  <c r="O5" i="24" s="1"/>
  <c r="N59" i="24"/>
  <c r="M59" i="24"/>
  <c r="M5" i="24" s="1"/>
  <c r="L59" i="24"/>
  <c r="K59" i="24"/>
  <c r="K5" i="24" s="1"/>
  <c r="J59" i="24"/>
  <c r="J5" i="24" s="1"/>
  <c r="I59" i="24"/>
  <c r="I5" i="24" s="1"/>
  <c r="H59" i="24"/>
  <c r="G59" i="24"/>
  <c r="G5" i="24" s="1"/>
  <c r="F59" i="24"/>
  <c r="F5" i="24" s="1"/>
  <c r="E59" i="24"/>
  <c r="E5" i="24" s="1"/>
  <c r="D59" i="24"/>
  <c r="C59" i="24"/>
  <c r="C5" i="24" s="1"/>
  <c r="B59" i="24"/>
  <c r="B5" i="24" s="1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G47" i="24"/>
  <c r="AG4" i="24" s="1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B47" i="24"/>
  <c r="AI46" i="24"/>
  <c r="AH46" i="24"/>
  <c r="AI45" i="24"/>
  <c r="AH45" i="24"/>
  <c r="AI44" i="24"/>
  <c r="AH44" i="24"/>
  <c r="B43" i="24"/>
  <c r="AG42" i="24"/>
  <c r="AG43" i="24" s="1"/>
  <c r="AG3" i="24" s="1"/>
  <c r="AG6" i="24" s="1"/>
  <c r="B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G30" i="24"/>
  <c r="AG2" i="24" s="1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Z5" i="24"/>
  <c r="X5" i="24"/>
  <c r="V5" i="24"/>
  <c r="U5" i="24"/>
  <c r="N5" i="24"/>
  <c r="L5" i="24"/>
  <c r="H5" i="24"/>
  <c r="D5" i="24"/>
  <c r="K4" i="24"/>
  <c r="C4" i="24"/>
  <c r="D190" i="24" s="1"/>
  <c r="X47" i="23"/>
  <c r="K179" i="25"/>
  <c r="K42" i="25" s="1"/>
  <c r="K43" i="25" s="1"/>
  <c r="K65" i="25" s="1"/>
  <c r="L173" i="25"/>
  <c r="AB193" i="25"/>
  <c r="J7" i="25"/>
  <c r="K214" i="25"/>
  <c r="L178" i="25"/>
  <c r="J171" i="25"/>
  <c r="K89" i="25"/>
  <c r="AA193" i="25"/>
  <c r="I7" i="25"/>
  <c r="J82" i="25"/>
  <c r="K94" i="25"/>
  <c r="AD71" i="24"/>
  <c r="AC71" i="24"/>
  <c r="AB71" i="24"/>
  <c r="AA71" i="24"/>
  <c r="Z71" i="24"/>
  <c r="W71" i="24"/>
  <c r="T71" i="24"/>
  <c r="S71" i="24"/>
  <c r="V71" i="24"/>
  <c r="R71" i="24"/>
  <c r="O71" i="24"/>
  <c r="N71" i="24"/>
  <c r="L71" i="24"/>
  <c r="K71" i="24"/>
  <c r="J71" i="24"/>
  <c r="AH67" i="24"/>
  <c r="AH68" i="24"/>
  <c r="G71" i="24"/>
  <c r="D71" i="24"/>
  <c r="AH80" i="24"/>
  <c r="B71" i="24"/>
  <c r="AI30" i="24"/>
  <c r="AI68" i="24"/>
  <c r="F94" i="24"/>
  <c r="AI59" i="24"/>
  <c r="AH59" i="24"/>
  <c r="AI69" i="24"/>
  <c r="AH30" i="24"/>
  <c r="AI47" i="24"/>
  <c r="AH47" i="24"/>
  <c r="C171" i="24"/>
  <c r="D89" i="24"/>
  <c r="AH69" i="24"/>
  <c r="F71" i="24"/>
  <c r="AI80" i="24"/>
  <c r="H71" i="24"/>
  <c r="P71" i="24"/>
  <c r="X71" i="24"/>
  <c r="AF71" i="24"/>
  <c r="AG65" i="24"/>
  <c r="I71" i="24"/>
  <c r="Q71" i="24"/>
  <c r="AH66" i="24"/>
  <c r="AI67" i="24"/>
  <c r="B65" i="24"/>
  <c r="AI63" i="24"/>
  <c r="D127" i="24"/>
  <c r="C82" i="24"/>
  <c r="AI66" i="24"/>
  <c r="D178" i="24"/>
  <c r="C214" i="24"/>
  <c r="C179" i="24"/>
  <c r="C42" i="24" s="1"/>
  <c r="E173" i="24"/>
  <c r="K171" i="25"/>
  <c r="L89" i="25"/>
  <c r="K82" i="25"/>
  <c r="L94" i="25"/>
  <c r="L179" i="25"/>
  <c r="L42" i="25" s="1"/>
  <c r="L43" i="25" s="1"/>
  <c r="L65" i="25" s="1"/>
  <c r="M173" i="25"/>
  <c r="L214" i="25"/>
  <c r="M178" i="25"/>
  <c r="AC193" i="25"/>
  <c r="K7" i="25"/>
  <c r="AI71" i="24"/>
  <c r="C43" i="24"/>
  <c r="E127" i="24"/>
  <c r="D82" i="24"/>
  <c r="E179" i="24"/>
  <c r="E42" i="24" s="1"/>
  <c r="E43" i="24" s="1"/>
  <c r="E65" i="24" s="1"/>
  <c r="F173" i="24"/>
  <c r="D214" i="24"/>
  <c r="E178" i="24"/>
  <c r="G94" i="24"/>
  <c r="T193" i="24"/>
  <c r="B7" i="24"/>
  <c r="D171" i="24"/>
  <c r="E89" i="24"/>
  <c r="AH71" i="24"/>
  <c r="D179" i="24"/>
  <c r="D42" i="24" s="1"/>
  <c r="D43" i="24" s="1"/>
  <c r="D65" i="24" s="1"/>
  <c r="L82" i="25"/>
  <c r="M94" i="25"/>
  <c r="M214" i="25"/>
  <c r="N178" i="25"/>
  <c r="N173" i="25"/>
  <c r="M179" i="25"/>
  <c r="M42" i="25" s="1"/>
  <c r="M43" i="25" s="1"/>
  <c r="M65" i="25" s="1"/>
  <c r="C188" i="25" s="1"/>
  <c r="L171" i="25"/>
  <c r="M89" i="25"/>
  <c r="AD193" i="25"/>
  <c r="L7" i="25"/>
  <c r="F127" i="24"/>
  <c r="E82" i="24"/>
  <c r="F178" i="24"/>
  <c r="E214" i="24"/>
  <c r="C65" i="24"/>
  <c r="W193" i="24"/>
  <c r="E7" i="24"/>
  <c r="H94" i="24"/>
  <c r="V193" i="24"/>
  <c r="D7" i="24"/>
  <c r="E171" i="24"/>
  <c r="F89" i="24"/>
  <c r="F179" i="24"/>
  <c r="F42" i="24" s="1"/>
  <c r="F43" i="24" s="1"/>
  <c r="F65" i="24" s="1"/>
  <c r="G173" i="24"/>
  <c r="O173" i="25"/>
  <c r="N179" i="25"/>
  <c r="N42" i="25" s="1"/>
  <c r="N43" i="25" s="1"/>
  <c r="N65" i="25" s="1"/>
  <c r="N214" i="25"/>
  <c r="O178" i="25"/>
  <c r="AE193" i="25"/>
  <c r="M7" i="25"/>
  <c r="N94" i="25"/>
  <c r="M82" i="25"/>
  <c r="M171" i="25"/>
  <c r="N89" i="25"/>
  <c r="B188" i="25"/>
  <c r="K6" i="25" s="1"/>
  <c r="H173" i="24"/>
  <c r="U193" i="24"/>
  <c r="C7" i="24"/>
  <c r="X193" i="24"/>
  <c r="F7" i="24"/>
  <c r="I94" i="24"/>
  <c r="G178" i="24"/>
  <c r="F214" i="24"/>
  <c r="G127" i="24"/>
  <c r="F82" i="24"/>
  <c r="F171" i="24"/>
  <c r="G89" i="24"/>
  <c r="O214" i="25"/>
  <c r="P178" i="25"/>
  <c r="N171" i="25"/>
  <c r="O89" i="25"/>
  <c r="AF193" i="25"/>
  <c r="N7" i="25"/>
  <c r="O94" i="25"/>
  <c r="N82" i="25"/>
  <c r="P173" i="25"/>
  <c r="O179" i="25"/>
  <c r="O42" i="25" s="1"/>
  <c r="O43" i="25" s="1"/>
  <c r="O65" i="25" s="1"/>
  <c r="H178" i="24"/>
  <c r="G214" i="24"/>
  <c r="G171" i="24"/>
  <c r="H89" i="24"/>
  <c r="I173" i="24"/>
  <c r="H179" i="24"/>
  <c r="H42" i="24" s="1"/>
  <c r="H43" i="24" s="1"/>
  <c r="H65" i="24" s="1"/>
  <c r="J94" i="24"/>
  <c r="H127" i="24"/>
  <c r="G82" i="24"/>
  <c r="G179" i="24"/>
  <c r="G42" i="24" s="1"/>
  <c r="P94" i="25"/>
  <c r="O82" i="25"/>
  <c r="P214" i="25"/>
  <c r="Q178" i="25"/>
  <c r="O171" i="25"/>
  <c r="P89" i="25"/>
  <c r="AG193" i="25"/>
  <c r="O7" i="25"/>
  <c r="Q173" i="25"/>
  <c r="P179" i="25"/>
  <c r="P42" i="25" s="1"/>
  <c r="P43" i="25" s="1"/>
  <c r="P65" i="25" s="1"/>
  <c r="Z193" i="24"/>
  <c r="H7" i="24"/>
  <c r="G43" i="24"/>
  <c r="I127" i="24"/>
  <c r="H82" i="24"/>
  <c r="J173" i="24"/>
  <c r="I179" i="24"/>
  <c r="I42" i="24" s="1"/>
  <c r="I43" i="24" s="1"/>
  <c r="I65" i="24" s="1"/>
  <c r="H171" i="24"/>
  <c r="I89" i="24"/>
  <c r="K94" i="24"/>
  <c r="I178" i="24"/>
  <c r="H214" i="24"/>
  <c r="M59" i="23"/>
  <c r="P171" i="25"/>
  <c r="Q89" i="25"/>
  <c r="R178" i="25"/>
  <c r="Q214" i="25"/>
  <c r="AH193" i="25"/>
  <c r="P7" i="25"/>
  <c r="Q179" i="25"/>
  <c r="Q42" i="25" s="1"/>
  <c r="Q43" i="25" s="1"/>
  <c r="Q65" i="25" s="1"/>
  <c r="R173" i="25"/>
  <c r="Q94" i="25"/>
  <c r="P82" i="25"/>
  <c r="AA193" i="24"/>
  <c r="I7" i="24"/>
  <c r="K173" i="24"/>
  <c r="I214" i="24"/>
  <c r="J178" i="24"/>
  <c r="J127" i="24"/>
  <c r="I82" i="24"/>
  <c r="L94" i="24"/>
  <c r="G65" i="24"/>
  <c r="I171" i="24"/>
  <c r="J89" i="24"/>
  <c r="R179" i="25"/>
  <c r="R42" i="25" s="1"/>
  <c r="R43" i="25" s="1"/>
  <c r="R65" i="25" s="1"/>
  <c r="S173" i="25"/>
  <c r="AI193" i="25"/>
  <c r="Q7" i="25"/>
  <c r="S178" i="25"/>
  <c r="R214" i="25"/>
  <c r="Q171" i="25"/>
  <c r="R89" i="25"/>
  <c r="Q82" i="25"/>
  <c r="R94" i="25"/>
  <c r="J171" i="24"/>
  <c r="K89" i="24"/>
  <c r="K127" i="24"/>
  <c r="J82" i="24"/>
  <c r="J214" i="24"/>
  <c r="K178" i="24"/>
  <c r="L173" i="24"/>
  <c r="K179" i="24"/>
  <c r="K42" i="24" s="1"/>
  <c r="K43" i="24" s="1"/>
  <c r="K65" i="24" s="1"/>
  <c r="Y193" i="24"/>
  <c r="G7" i="24"/>
  <c r="M94" i="24"/>
  <c r="J179" i="24"/>
  <c r="J42" i="24" s="1"/>
  <c r="J43" i="24" s="1"/>
  <c r="S214" i="25"/>
  <c r="T178" i="25"/>
  <c r="R171" i="25"/>
  <c r="S89" i="25"/>
  <c r="R82" i="25"/>
  <c r="S94" i="25"/>
  <c r="S179" i="25"/>
  <c r="S42" i="25" s="1"/>
  <c r="S43" i="25" s="1"/>
  <c r="S65" i="25" s="1"/>
  <c r="T173" i="25"/>
  <c r="AJ193" i="25"/>
  <c r="R7" i="25"/>
  <c r="N94" i="24"/>
  <c r="M173" i="24"/>
  <c r="L178" i="24"/>
  <c r="K214" i="24"/>
  <c r="L127" i="24"/>
  <c r="K82" i="24"/>
  <c r="AC193" i="24"/>
  <c r="K7" i="24"/>
  <c r="K171" i="24"/>
  <c r="L89" i="24"/>
  <c r="J65" i="24"/>
  <c r="S82" i="25"/>
  <c r="T94" i="25"/>
  <c r="T179" i="25"/>
  <c r="T42" i="25" s="1"/>
  <c r="T43" i="25" s="1"/>
  <c r="T65" i="25" s="1"/>
  <c r="U173" i="25"/>
  <c r="S171" i="25"/>
  <c r="T89" i="25"/>
  <c r="T214" i="25"/>
  <c r="U178" i="25"/>
  <c r="AK193" i="25"/>
  <c r="S7" i="25"/>
  <c r="AB193" i="24"/>
  <c r="J7" i="24"/>
  <c r="L214" i="24"/>
  <c r="M178" i="24"/>
  <c r="M127" i="24"/>
  <c r="L82" i="24"/>
  <c r="L179" i="24"/>
  <c r="L42" i="24" s="1"/>
  <c r="L43" i="24" s="1"/>
  <c r="L171" i="24"/>
  <c r="M89" i="24"/>
  <c r="N173" i="24"/>
  <c r="O94" i="24"/>
  <c r="V173" i="25"/>
  <c r="U179" i="25"/>
  <c r="U42" i="25" s="1"/>
  <c r="U43" i="25" s="1"/>
  <c r="U65" i="25" s="1"/>
  <c r="T171" i="25"/>
  <c r="U89" i="25"/>
  <c r="AL193" i="25"/>
  <c r="T7" i="25"/>
  <c r="T82" i="25"/>
  <c r="U94" i="25"/>
  <c r="U214" i="25"/>
  <c r="V178" i="25"/>
  <c r="P94" i="24"/>
  <c r="N179" i="24"/>
  <c r="N42" i="24" s="1"/>
  <c r="N43" i="24" s="1"/>
  <c r="N65" i="24" s="1"/>
  <c r="O173" i="24"/>
  <c r="M171" i="24"/>
  <c r="N89" i="24"/>
  <c r="L65" i="24"/>
  <c r="N178" i="24"/>
  <c r="M214" i="24"/>
  <c r="M179" i="24"/>
  <c r="M42" i="24" s="1"/>
  <c r="M43" i="24" s="1"/>
  <c r="M65" i="24" s="1"/>
  <c r="N127" i="24"/>
  <c r="M82" i="24"/>
  <c r="V94" i="25"/>
  <c r="U82" i="25"/>
  <c r="U171" i="25"/>
  <c r="V89" i="25"/>
  <c r="V214" i="25"/>
  <c r="W178" i="25"/>
  <c r="AM193" i="25"/>
  <c r="U7" i="25"/>
  <c r="W173" i="25"/>
  <c r="V179" i="25"/>
  <c r="V42" i="25" s="1"/>
  <c r="V43" i="25" s="1"/>
  <c r="V65" i="25" s="1"/>
  <c r="AD193" i="24"/>
  <c r="L7" i="24"/>
  <c r="B188" i="24"/>
  <c r="C188" i="24"/>
  <c r="AE193" i="24"/>
  <c r="M7" i="24"/>
  <c r="AF193" i="24"/>
  <c r="N7" i="24"/>
  <c r="N171" i="24"/>
  <c r="O89" i="24"/>
  <c r="O127" i="24"/>
  <c r="N82" i="24"/>
  <c r="P173" i="24"/>
  <c r="O179" i="24"/>
  <c r="O42" i="24" s="1"/>
  <c r="O43" i="24" s="1"/>
  <c r="O65" i="24" s="1"/>
  <c r="Q94" i="24"/>
  <c r="O178" i="24"/>
  <c r="N214" i="24"/>
  <c r="W214" i="25"/>
  <c r="X178" i="25"/>
  <c r="V171" i="25"/>
  <c r="W89" i="25"/>
  <c r="AN193" i="25"/>
  <c r="V7" i="25"/>
  <c r="X173" i="25"/>
  <c r="W179" i="25"/>
  <c r="W42" i="25" s="1"/>
  <c r="W43" i="25" s="1"/>
  <c r="W65" i="25" s="1"/>
  <c r="W94" i="25"/>
  <c r="V82" i="25"/>
  <c r="AG193" i="24"/>
  <c r="O7" i="24"/>
  <c r="P127" i="24"/>
  <c r="O82" i="24"/>
  <c r="P179" i="24"/>
  <c r="P42" i="24" s="1"/>
  <c r="P43" i="24" s="1"/>
  <c r="P65" i="24" s="1"/>
  <c r="Q173" i="24"/>
  <c r="O171" i="24"/>
  <c r="P89" i="24"/>
  <c r="P178" i="24"/>
  <c r="O214" i="24"/>
  <c r="K6" i="24"/>
  <c r="R94" i="24"/>
  <c r="AO193" i="25"/>
  <c r="W7" i="25"/>
  <c r="Y173" i="25"/>
  <c r="X179" i="25"/>
  <c r="X42" i="25" s="1"/>
  <c r="X43" i="25" s="1"/>
  <c r="X65" i="25" s="1"/>
  <c r="W171" i="25"/>
  <c r="X89" i="25"/>
  <c r="X214" i="25"/>
  <c r="Y178" i="25"/>
  <c r="X94" i="25"/>
  <c r="W82" i="25"/>
  <c r="R173" i="24"/>
  <c r="AH193" i="24"/>
  <c r="P7" i="24"/>
  <c r="S94" i="24"/>
  <c r="P171" i="24"/>
  <c r="Q89" i="24"/>
  <c r="Q127" i="24"/>
  <c r="P82" i="24"/>
  <c r="Q178" i="24"/>
  <c r="P214" i="24"/>
  <c r="Z178" i="25"/>
  <c r="Y214" i="25"/>
  <c r="AP193" i="25"/>
  <c r="X7" i="25"/>
  <c r="X171" i="25"/>
  <c r="Y89" i="25"/>
  <c r="Y179" i="25"/>
  <c r="Y42" i="25" s="1"/>
  <c r="Y43" i="25" s="1"/>
  <c r="Y65" i="25" s="1"/>
  <c r="Z173" i="25"/>
  <c r="Y94" i="25"/>
  <c r="X82" i="25"/>
  <c r="T94" i="24"/>
  <c r="Q214" i="24"/>
  <c r="R178" i="24"/>
  <c r="R179" i="24" s="1"/>
  <c r="R42" i="24" s="1"/>
  <c r="R43" i="24" s="1"/>
  <c r="R65" i="24" s="1"/>
  <c r="Q171" i="24"/>
  <c r="R89" i="24"/>
  <c r="Q179" i="24"/>
  <c r="Q42" i="24" s="1"/>
  <c r="Q43" i="24" s="1"/>
  <c r="Q65" i="24" s="1"/>
  <c r="R127" i="24"/>
  <c r="Q82" i="24"/>
  <c r="S173" i="24"/>
  <c r="Z179" i="25"/>
  <c r="Z43" i="25" s="1"/>
  <c r="Z65" i="25" s="1"/>
  <c r="AA173" i="25"/>
  <c r="AQ193" i="25"/>
  <c r="Y7" i="25"/>
  <c r="Y171" i="25"/>
  <c r="Z89" i="25"/>
  <c r="Z94" i="25"/>
  <c r="Y82" i="25"/>
  <c r="AA178" i="25"/>
  <c r="Z214" i="25"/>
  <c r="AJ193" i="24"/>
  <c r="R7" i="24"/>
  <c r="S127" i="24"/>
  <c r="R82" i="24"/>
  <c r="AI193" i="24"/>
  <c r="Q7" i="24"/>
  <c r="R171" i="24"/>
  <c r="S89" i="24"/>
  <c r="S178" i="24"/>
  <c r="S179" i="24" s="1"/>
  <c r="S42" i="24" s="1"/>
  <c r="S43" i="24" s="1"/>
  <c r="S65" i="24" s="1"/>
  <c r="R214" i="24"/>
  <c r="T173" i="24"/>
  <c r="U94" i="24"/>
  <c r="Z171" i="25"/>
  <c r="AA89" i="25"/>
  <c r="Z82" i="25"/>
  <c r="AA94" i="25"/>
  <c r="AA179" i="25"/>
  <c r="AA42" i="25" s="1"/>
  <c r="AA43" i="25" s="1"/>
  <c r="AA65" i="25" s="1"/>
  <c r="AB173" i="25"/>
  <c r="AA214" i="25"/>
  <c r="AB178" i="25"/>
  <c r="AR193" i="25"/>
  <c r="Z7" i="25"/>
  <c r="AK193" i="24"/>
  <c r="S7" i="24"/>
  <c r="S171" i="24"/>
  <c r="T89" i="24"/>
  <c r="V94" i="24"/>
  <c r="U173" i="24"/>
  <c r="T179" i="24"/>
  <c r="T42" i="24" s="1"/>
  <c r="T43" i="24" s="1"/>
  <c r="T65" i="24" s="1"/>
  <c r="T127" i="24"/>
  <c r="S82" i="24"/>
  <c r="T178" i="24"/>
  <c r="S214" i="24"/>
  <c r="AB214" i="25"/>
  <c r="AC178" i="25"/>
  <c r="AA82" i="25"/>
  <c r="AB94" i="25"/>
  <c r="AB179" i="25"/>
  <c r="AB42" i="25" s="1"/>
  <c r="AB43" i="25" s="1"/>
  <c r="AB65" i="25" s="1"/>
  <c r="AC173" i="25"/>
  <c r="AA171" i="25"/>
  <c r="AB89" i="25"/>
  <c r="AS193" i="25"/>
  <c r="AA7" i="25"/>
  <c r="AL193" i="24"/>
  <c r="T7" i="24"/>
  <c r="V173" i="24"/>
  <c r="W94" i="24"/>
  <c r="T214" i="24"/>
  <c r="U178" i="24"/>
  <c r="U179" i="24" s="1"/>
  <c r="U42" i="24" s="1"/>
  <c r="U43" i="24" s="1"/>
  <c r="U65" i="24" s="1"/>
  <c r="T171" i="24"/>
  <c r="U89" i="24"/>
  <c r="U127" i="24"/>
  <c r="T82" i="24"/>
  <c r="AB82" i="25"/>
  <c r="AC94" i="25"/>
  <c r="AD173" i="25"/>
  <c r="AC179" i="25"/>
  <c r="AC42" i="25" s="1"/>
  <c r="AC43" i="25" s="1"/>
  <c r="AC65" i="25" s="1"/>
  <c r="AT193" i="25"/>
  <c r="AB7" i="25"/>
  <c r="AC214" i="25"/>
  <c r="AD178" i="25"/>
  <c r="AB171" i="25"/>
  <c r="AC89" i="25"/>
  <c r="AM193" i="24"/>
  <c r="U7" i="24"/>
  <c r="V127" i="24"/>
  <c r="U82" i="24"/>
  <c r="U214" i="24"/>
  <c r="V178" i="24"/>
  <c r="X94" i="24"/>
  <c r="W173" i="24"/>
  <c r="U171" i="24"/>
  <c r="V89" i="24"/>
  <c r="AD214" i="25"/>
  <c r="AE178" i="25"/>
  <c r="AE173" i="25"/>
  <c r="AD179" i="25"/>
  <c r="AD42" i="25" s="1"/>
  <c r="AD43" i="25" s="1"/>
  <c r="AD65" i="25" s="1"/>
  <c r="AU193" i="25"/>
  <c r="AC7" i="25"/>
  <c r="AC171" i="25"/>
  <c r="AD89" i="25"/>
  <c r="AD94" i="25"/>
  <c r="AC82" i="25"/>
  <c r="Y94" i="24"/>
  <c r="V171" i="24"/>
  <c r="W89" i="24"/>
  <c r="W127" i="24"/>
  <c r="V82" i="24"/>
  <c r="W178" i="24"/>
  <c r="V214" i="24"/>
  <c r="V179" i="24"/>
  <c r="V42" i="24" s="1"/>
  <c r="V43" i="24" s="1"/>
  <c r="V65" i="24" s="1"/>
  <c r="X173" i="24"/>
  <c r="AD171" i="25"/>
  <c r="AE89" i="25"/>
  <c r="AV193" i="25"/>
  <c r="AD7" i="25"/>
  <c r="AF173" i="25"/>
  <c r="AE179" i="25"/>
  <c r="AE42" i="25" s="1"/>
  <c r="AE43" i="25" s="1"/>
  <c r="AE65" i="25" s="1"/>
  <c r="AE214" i="25"/>
  <c r="AF178" i="25"/>
  <c r="AF214" i="25" s="1"/>
  <c r="AE94" i="25"/>
  <c r="AD82" i="25"/>
  <c r="AN193" i="24"/>
  <c r="V7" i="24"/>
  <c r="X178" i="24"/>
  <c r="W214" i="24"/>
  <c r="X127" i="24"/>
  <c r="W82" i="24"/>
  <c r="W171" i="24"/>
  <c r="X89" i="24"/>
  <c r="X179" i="24"/>
  <c r="X42" i="24" s="1"/>
  <c r="X43" i="24" s="1"/>
  <c r="X65" i="24" s="1"/>
  <c r="Y173" i="24"/>
  <c r="W179" i="24"/>
  <c r="W42" i="24" s="1"/>
  <c r="W43" i="24" s="1"/>
  <c r="W65" i="24" s="1"/>
  <c r="Z94" i="24"/>
  <c r="AW193" i="25"/>
  <c r="AE7" i="25"/>
  <c r="AF179" i="25"/>
  <c r="AF42" i="25" s="1"/>
  <c r="AE171" i="25"/>
  <c r="AF89" i="25"/>
  <c r="AF94" i="25"/>
  <c r="AF82" i="25" s="1"/>
  <c r="AE82" i="25"/>
  <c r="X171" i="24"/>
  <c r="Y89" i="24"/>
  <c r="AO193" i="24"/>
  <c r="W7" i="24"/>
  <c r="Y178" i="24"/>
  <c r="X214" i="24"/>
  <c r="Y127" i="24"/>
  <c r="X82" i="24"/>
  <c r="AA94" i="24"/>
  <c r="Z173" i="24"/>
  <c r="AP193" i="24"/>
  <c r="X7" i="24"/>
  <c r="AI82" i="25"/>
  <c r="AH82" i="25"/>
  <c r="AF171" i="25"/>
  <c r="AF43" i="25"/>
  <c r="AH42" i="25"/>
  <c r="AI42" i="25"/>
  <c r="AA173" i="24"/>
  <c r="Y214" i="24"/>
  <c r="Z178" i="24"/>
  <c r="Y171" i="24"/>
  <c r="Z89" i="24"/>
  <c r="Z127" i="24"/>
  <c r="Y82" i="24"/>
  <c r="Y179" i="24"/>
  <c r="Y42" i="24" s="1"/>
  <c r="Y43" i="24" s="1"/>
  <c r="Y65" i="24" s="1"/>
  <c r="AB94" i="24"/>
  <c r="AF65" i="25"/>
  <c r="AI43" i="25"/>
  <c r="AH43" i="25"/>
  <c r="AA127" i="24"/>
  <c r="Z82" i="24"/>
  <c r="Z171" i="24"/>
  <c r="AA89" i="24"/>
  <c r="Z214" i="24"/>
  <c r="AA178" i="24"/>
  <c r="AC94" i="24"/>
  <c r="AB173" i="24"/>
  <c r="AQ193" i="24"/>
  <c r="Y7" i="24"/>
  <c r="Z179" i="24"/>
  <c r="Z43" i="24" s="1"/>
  <c r="Z65" i="24" s="1"/>
  <c r="AX193" i="25"/>
  <c r="AF7" i="25"/>
  <c r="A7" i="25" s="1"/>
  <c r="AH65" i="25"/>
  <c r="AI65" i="25"/>
  <c r="AD94" i="24"/>
  <c r="AR193" i="24"/>
  <c r="Z7" i="24"/>
  <c r="AB178" i="24"/>
  <c r="AB179" i="24" s="1"/>
  <c r="AB42" i="24" s="1"/>
  <c r="AB43" i="24" s="1"/>
  <c r="AB65" i="24" s="1"/>
  <c r="AA214" i="24"/>
  <c r="AA171" i="24"/>
  <c r="AB89" i="24"/>
  <c r="AA179" i="24"/>
  <c r="AA42" i="24" s="1"/>
  <c r="AA43" i="24" s="1"/>
  <c r="AA65" i="24" s="1"/>
  <c r="AC173" i="24"/>
  <c r="AB127" i="24"/>
  <c r="AA82" i="24"/>
  <c r="AT193" i="24"/>
  <c r="AB7" i="24"/>
  <c r="AB171" i="24"/>
  <c r="AC89" i="24"/>
  <c r="AC178" i="24"/>
  <c r="AB214" i="24"/>
  <c r="AC127" i="24"/>
  <c r="AB82" i="24"/>
  <c r="AD173" i="24"/>
  <c r="AE94" i="24"/>
  <c r="AS193" i="24"/>
  <c r="AA7" i="24"/>
  <c r="AD127" i="24"/>
  <c r="AC82" i="24"/>
  <c r="AD178" i="24"/>
  <c r="AC214" i="24"/>
  <c r="AC171" i="24"/>
  <c r="AD89" i="24"/>
  <c r="AF94" i="24"/>
  <c r="AE173" i="24"/>
  <c r="AC179" i="24"/>
  <c r="AC42" i="24" s="1"/>
  <c r="AC43" i="24" s="1"/>
  <c r="AC65" i="24" s="1"/>
  <c r="AD171" i="24"/>
  <c r="AE89" i="24"/>
  <c r="AU193" i="24"/>
  <c r="AC7" i="24"/>
  <c r="AD214" i="24"/>
  <c r="AE178" i="24"/>
  <c r="AF173" i="24"/>
  <c r="AE179" i="24"/>
  <c r="AE42" i="24" s="1"/>
  <c r="AE43" i="24" s="1"/>
  <c r="AE65" i="24" s="1"/>
  <c r="AD179" i="24"/>
  <c r="AD42" i="24" s="1"/>
  <c r="AD43" i="24" s="1"/>
  <c r="AD65" i="24" s="1"/>
  <c r="AE127" i="24"/>
  <c r="AD82" i="24"/>
  <c r="AF179" i="24"/>
  <c r="AF42" i="24" s="1"/>
  <c r="AE214" i="24"/>
  <c r="AF178" i="24"/>
  <c r="AF214" i="24" s="1"/>
  <c r="AF127" i="24"/>
  <c r="AF82" i="24" s="1"/>
  <c r="AE82" i="24"/>
  <c r="AW193" i="24"/>
  <c r="AE7" i="24"/>
  <c r="AV193" i="24"/>
  <c r="AD7" i="24"/>
  <c r="AE171" i="24"/>
  <c r="AF89" i="24"/>
  <c r="AF171" i="24"/>
  <c r="AH82" i="24"/>
  <c r="AI82" i="24"/>
  <c r="AF43" i="24"/>
  <c r="AH42" i="24"/>
  <c r="AI42" i="24"/>
  <c r="AF65" i="24"/>
  <c r="AI43" i="24"/>
  <c r="AH43" i="24"/>
  <c r="AX193" i="24"/>
  <c r="AF7" i="24"/>
  <c r="A7" i="24" s="1"/>
  <c r="AI65" i="24"/>
  <c r="AH65" i="24"/>
  <c r="F49" i="23"/>
  <c r="AH87" i="23"/>
  <c r="AI87" i="23" s="1"/>
  <c r="AF218" i="23"/>
  <c r="AE218" i="23"/>
  <c r="AD218" i="23"/>
  <c r="AC218" i="23"/>
  <c r="AB218" i="23"/>
  <c r="AA218" i="23"/>
  <c r="Z218" i="23"/>
  <c r="Y218" i="23"/>
  <c r="X218" i="23"/>
  <c r="W218" i="23"/>
  <c r="V218" i="23"/>
  <c r="U218" i="23"/>
  <c r="T218" i="23"/>
  <c r="S218" i="23"/>
  <c r="R218" i="23"/>
  <c r="Q218" i="23"/>
  <c r="P218" i="23"/>
  <c r="O218" i="23"/>
  <c r="N218" i="23"/>
  <c r="M218" i="23"/>
  <c r="L218" i="23"/>
  <c r="K218" i="23"/>
  <c r="J218" i="23"/>
  <c r="I218" i="23"/>
  <c r="H218" i="23"/>
  <c r="G218" i="23"/>
  <c r="F218" i="23"/>
  <c r="E218" i="23"/>
  <c r="D218" i="23"/>
  <c r="C218" i="23"/>
  <c r="B218" i="23"/>
  <c r="A218" i="23"/>
  <c r="AF217" i="23"/>
  <c r="AE217" i="23"/>
  <c r="AD217" i="23"/>
  <c r="AC217" i="23"/>
  <c r="AB217" i="23"/>
  <c r="AA217" i="23"/>
  <c r="Z217" i="23"/>
  <c r="Y217" i="23"/>
  <c r="X217" i="23"/>
  <c r="W217" i="23"/>
  <c r="V217" i="23"/>
  <c r="U217" i="23"/>
  <c r="T217" i="23"/>
  <c r="S217" i="23"/>
  <c r="R217" i="23"/>
  <c r="Q217" i="23"/>
  <c r="P217" i="23"/>
  <c r="O217" i="23"/>
  <c r="N217" i="23"/>
  <c r="M217" i="23"/>
  <c r="L217" i="23"/>
  <c r="K217" i="23"/>
  <c r="J217" i="23"/>
  <c r="I217" i="23"/>
  <c r="H217" i="23"/>
  <c r="G217" i="23"/>
  <c r="F217" i="23"/>
  <c r="E217" i="23"/>
  <c r="D217" i="23"/>
  <c r="C217" i="23"/>
  <c r="B217" i="23"/>
  <c r="A217" i="23"/>
  <c r="AF216" i="23"/>
  <c r="AE216" i="23"/>
  <c r="AD216" i="23"/>
  <c r="AC216" i="23"/>
  <c r="AB216" i="23"/>
  <c r="AA216" i="23"/>
  <c r="Z216" i="23"/>
  <c r="Y216" i="23"/>
  <c r="X216" i="23"/>
  <c r="W216" i="23"/>
  <c r="V216" i="23"/>
  <c r="U216" i="23"/>
  <c r="T216" i="23"/>
  <c r="S216" i="23"/>
  <c r="R216" i="23"/>
  <c r="Q216" i="23"/>
  <c r="P216" i="23"/>
  <c r="O216" i="23"/>
  <c r="N216" i="23"/>
  <c r="M216" i="23"/>
  <c r="L216" i="23"/>
  <c r="K216" i="23"/>
  <c r="J216" i="23"/>
  <c r="I216" i="23"/>
  <c r="H216" i="23"/>
  <c r="G216" i="23"/>
  <c r="F216" i="23"/>
  <c r="E216" i="23"/>
  <c r="D216" i="23"/>
  <c r="C216" i="23"/>
  <c r="B216" i="23"/>
  <c r="A216" i="23"/>
  <c r="AF215" i="23"/>
  <c r="AE215" i="23"/>
  <c r="AD215" i="23"/>
  <c r="AC215" i="23"/>
  <c r="AB215" i="23"/>
  <c r="AA215" i="23"/>
  <c r="Z215" i="23"/>
  <c r="Y215" i="23"/>
  <c r="X215" i="23"/>
  <c r="W215" i="23"/>
  <c r="V215" i="23"/>
  <c r="U215" i="23"/>
  <c r="T215" i="23"/>
  <c r="S215" i="23"/>
  <c r="R215" i="23"/>
  <c r="Q215" i="23"/>
  <c r="P215" i="23"/>
  <c r="O215" i="23"/>
  <c r="N215" i="23"/>
  <c r="M215" i="23"/>
  <c r="L215" i="23"/>
  <c r="K215" i="23"/>
  <c r="J215" i="23"/>
  <c r="I215" i="23"/>
  <c r="H215" i="23"/>
  <c r="G215" i="23"/>
  <c r="F215" i="23"/>
  <c r="E215" i="23"/>
  <c r="D215" i="23"/>
  <c r="C215" i="23"/>
  <c r="B215" i="23"/>
  <c r="A215" i="23"/>
  <c r="B214" i="23"/>
  <c r="S189" i="23"/>
  <c r="AG179" i="23"/>
  <c r="B179" i="23"/>
  <c r="C178" i="23"/>
  <c r="C177" i="23"/>
  <c r="D177" i="23" s="1"/>
  <c r="E177" i="23" s="1"/>
  <c r="F177" i="23" s="1"/>
  <c r="G177" i="23" s="1"/>
  <c r="H177" i="23" s="1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C176" i="23"/>
  <c r="D176" i="23" s="1"/>
  <c r="E176" i="23" s="1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C175" i="23"/>
  <c r="D175" i="23" s="1"/>
  <c r="E175" i="23" s="1"/>
  <c r="F175" i="23" s="1"/>
  <c r="G175" i="23" s="1"/>
  <c r="H175" i="23" s="1"/>
  <c r="I175" i="23" s="1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V174" i="23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C174" i="23"/>
  <c r="D174" i="23" s="1"/>
  <c r="E174" i="23" s="1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C173" i="23"/>
  <c r="AG171" i="23"/>
  <c r="B171" i="23"/>
  <c r="C170" i="23"/>
  <c r="D170" i="23" s="1"/>
  <c r="E170" i="23" s="1"/>
  <c r="F170" i="23" s="1"/>
  <c r="G170" i="23" s="1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D169" i="23"/>
  <c r="E169" i="23" s="1"/>
  <c r="F169" i="23" s="1"/>
  <c r="G169" i="23" s="1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C169" i="23"/>
  <c r="C168" i="23"/>
  <c r="D168" i="23" s="1"/>
  <c r="E168" i="23" s="1"/>
  <c r="F168" i="23" s="1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C167" i="23"/>
  <c r="D167" i="23" s="1"/>
  <c r="E167" i="23" s="1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F166" i="23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C166" i="23"/>
  <c r="D166" i="23" s="1"/>
  <c r="E166" i="23" s="1"/>
  <c r="E165" i="23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D165" i="23"/>
  <c r="C165" i="23"/>
  <c r="C164" i="23"/>
  <c r="D164" i="23" s="1"/>
  <c r="E164" i="23" s="1"/>
  <c r="F164" i="23" s="1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I163" i="23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C163" i="23"/>
  <c r="D163" i="23" s="1"/>
  <c r="E163" i="23" s="1"/>
  <c r="F163" i="23" s="1"/>
  <c r="G163" i="23" s="1"/>
  <c r="H163" i="23" s="1"/>
  <c r="C162" i="23"/>
  <c r="D162" i="23" s="1"/>
  <c r="E162" i="23" s="1"/>
  <c r="F162" i="23" s="1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C161" i="23"/>
  <c r="D161" i="23" s="1"/>
  <c r="E161" i="23" s="1"/>
  <c r="F161" i="23" s="1"/>
  <c r="G161" i="23" s="1"/>
  <c r="H161" i="23" s="1"/>
  <c r="I161" i="23" s="1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M160" i="23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C160" i="23"/>
  <c r="D160" i="23" s="1"/>
  <c r="E160" i="23" s="1"/>
  <c r="F160" i="23" s="1"/>
  <c r="G160" i="23" s="1"/>
  <c r="H160" i="23" s="1"/>
  <c r="I160" i="23" s="1"/>
  <c r="J160" i="23" s="1"/>
  <c r="K160" i="23" s="1"/>
  <c r="L160" i="23" s="1"/>
  <c r="F159" i="23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C159" i="23"/>
  <c r="D159" i="23" s="1"/>
  <c r="E159" i="23" s="1"/>
  <c r="C158" i="23"/>
  <c r="D158" i="23" s="1"/>
  <c r="E158" i="23" s="1"/>
  <c r="F158" i="23" s="1"/>
  <c r="G158" i="23" s="1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D157" i="23"/>
  <c r="E157" i="23" s="1"/>
  <c r="F157" i="23" s="1"/>
  <c r="G157" i="23" s="1"/>
  <c r="H157" i="23" s="1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C157" i="23"/>
  <c r="E156" i="23"/>
  <c r="F156" i="23" s="1"/>
  <c r="G156" i="23" s="1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C156" i="23"/>
  <c r="D156" i="23" s="1"/>
  <c r="C155" i="23"/>
  <c r="D155" i="23" s="1"/>
  <c r="E155" i="23" s="1"/>
  <c r="F155" i="23" s="1"/>
  <c r="G155" i="23" s="1"/>
  <c r="H155" i="23" s="1"/>
  <c r="I155" i="23" s="1"/>
  <c r="J155" i="23" s="1"/>
  <c r="K155" i="23" s="1"/>
  <c r="L155" i="23" s="1"/>
  <c r="M155" i="23" s="1"/>
  <c r="N155" i="23" s="1"/>
  <c r="O155" i="23" s="1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I154" i="23"/>
  <c r="J154" i="23" s="1"/>
  <c r="K154" i="23" s="1"/>
  <c r="L154" i="23" s="1"/>
  <c r="M154" i="23" s="1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C154" i="23"/>
  <c r="D154" i="23" s="1"/>
  <c r="E154" i="23" s="1"/>
  <c r="F154" i="23" s="1"/>
  <c r="G154" i="23" s="1"/>
  <c r="H154" i="23" s="1"/>
  <c r="D153" i="23"/>
  <c r="E153" i="23" s="1"/>
  <c r="F153" i="23" s="1"/>
  <c r="G153" i="23" s="1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C153" i="23"/>
  <c r="C152" i="23"/>
  <c r="D152" i="23" s="1"/>
  <c r="E152" i="23" s="1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J151" i="23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C151" i="23"/>
  <c r="D151" i="23" s="1"/>
  <c r="E151" i="23" s="1"/>
  <c r="F151" i="23" s="1"/>
  <c r="G151" i="23" s="1"/>
  <c r="H151" i="23" s="1"/>
  <c r="I151" i="23" s="1"/>
  <c r="C150" i="23"/>
  <c r="D150" i="23" s="1"/>
  <c r="E150" i="23" s="1"/>
  <c r="F150" i="23" s="1"/>
  <c r="G150" i="23" s="1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D149" i="23"/>
  <c r="E149" i="23" s="1"/>
  <c r="F149" i="23" s="1"/>
  <c r="G149" i="23" s="1"/>
  <c r="H149" i="23" s="1"/>
  <c r="I149" i="23" s="1"/>
  <c r="J149" i="23" s="1"/>
  <c r="K149" i="23" s="1"/>
  <c r="L149" i="23" s="1"/>
  <c r="M149" i="23" s="1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C149" i="23"/>
  <c r="D148" i="23"/>
  <c r="E148" i="23" s="1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C148" i="23"/>
  <c r="C147" i="23"/>
  <c r="D147" i="23" s="1"/>
  <c r="E147" i="23" s="1"/>
  <c r="F147" i="23" s="1"/>
  <c r="G147" i="23" s="1"/>
  <c r="H147" i="23" s="1"/>
  <c r="I147" i="23" s="1"/>
  <c r="J147" i="23" s="1"/>
  <c r="K147" i="23" s="1"/>
  <c r="L147" i="23" s="1"/>
  <c r="M147" i="23" s="1"/>
  <c r="N147" i="23" s="1"/>
  <c r="O147" i="23" s="1"/>
  <c r="P147" i="23" s="1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C146" i="23"/>
  <c r="D146" i="23" s="1"/>
  <c r="E146" i="23" s="1"/>
  <c r="F146" i="23" s="1"/>
  <c r="G146" i="23" s="1"/>
  <c r="H146" i="23" s="1"/>
  <c r="I146" i="23" s="1"/>
  <c r="J146" i="23" s="1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D145" i="23"/>
  <c r="E145" i="23" s="1"/>
  <c r="F145" i="23" s="1"/>
  <c r="G145" i="23" s="1"/>
  <c r="H145" i="23" s="1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C145" i="23"/>
  <c r="C144" i="23"/>
  <c r="D144" i="23" s="1"/>
  <c r="E144" i="23" s="1"/>
  <c r="F144" i="23" s="1"/>
  <c r="G144" i="23" s="1"/>
  <c r="H144" i="23" s="1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C143" i="23"/>
  <c r="D143" i="23" s="1"/>
  <c r="E143" i="23" s="1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C142" i="23"/>
  <c r="D142" i="23" s="1"/>
  <c r="E142" i="23" s="1"/>
  <c r="F142" i="23" s="1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C141" i="23"/>
  <c r="D141" i="23" s="1"/>
  <c r="E141" i="23" s="1"/>
  <c r="F141" i="23" s="1"/>
  <c r="G141" i="23" s="1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C140" i="23"/>
  <c r="D140" i="23" s="1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C139" i="23"/>
  <c r="D139" i="23" s="1"/>
  <c r="E139" i="23" s="1"/>
  <c r="F139" i="23" s="1"/>
  <c r="G139" i="23" s="1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Q138" i="23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C138" i="23"/>
  <c r="D138" i="23" s="1"/>
  <c r="E138" i="23" s="1"/>
  <c r="F138" i="23" s="1"/>
  <c r="G138" i="23" s="1"/>
  <c r="H138" i="23" s="1"/>
  <c r="I138" i="23" s="1"/>
  <c r="J138" i="23" s="1"/>
  <c r="K138" i="23" s="1"/>
  <c r="L138" i="23" s="1"/>
  <c r="M138" i="23" s="1"/>
  <c r="N138" i="23" s="1"/>
  <c r="O138" i="23" s="1"/>
  <c r="P138" i="23" s="1"/>
  <c r="F137" i="23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C137" i="23"/>
  <c r="D137" i="23" s="1"/>
  <c r="E137" i="23" s="1"/>
  <c r="D136" i="23"/>
  <c r="E136" i="23" s="1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C136" i="23"/>
  <c r="E135" i="23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C135" i="23"/>
  <c r="D135" i="23" s="1"/>
  <c r="C134" i="23"/>
  <c r="D134" i="23" s="1"/>
  <c r="E134" i="23" s="1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C133" i="23"/>
  <c r="D133" i="23" s="1"/>
  <c r="E133" i="23" s="1"/>
  <c r="F133" i="23" s="1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D132" i="23"/>
  <c r="E132" i="23" s="1"/>
  <c r="F132" i="23" s="1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C132" i="23"/>
  <c r="C131" i="23"/>
  <c r="D131" i="23" s="1"/>
  <c r="E131" i="23" s="1"/>
  <c r="F131" i="23" s="1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C130" i="23"/>
  <c r="D130" i="23" s="1"/>
  <c r="E130" i="23" s="1"/>
  <c r="F130" i="23" s="1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C129" i="23"/>
  <c r="D129" i="23" s="1"/>
  <c r="E129" i="23" s="1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C128" i="23"/>
  <c r="D128" i="23" s="1"/>
  <c r="E128" i="23" s="1"/>
  <c r="F128" i="23" s="1"/>
  <c r="G128" i="23" s="1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C127" i="23"/>
  <c r="D127" i="23" s="1"/>
  <c r="E127" i="23" s="1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D126" i="23"/>
  <c r="E126" i="23" s="1"/>
  <c r="F126" i="23" s="1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C126" i="23"/>
  <c r="C125" i="23"/>
  <c r="D125" i="23" s="1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C124" i="23"/>
  <c r="D124" i="23" s="1"/>
  <c r="E124" i="23" s="1"/>
  <c r="F124" i="23" s="1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C123" i="23"/>
  <c r="D123" i="23" s="1"/>
  <c r="E123" i="23" s="1"/>
  <c r="F123" i="23" s="1"/>
  <c r="G123" i="23" s="1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C122" i="23"/>
  <c r="D122" i="23" s="1"/>
  <c r="E122" i="23" s="1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C121" i="23"/>
  <c r="D121" i="23" s="1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C120" i="23"/>
  <c r="D120" i="23" s="1"/>
  <c r="E120" i="23" s="1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G119" i="23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C119" i="23"/>
  <c r="D119" i="23" s="1"/>
  <c r="E119" i="23" s="1"/>
  <c r="F119" i="23" s="1"/>
  <c r="E118" i="23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C118" i="23"/>
  <c r="D118" i="23" s="1"/>
  <c r="C117" i="23"/>
  <c r="D117" i="23" s="1"/>
  <c r="E117" i="23" s="1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C116" i="23"/>
  <c r="D116" i="23" s="1"/>
  <c r="E116" i="23" s="1"/>
  <c r="F116" i="23" s="1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C115" i="23"/>
  <c r="D115" i="23" s="1"/>
  <c r="E115" i="23" s="1"/>
  <c r="F115" i="23" s="1"/>
  <c r="G115" i="23" s="1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C114" i="23"/>
  <c r="D114" i="23" s="1"/>
  <c r="E114" i="23" s="1"/>
  <c r="F114" i="23" s="1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C113" i="23"/>
  <c r="D113" i="23" s="1"/>
  <c r="E113" i="23" s="1"/>
  <c r="F113" i="23" s="1"/>
  <c r="G113" i="23" s="1"/>
  <c r="H113" i="23" s="1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C112" i="23"/>
  <c r="D112" i="23" s="1"/>
  <c r="E112" i="23" s="1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C111" i="23"/>
  <c r="D111" i="23" s="1"/>
  <c r="E111" i="23" s="1"/>
  <c r="F111" i="23" s="1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D110" i="23"/>
  <c r="E110" i="23" s="1"/>
  <c r="F110" i="23" s="1"/>
  <c r="G110" i="23" s="1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C110" i="23"/>
  <c r="J109" i="23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C109" i="23"/>
  <c r="D109" i="23" s="1"/>
  <c r="E109" i="23" s="1"/>
  <c r="F109" i="23" s="1"/>
  <c r="G109" i="23" s="1"/>
  <c r="H109" i="23" s="1"/>
  <c r="I109" i="23" s="1"/>
  <c r="D108" i="23"/>
  <c r="E108" i="23" s="1"/>
  <c r="F108" i="23" s="1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C108" i="23"/>
  <c r="C107" i="23"/>
  <c r="D107" i="23" s="1"/>
  <c r="E107" i="23" s="1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C106" i="23"/>
  <c r="F105" i="23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C105" i="23"/>
  <c r="D105" i="23" s="1"/>
  <c r="E105" i="23" s="1"/>
  <c r="C104" i="23"/>
  <c r="D104" i="23" s="1"/>
  <c r="E104" i="23" s="1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C103" i="23"/>
  <c r="D103" i="23" s="1"/>
  <c r="E103" i="23" s="1"/>
  <c r="F103" i="23" s="1"/>
  <c r="G103" i="23" s="1"/>
  <c r="H103" i="23" s="1"/>
  <c r="I103" i="23" s="1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D102" i="23"/>
  <c r="E102" i="23" s="1"/>
  <c r="F102" i="23" s="1"/>
  <c r="G102" i="23" s="1"/>
  <c r="H102" i="23" s="1"/>
  <c r="I102" i="23" s="1"/>
  <c r="J102" i="23" s="1"/>
  <c r="K102" i="23" s="1"/>
  <c r="L102" i="23" s="1"/>
  <c r="M102" i="23" s="1"/>
  <c r="N102" i="23" s="1"/>
  <c r="O102" i="23" s="1"/>
  <c r="P102" i="23" s="1"/>
  <c r="Q102" i="23" s="1"/>
  <c r="R102" i="23" s="1"/>
  <c r="S102" i="23" s="1"/>
  <c r="T102" i="23" s="1"/>
  <c r="U102" i="23" s="1"/>
  <c r="V102" i="23" s="1"/>
  <c r="W102" i="23" s="1"/>
  <c r="X102" i="23" s="1"/>
  <c r="Y102" i="23" s="1"/>
  <c r="Z102" i="23" s="1"/>
  <c r="AA102" i="23" s="1"/>
  <c r="AB102" i="23" s="1"/>
  <c r="AC102" i="23" s="1"/>
  <c r="AD102" i="23" s="1"/>
  <c r="AE102" i="23" s="1"/>
  <c r="AF102" i="23" s="1"/>
  <c r="C102" i="23"/>
  <c r="C101" i="23"/>
  <c r="D101" i="23" s="1"/>
  <c r="E101" i="23" s="1"/>
  <c r="F101" i="23" s="1"/>
  <c r="G101" i="23" s="1"/>
  <c r="H101" i="23" s="1"/>
  <c r="I101" i="23" s="1"/>
  <c r="J101" i="23" s="1"/>
  <c r="K101" i="23" s="1"/>
  <c r="L101" i="23" s="1"/>
  <c r="M101" i="23" s="1"/>
  <c r="N101" i="23" s="1"/>
  <c r="O101" i="23" s="1"/>
  <c r="P101" i="23" s="1"/>
  <c r="Q101" i="23" s="1"/>
  <c r="R101" i="23" s="1"/>
  <c r="S101" i="23" s="1"/>
  <c r="T101" i="23" s="1"/>
  <c r="U101" i="23" s="1"/>
  <c r="V101" i="23" s="1"/>
  <c r="W101" i="23" s="1"/>
  <c r="X101" i="23" s="1"/>
  <c r="Y101" i="23" s="1"/>
  <c r="Z101" i="23" s="1"/>
  <c r="AA101" i="23" s="1"/>
  <c r="AB101" i="23" s="1"/>
  <c r="AC101" i="23" s="1"/>
  <c r="AD101" i="23" s="1"/>
  <c r="AE101" i="23" s="1"/>
  <c r="AF101" i="23" s="1"/>
  <c r="D100" i="23"/>
  <c r="E100" i="23" s="1"/>
  <c r="F100" i="23" s="1"/>
  <c r="G100" i="23" s="1"/>
  <c r="H100" i="23" s="1"/>
  <c r="I100" i="23" s="1"/>
  <c r="J100" i="23" s="1"/>
  <c r="K100" i="23" s="1"/>
  <c r="L100" i="23" s="1"/>
  <c r="M100" i="23" s="1"/>
  <c r="N100" i="23" s="1"/>
  <c r="O100" i="23" s="1"/>
  <c r="P100" i="23" s="1"/>
  <c r="Q100" i="23" s="1"/>
  <c r="R100" i="23" s="1"/>
  <c r="S100" i="23" s="1"/>
  <c r="T100" i="23" s="1"/>
  <c r="U100" i="23" s="1"/>
  <c r="V100" i="23" s="1"/>
  <c r="W100" i="23" s="1"/>
  <c r="X100" i="23" s="1"/>
  <c r="Y100" i="23" s="1"/>
  <c r="Z100" i="23" s="1"/>
  <c r="AA100" i="23" s="1"/>
  <c r="AB100" i="23" s="1"/>
  <c r="AC100" i="23" s="1"/>
  <c r="AD100" i="23" s="1"/>
  <c r="AE100" i="23" s="1"/>
  <c r="AF100" i="23" s="1"/>
  <c r="C100" i="23"/>
  <c r="K99" i="23"/>
  <c r="L99" i="23" s="1"/>
  <c r="M99" i="23" s="1"/>
  <c r="N99" i="23" s="1"/>
  <c r="O99" i="23" s="1"/>
  <c r="P99" i="23" s="1"/>
  <c r="Q99" i="23" s="1"/>
  <c r="R99" i="23" s="1"/>
  <c r="S99" i="23" s="1"/>
  <c r="T99" i="23" s="1"/>
  <c r="U99" i="23" s="1"/>
  <c r="V99" i="23" s="1"/>
  <c r="W99" i="23" s="1"/>
  <c r="X99" i="23" s="1"/>
  <c r="Y99" i="23" s="1"/>
  <c r="Z99" i="23" s="1"/>
  <c r="AA99" i="23" s="1"/>
  <c r="AB99" i="23" s="1"/>
  <c r="AC99" i="23" s="1"/>
  <c r="AD99" i="23" s="1"/>
  <c r="AE99" i="23" s="1"/>
  <c r="AF99" i="23" s="1"/>
  <c r="J99" i="23"/>
  <c r="C99" i="23"/>
  <c r="D99" i="23" s="1"/>
  <c r="E99" i="23" s="1"/>
  <c r="F99" i="23" s="1"/>
  <c r="G99" i="23" s="1"/>
  <c r="H99" i="23" s="1"/>
  <c r="C98" i="23"/>
  <c r="D98" i="23" s="1"/>
  <c r="E98" i="23" s="1"/>
  <c r="F98" i="23" s="1"/>
  <c r="G98" i="23" s="1"/>
  <c r="H98" i="23" s="1"/>
  <c r="I98" i="23" s="1"/>
  <c r="J98" i="23" s="1"/>
  <c r="K98" i="23" s="1"/>
  <c r="L98" i="23" s="1"/>
  <c r="M98" i="23" s="1"/>
  <c r="N98" i="23" s="1"/>
  <c r="O98" i="23" s="1"/>
  <c r="P98" i="23" s="1"/>
  <c r="Q98" i="23" s="1"/>
  <c r="R98" i="23" s="1"/>
  <c r="S98" i="23" s="1"/>
  <c r="T98" i="23" s="1"/>
  <c r="U98" i="23" s="1"/>
  <c r="V98" i="23" s="1"/>
  <c r="W98" i="23" s="1"/>
  <c r="X98" i="23" s="1"/>
  <c r="Y98" i="23" s="1"/>
  <c r="Z98" i="23" s="1"/>
  <c r="AA98" i="23" s="1"/>
  <c r="AB98" i="23" s="1"/>
  <c r="AC98" i="23" s="1"/>
  <c r="AD98" i="23" s="1"/>
  <c r="AE98" i="23" s="1"/>
  <c r="AF98" i="23" s="1"/>
  <c r="D97" i="23"/>
  <c r="E97" i="23" s="1"/>
  <c r="F97" i="23" s="1"/>
  <c r="G97" i="23" s="1"/>
  <c r="H97" i="23" s="1"/>
  <c r="I97" i="23" s="1"/>
  <c r="J97" i="23" s="1"/>
  <c r="K97" i="23" s="1"/>
  <c r="L97" i="23" s="1"/>
  <c r="M97" i="23" s="1"/>
  <c r="N97" i="23" s="1"/>
  <c r="O97" i="23" s="1"/>
  <c r="P97" i="23" s="1"/>
  <c r="Q97" i="23" s="1"/>
  <c r="R97" i="23" s="1"/>
  <c r="S97" i="23" s="1"/>
  <c r="T97" i="23" s="1"/>
  <c r="U97" i="23" s="1"/>
  <c r="V97" i="23" s="1"/>
  <c r="W97" i="23" s="1"/>
  <c r="X97" i="23" s="1"/>
  <c r="Y97" i="23" s="1"/>
  <c r="Z97" i="23" s="1"/>
  <c r="AA97" i="23" s="1"/>
  <c r="AB97" i="23" s="1"/>
  <c r="AC97" i="23" s="1"/>
  <c r="AD97" i="23" s="1"/>
  <c r="AE97" i="23" s="1"/>
  <c r="AF97" i="23" s="1"/>
  <c r="C97" i="23"/>
  <c r="D96" i="23"/>
  <c r="E96" i="23" s="1"/>
  <c r="F96" i="23" s="1"/>
  <c r="G96" i="23" s="1"/>
  <c r="H96" i="23" s="1"/>
  <c r="I96" i="23" s="1"/>
  <c r="J96" i="23" s="1"/>
  <c r="K96" i="23" s="1"/>
  <c r="L96" i="23" s="1"/>
  <c r="M96" i="23" s="1"/>
  <c r="N96" i="23" s="1"/>
  <c r="O96" i="23" s="1"/>
  <c r="P96" i="23" s="1"/>
  <c r="Q96" i="23" s="1"/>
  <c r="R96" i="23" s="1"/>
  <c r="S96" i="23" s="1"/>
  <c r="T96" i="23" s="1"/>
  <c r="U96" i="23" s="1"/>
  <c r="V96" i="23" s="1"/>
  <c r="W96" i="23" s="1"/>
  <c r="X96" i="23" s="1"/>
  <c r="Y96" i="23" s="1"/>
  <c r="Z96" i="23" s="1"/>
  <c r="AA96" i="23" s="1"/>
  <c r="AB96" i="23" s="1"/>
  <c r="AC96" i="23" s="1"/>
  <c r="AD96" i="23" s="1"/>
  <c r="AE96" i="23" s="1"/>
  <c r="AF96" i="23" s="1"/>
  <c r="C96" i="23"/>
  <c r="C95" i="23"/>
  <c r="D95" i="23" s="1"/>
  <c r="E95" i="23" s="1"/>
  <c r="F95" i="23" s="1"/>
  <c r="G95" i="23" s="1"/>
  <c r="H95" i="23" s="1"/>
  <c r="I95" i="23" s="1"/>
  <c r="J95" i="23" s="1"/>
  <c r="K95" i="23" s="1"/>
  <c r="L95" i="23" s="1"/>
  <c r="M95" i="23" s="1"/>
  <c r="N95" i="23" s="1"/>
  <c r="O95" i="23" s="1"/>
  <c r="P95" i="23" s="1"/>
  <c r="Q95" i="23" s="1"/>
  <c r="R95" i="23" s="1"/>
  <c r="S95" i="23" s="1"/>
  <c r="T95" i="23" s="1"/>
  <c r="U95" i="23" s="1"/>
  <c r="V95" i="23" s="1"/>
  <c r="W95" i="23" s="1"/>
  <c r="X95" i="23" s="1"/>
  <c r="Y95" i="23" s="1"/>
  <c r="Z95" i="23" s="1"/>
  <c r="AA95" i="23" s="1"/>
  <c r="AB95" i="23" s="1"/>
  <c r="AC95" i="23" s="1"/>
  <c r="AD95" i="23" s="1"/>
  <c r="AE95" i="23" s="1"/>
  <c r="AF95" i="23" s="1"/>
  <c r="C94" i="23"/>
  <c r="D94" i="23" s="1"/>
  <c r="E94" i="23" s="1"/>
  <c r="F94" i="23" s="1"/>
  <c r="G94" i="23" s="1"/>
  <c r="D93" i="23"/>
  <c r="E93" i="23" s="1"/>
  <c r="F93" i="23" s="1"/>
  <c r="G93" i="23" s="1"/>
  <c r="H93" i="23" s="1"/>
  <c r="I93" i="23" s="1"/>
  <c r="J93" i="23" s="1"/>
  <c r="K93" i="23" s="1"/>
  <c r="L93" i="23" s="1"/>
  <c r="M93" i="23" s="1"/>
  <c r="N93" i="23" s="1"/>
  <c r="O93" i="23" s="1"/>
  <c r="P93" i="23" s="1"/>
  <c r="Q93" i="23" s="1"/>
  <c r="R93" i="23" s="1"/>
  <c r="S93" i="23" s="1"/>
  <c r="T93" i="23" s="1"/>
  <c r="U93" i="23" s="1"/>
  <c r="V93" i="23" s="1"/>
  <c r="W93" i="23" s="1"/>
  <c r="X93" i="23" s="1"/>
  <c r="Y93" i="23" s="1"/>
  <c r="Z93" i="23" s="1"/>
  <c r="AA93" i="23" s="1"/>
  <c r="AB93" i="23" s="1"/>
  <c r="AC93" i="23" s="1"/>
  <c r="AD93" i="23" s="1"/>
  <c r="AE93" i="23" s="1"/>
  <c r="AF93" i="23" s="1"/>
  <c r="C93" i="23"/>
  <c r="C92" i="23"/>
  <c r="D92" i="23" s="1"/>
  <c r="E92" i="23" s="1"/>
  <c r="F92" i="23" s="1"/>
  <c r="G92" i="23" s="1"/>
  <c r="H92" i="23" s="1"/>
  <c r="I92" i="23" s="1"/>
  <c r="J92" i="23" s="1"/>
  <c r="K92" i="23" s="1"/>
  <c r="L92" i="23" s="1"/>
  <c r="M92" i="23" s="1"/>
  <c r="N92" i="23" s="1"/>
  <c r="O92" i="23" s="1"/>
  <c r="P92" i="23" s="1"/>
  <c r="Q92" i="23" s="1"/>
  <c r="R92" i="23" s="1"/>
  <c r="S92" i="23" s="1"/>
  <c r="T92" i="23" s="1"/>
  <c r="U92" i="23" s="1"/>
  <c r="V92" i="23" s="1"/>
  <c r="W92" i="23" s="1"/>
  <c r="X92" i="23" s="1"/>
  <c r="Y92" i="23" s="1"/>
  <c r="Z92" i="23" s="1"/>
  <c r="AA92" i="23" s="1"/>
  <c r="AB92" i="23" s="1"/>
  <c r="AC92" i="23" s="1"/>
  <c r="AD92" i="23" s="1"/>
  <c r="AE92" i="23" s="1"/>
  <c r="AF92" i="23" s="1"/>
  <c r="C91" i="23"/>
  <c r="D91" i="23" s="1"/>
  <c r="E91" i="23" s="1"/>
  <c r="F91" i="23" s="1"/>
  <c r="G91" i="23" s="1"/>
  <c r="H91" i="23" s="1"/>
  <c r="I91" i="23" s="1"/>
  <c r="J91" i="23" s="1"/>
  <c r="K91" i="23" s="1"/>
  <c r="L91" i="23" s="1"/>
  <c r="M91" i="23" s="1"/>
  <c r="N91" i="23" s="1"/>
  <c r="O91" i="23" s="1"/>
  <c r="P91" i="23" s="1"/>
  <c r="Q91" i="23" s="1"/>
  <c r="R91" i="23" s="1"/>
  <c r="S91" i="23" s="1"/>
  <c r="T91" i="23" s="1"/>
  <c r="U91" i="23" s="1"/>
  <c r="V91" i="23" s="1"/>
  <c r="W91" i="23" s="1"/>
  <c r="X91" i="23" s="1"/>
  <c r="Y91" i="23" s="1"/>
  <c r="Z91" i="23" s="1"/>
  <c r="AA91" i="23" s="1"/>
  <c r="AB91" i="23" s="1"/>
  <c r="AC91" i="23" s="1"/>
  <c r="AD91" i="23" s="1"/>
  <c r="AE91" i="23" s="1"/>
  <c r="AF91" i="23" s="1"/>
  <c r="C90" i="23"/>
  <c r="D90" i="23" s="1"/>
  <c r="E90" i="23" s="1"/>
  <c r="F90" i="23" s="1"/>
  <c r="G90" i="23" s="1"/>
  <c r="H90" i="23" s="1"/>
  <c r="I90" i="23" s="1"/>
  <c r="J90" i="23" s="1"/>
  <c r="K90" i="23" s="1"/>
  <c r="L90" i="23" s="1"/>
  <c r="M90" i="23" s="1"/>
  <c r="N90" i="23" s="1"/>
  <c r="O90" i="23" s="1"/>
  <c r="P90" i="23" s="1"/>
  <c r="Q90" i="23" s="1"/>
  <c r="R90" i="23" s="1"/>
  <c r="S90" i="23" s="1"/>
  <c r="T90" i="23" s="1"/>
  <c r="U90" i="23" s="1"/>
  <c r="V90" i="23" s="1"/>
  <c r="W90" i="23" s="1"/>
  <c r="X90" i="23" s="1"/>
  <c r="Y90" i="23" s="1"/>
  <c r="Z90" i="23" s="1"/>
  <c r="AA90" i="23" s="1"/>
  <c r="AB90" i="23" s="1"/>
  <c r="AC90" i="23" s="1"/>
  <c r="AD90" i="23" s="1"/>
  <c r="AE90" i="23" s="1"/>
  <c r="AF90" i="23" s="1"/>
  <c r="C89" i="23"/>
  <c r="D89" i="23" s="1"/>
  <c r="E89" i="23" s="1"/>
  <c r="F89" i="23" s="1"/>
  <c r="AH86" i="23"/>
  <c r="AI86" i="23" s="1"/>
  <c r="AH85" i="23"/>
  <c r="AI85" i="23" s="1"/>
  <c r="AH84" i="23"/>
  <c r="AI84" i="23" s="1"/>
  <c r="AH83" i="23"/>
  <c r="AI83" i="23" s="1"/>
  <c r="B82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I79" i="23"/>
  <c r="AH79" i="23"/>
  <c r="AI78" i="23"/>
  <c r="AH78" i="23"/>
  <c r="AI77" i="23"/>
  <c r="AH77" i="23"/>
  <c r="AI76" i="23"/>
  <c r="AH76" i="23"/>
  <c r="AI75" i="23"/>
  <c r="AH75" i="23"/>
  <c r="AI74" i="23"/>
  <c r="AH74" i="23"/>
  <c r="AI73" i="23"/>
  <c r="AH73" i="23"/>
  <c r="AI72" i="23"/>
  <c r="AH72" i="23"/>
  <c r="AG71" i="23"/>
  <c r="AI70" i="23"/>
  <c r="AH70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B69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B68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AF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P71" i="23" s="1"/>
  <c r="O66" i="23"/>
  <c r="N66" i="23"/>
  <c r="M66" i="23"/>
  <c r="L66" i="23"/>
  <c r="K66" i="23"/>
  <c r="J66" i="23"/>
  <c r="I66" i="23"/>
  <c r="H66" i="23"/>
  <c r="H71" i="23" s="1"/>
  <c r="G66" i="23"/>
  <c r="F66" i="23"/>
  <c r="E66" i="23"/>
  <c r="D66" i="23"/>
  <c r="C66" i="23"/>
  <c r="B66" i="23"/>
  <c r="AI64" i="23"/>
  <c r="AH64" i="23"/>
  <c r="AG63" i="23"/>
  <c r="AF63" i="23"/>
  <c r="AE63" i="23"/>
  <c r="AD63" i="23"/>
  <c r="AC63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AI62" i="23"/>
  <c r="AH62" i="23"/>
  <c r="AI61" i="23"/>
  <c r="AH61" i="23"/>
  <c r="AI60" i="23"/>
  <c r="AH60" i="23"/>
  <c r="AG59" i="23"/>
  <c r="AF59" i="23"/>
  <c r="AF5" i="23" s="1"/>
  <c r="AE59" i="23"/>
  <c r="AE5" i="23" s="1"/>
  <c r="AD59" i="23"/>
  <c r="AD5" i="23" s="1"/>
  <c r="AC59" i="23"/>
  <c r="AC5" i="23" s="1"/>
  <c r="AB59" i="23"/>
  <c r="AB5" i="23" s="1"/>
  <c r="AA59" i="23"/>
  <c r="AA5" i="23" s="1"/>
  <c r="Z59" i="23"/>
  <c r="Z5" i="23" s="1"/>
  <c r="Y59" i="23"/>
  <c r="X59" i="23"/>
  <c r="W59" i="23"/>
  <c r="V59" i="23"/>
  <c r="V5" i="23" s="1"/>
  <c r="U59" i="23"/>
  <c r="U5" i="23" s="1"/>
  <c r="T59" i="23"/>
  <c r="T5" i="23" s="1"/>
  <c r="S59" i="23"/>
  <c r="S5" i="23" s="1"/>
  <c r="R59" i="23"/>
  <c r="R5" i="23" s="1"/>
  <c r="Q59" i="23"/>
  <c r="P59" i="23"/>
  <c r="P5" i="23" s="1"/>
  <c r="O59" i="23"/>
  <c r="O5" i="23" s="1"/>
  <c r="N59" i="23"/>
  <c r="N5" i="23" s="1"/>
  <c r="L59" i="23"/>
  <c r="K59" i="23"/>
  <c r="K5" i="23" s="1"/>
  <c r="J59" i="23"/>
  <c r="J5" i="23" s="1"/>
  <c r="I59" i="23"/>
  <c r="I5" i="23" s="1"/>
  <c r="H59" i="23"/>
  <c r="H5" i="23" s="1"/>
  <c r="G59" i="23"/>
  <c r="G5" i="23" s="1"/>
  <c r="F59" i="23"/>
  <c r="F5" i="23" s="1"/>
  <c r="E59" i="23"/>
  <c r="E5" i="23" s="1"/>
  <c r="D59" i="23"/>
  <c r="D5" i="23" s="1"/>
  <c r="C59" i="23"/>
  <c r="C5" i="23" s="1"/>
  <c r="B59" i="23"/>
  <c r="B5" i="23" s="1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G47" i="23"/>
  <c r="AG4" i="23" s="1"/>
  <c r="AF47" i="23"/>
  <c r="AE47" i="23"/>
  <c r="AD47" i="23"/>
  <c r="AC47" i="23"/>
  <c r="AB47" i="23"/>
  <c r="AA47" i="23"/>
  <c r="Z47" i="23"/>
  <c r="Y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B47" i="23"/>
  <c r="AI46" i="23"/>
  <c r="AH46" i="23"/>
  <c r="AI45" i="23"/>
  <c r="AH45" i="23"/>
  <c r="AI44" i="23"/>
  <c r="AH44" i="23"/>
  <c r="AG42" i="23"/>
  <c r="AG43" i="23" s="1"/>
  <c r="AG3" i="23" s="1"/>
  <c r="B42" i="23"/>
  <c r="B43" i="23" s="1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G30" i="23"/>
  <c r="AG2" i="23" s="1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Y5" i="23"/>
  <c r="X5" i="23"/>
  <c r="W5" i="23"/>
  <c r="Q5" i="23"/>
  <c r="M5" i="23"/>
  <c r="L5" i="23"/>
  <c r="K4" i="23"/>
  <c r="C4" i="23"/>
  <c r="D190" i="23" s="1"/>
  <c r="O84" i="22"/>
  <c r="E85" i="22"/>
  <c r="D84" i="22"/>
  <c r="B82" i="22"/>
  <c r="B80" i="22"/>
  <c r="B71" i="22"/>
  <c r="B47" i="22"/>
  <c r="B59" i="22"/>
  <c r="B30" i="22"/>
  <c r="B43" i="22"/>
  <c r="AF218" i="22"/>
  <c r="AE218" i="22"/>
  <c r="AD218" i="22"/>
  <c r="AC218" i="22"/>
  <c r="AB218" i="22"/>
  <c r="AA218" i="22"/>
  <c r="Z218" i="22"/>
  <c r="Y218" i="22"/>
  <c r="X218" i="22"/>
  <c r="W218" i="22"/>
  <c r="V218" i="22"/>
  <c r="U218" i="22"/>
  <c r="T218" i="22"/>
  <c r="S218" i="22"/>
  <c r="R218" i="22"/>
  <c r="Q218" i="22"/>
  <c r="P218" i="22"/>
  <c r="O218" i="22"/>
  <c r="N218" i="22"/>
  <c r="M218" i="22"/>
  <c r="L218" i="22"/>
  <c r="K218" i="22"/>
  <c r="J218" i="22"/>
  <c r="I218" i="22"/>
  <c r="H218" i="22"/>
  <c r="G218" i="22"/>
  <c r="F218" i="22"/>
  <c r="E218" i="22"/>
  <c r="D218" i="22"/>
  <c r="C218" i="22"/>
  <c r="B218" i="22"/>
  <c r="A218" i="22"/>
  <c r="AF217" i="22"/>
  <c r="AE217" i="22"/>
  <c r="AD217" i="22"/>
  <c r="AC217" i="22"/>
  <c r="AB217" i="22"/>
  <c r="AA217" i="22"/>
  <c r="Z217" i="22"/>
  <c r="Y217" i="22"/>
  <c r="X217" i="22"/>
  <c r="W217" i="22"/>
  <c r="V217" i="22"/>
  <c r="U217" i="22"/>
  <c r="T217" i="22"/>
  <c r="S217" i="22"/>
  <c r="R217" i="22"/>
  <c r="Q217" i="22"/>
  <c r="P217" i="22"/>
  <c r="O217" i="22"/>
  <c r="N217" i="22"/>
  <c r="M217" i="22"/>
  <c r="L217" i="22"/>
  <c r="K217" i="22"/>
  <c r="J217" i="22"/>
  <c r="I217" i="22"/>
  <c r="H217" i="22"/>
  <c r="G217" i="22"/>
  <c r="F217" i="22"/>
  <c r="E217" i="22"/>
  <c r="D217" i="22"/>
  <c r="C217" i="22"/>
  <c r="B217" i="22"/>
  <c r="A217" i="22"/>
  <c r="AF216" i="22"/>
  <c r="AE216" i="22"/>
  <c r="AD216" i="22"/>
  <c r="AC216" i="22"/>
  <c r="AB216" i="22"/>
  <c r="AA216" i="22"/>
  <c r="Z216" i="22"/>
  <c r="Y216" i="22"/>
  <c r="X216" i="22"/>
  <c r="W216" i="22"/>
  <c r="V216" i="22"/>
  <c r="U216" i="22"/>
  <c r="T216" i="22"/>
  <c r="S216" i="22"/>
  <c r="R216" i="22"/>
  <c r="Q216" i="22"/>
  <c r="P216" i="22"/>
  <c r="O216" i="22"/>
  <c r="N216" i="22"/>
  <c r="M216" i="22"/>
  <c r="L216" i="22"/>
  <c r="K216" i="22"/>
  <c r="J216" i="22"/>
  <c r="I216" i="22"/>
  <c r="H216" i="22"/>
  <c r="G216" i="22"/>
  <c r="F216" i="22"/>
  <c r="E216" i="22"/>
  <c r="D216" i="22"/>
  <c r="C216" i="22"/>
  <c r="B216" i="22"/>
  <c r="A216" i="22"/>
  <c r="AF215" i="22"/>
  <c r="AE215" i="22"/>
  <c r="AD215" i="22"/>
  <c r="AC215" i="22"/>
  <c r="AB215" i="22"/>
  <c r="AA215" i="22"/>
  <c r="Z215" i="22"/>
  <c r="Y215" i="22"/>
  <c r="X215" i="22"/>
  <c r="W215" i="22"/>
  <c r="V215" i="22"/>
  <c r="U215" i="22"/>
  <c r="T215" i="22"/>
  <c r="S215" i="22"/>
  <c r="R215" i="22"/>
  <c r="Q215" i="22"/>
  <c r="P215" i="22"/>
  <c r="O215" i="22"/>
  <c r="N215" i="22"/>
  <c r="M215" i="22"/>
  <c r="L215" i="22"/>
  <c r="K215" i="22"/>
  <c r="J215" i="22"/>
  <c r="I215" i="22"/>
  <c r="H215" i="22"/>
  <c r="G215" i="22"/>
  <c r="F215" i="22"/>
  <c r="E215" i="22"/>
  <c r="D215" i="22"/>
  <c r="C215" i="22"/>
  <c r="B215" i="22"/>
  <c r="A215" i="22"/>
  <c r="B214" i="22"/>
  <c r="S189" i="22"/>
  <c r="AG179" i="22"/>
  <c r="B179" i="22"/>
  <c r="C178" i="22"/>
  <c r="D178" i="22" s="1"/>
  <c r="D214" i="22" s="1"/>
  <c r="C177" i="22"/>
  <c r="D177" i="22" s="1"/>
  <c r="E177" i="22" s="1"/>
  <c r="F177" i="22" s="1"/>
  <c r="G177" i="22" s="1"/>
  <c r="H177" i="22" s="1"/>
  <c r="I177" i="22" s="1"/>
  <c r="J177" i="22" s="1"/>
  <c r="K177" i="22" s="1"/>
  <c r="L177" i="22" s="1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C176" i="22"/>
  <c r="D176" i="22" s="1"/>
  <c r="E176" i="22" s="1"/>
  <c r="F176" i="22" s="1"/>
  <c r="G176" i="22" s="1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C175" i="22"/>
  <c r="D175" i="22" s="1"/>
  <c r="E175" i="22" s="1"/>
  <c r="F175" i="22" s="1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C174" i="22"/>
  <c r="D174" i="22" s="1"/>
  <c r="E174" i="22" s="1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C173" i="22"/>
  <c r="D173" i="22" s="1"/>
  <c r="AG171" i="22"/>
  <c r="B171" i="22"/>
  <c r="C170" i="22"/>
  <c r="D170" i="22" s="1"/>
  <c r="E170" i="22" s="1"/>
  <c r="F170" i="22" s="1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C169" i="22"/>
  <c r="D169" i="22" s="1"/>
  <c r="E169" i="22" s="1"/>
  <c r="F169" i="22" s="1"/>
  <c r="G169" i="22" s="1"/>
  <c r="H169" i="22" s="1"/>
  <c r="I169" i="22" s="1"/>
  <c r="J169" i="22" s="1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K168" i="22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C168" i="22"/>
  <c r="D168" i="22" s="1"/>
  <c r="E168" i="22" s="1"/>
  <c r="F168" i="22" s="1"/>
  <c r="G168" i="22" s="1"/>
  <c r="H168" i="22" s="1"/>
  <c r="I168" i="22" s="1"/>
  <c r="J168" i="22" s="1"/>
  <c r="C167" i="22"/>
  <c r="D167" i="22" s="1"/>
  <c r="E167" i="22" s="1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C166" i="22"/>
  <c r="D166" i="22" s="1"/>
  <c r="E166" i="22" s="1"/>
  <c r="F166" i="22" s="1"/>
  <c r="G166" i="22" s="1"/>
  <c r="H166" i="22" s="1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C165" i="22"/>
  <c r="D165" i="22" s="1"/>
  <c r="E165" i="22" s="1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C164" i="22"/>
  <c r="D164" i="22" s="1"/>
  <c r="E164" i="22" s="1"/>
  <c r="F164" i="22" s="1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C163" i="22"/>
  <c r="D163" i="22" s="1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C162" i="22"/>
  <c r="D162" i="22" s="1"/>
  <c r="E162" i="22" s="1"/>
  <c r="F162" i="22" s="1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C161" i="22"/>
  <c r="D161" i="22" s="1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C160" i="22"/>
  <c r="D160" i="22" s="1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C159" i="22"/>
  <c r="D159" i="22" s="1"/>
  <c r="E159" i="22" s="1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E158" i="22"/>
  <c r="F158" i="22" s="1"/>
  <c r="G158" i="22" s="1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C158" i="22"/>
  <c r="D158" i="22" s="1"/>
  <c r="C157" i="22"/>
  <c r="D157" i="22" s="1"/>
  <c r="E157" i="22" s="1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C156" i="22"/>
  <c r="D156" i="22" s="1"/>
  <c r="E156" i="22" s="1"/>
  <c r="F156" i="22" s="1"/>
  <c r="G156" i="22" s="1"/>
  <c r="H156" i="22" s="1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C155" i="22"/>
  <c r="D155" i="22" s="1"/>
  <c r="E155" i="22" s="1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C154" i="22"/>
  <c r="D154" i="22" s="1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C153" i="22"/>
  <c r="D153" i="22" s="1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C152" i="22"/>
  <c r="D152" i="22" s="1"/>
  <c r="E152" i="22" s="1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C151" i="22"/>
  <c r="D151" i="22" s="1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C150" i="22"/>
  <c r="D150" i="22" s="1"/>
  <c r="E150" i="22" s="1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C149" i="22"/>
  <c r="D149" i="22" s="1"/>
  <c r="E149" i="22" s="1"/>
  <c r="F149" i="22" s="1"/>
  <c r="G149" i="22" s="1"/>
  <c r="H149" i="22" s="1"/>
  <c r="I149" i="22" s="1"/>
  <c r="J149" i="22" s="1"/>
  <c r="K149" i="22" s="1"/>
  <c r="L149" i="22" s="1"/>
  <c r="M149" i="22" s="1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C148" i="22"/>
  <c r="D148" i="22" s="1"/>
  <c r="E148" i="22" s="1"/>
  <c r="F148" i="22" s="1"/>
  <c r="G148" i="22" s="1"/>
  <c r="H148" i="22" s="1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C147" i="22"/>
  <c r="D147" i="22" s="1"/>
  <c r="E147" i="22" s="1"/>
  <c r="F147" i="22" s="1"/>
  <c r="G147" i="22" s="1"/>
  <c r="H147" i="22" s="1"/>
  <c r="I147" i="22" s="1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C146" i="22"/>
  <c r="D146" i="22" s="1"/>
  <c r="E146" i="22" s="1"/>
  <c r="F146" i="22" s="1"/>
  <c r="G146" i="22" s="1"/>
  <c r="H146" i="22" s="1"/>
  <c r="I146" i="22" s="1"/>
  <c r="J146" i="22" s="1"/>
  <c r="K146" i="22" s="1"/>
  <c r="L146" i="22" s="1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C145" i="22"/>
  <c r="D145" i="22" s="1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D144" i="22"/>
  <c r="E144" i="22" s="1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C144" i="22"/>
  <c r="C143" i="22"/>
  <c r="D143" i="22" s="1"/>
  <c r="E143" i="22" s="1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C142" i="22"/>
  <c r="D142" i="22" s="1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C141" i="22"/>
  <c r="D141" i="22" s="1"/>
  <c r="E141" i="22" s="1"/>
  <c r="F141" i="22" s="1"/>
  <c r="G141" i="22" s="1"/>
  <c r="H141" i="22" s="1"/>
  <c r="I141" i="22" s="1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C140" i="22"/>
  <c r="D140" i="22" s="1"/>
  <c r="E140" i="22" s="1"/>
  <c r="F140" i="22" s="1"/>
  <c r="G140" i="22" s="1"/>
  <c r="H140" i="22" s="1"/>
  <c r="I140" i="22" s="1"/>
  <c r="J140" i="22" s="1"/>
  <c r="K140" i="22" s="1"/>
  <c r="L140" i="22" s="1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C139" i="22"/>
  <c r="D139" i="22" s="1"/>
  <c r="E139" i="22" s="1"/>
  <c r="F139" i="22" s="1"/>
  <c r="G139" i="22" s="1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C138" i="22"/>
  <c r="D138" i="22" s="1"/>
  <c r="E138" i="22" s="1"/>
  <c r="F138" i="22" s="1"/>
  <c r="G138" i="22" s="1"/>
  <c r="H138" i="22" s="1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C137" i="22"/>
  <c r="D137" i="22" s="1"/>
  <c r="E137" i="22" s="1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C136" i="22"/>
  <c r="D136" i="22" s="1"/>
  <c r="E136" i="22" s="1"/>
  <c r="F136" i="22" s="1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C135" i="22"/>
  <c r="D135" i="22" s="1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E134" i="22"/>
  <c r="F134" i="22" s="1"/>
  <c r="G134" i="22" s="1"/>
  <c r="H134" i="22" s="1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C134" i="22"/>
  <c r="D134" i="22" s="1"/>
  <c r="C133" i="22"/>
  <c r="D133" i="22" s="1"/>
  <c r="E133" i="22" s="1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D132" i="22"/>
  <c r="E132" i="22" s="1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C132" i="22"/>
  <c r="C131" i="22"/>
  <c r="D131" i="22" s="1"/>
  <c r="E131" i="22" s="1"/>
  <c r="F131" i="22" s="1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C130" i="22"/>
  <c r="D130" i="22" s="1"/>
  <c r="E130" i="22" s="1"/>
  <c r="F130" i="22" s="1"/>
  <c r="G130" i="22" s="1"/>
  <c r="H130" i="22" s="1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C129" i="22"/>
  <c r="D129" i="22" s="1"/>
  <c r="E129" i="22" s="1"/>
  <c r="F129" i="22" s="1"/>
  <c r="G129" i="22" s="1"/>
  <c r="H129" i="22" s="1"/>
  <c r="I129" i="22" s="1"/>
  <c r="J129" i="22" s="1"/>
  <c r="K129" i="22" s="1"/>
  <c r="L129" i="22" s="1"/>
  <c r="M129" i="22" s="1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D128" i="22"/>
  <c r="E128" i="22" s="1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C128" i="22"/>
  <c r="C127" i="22"/>
  <c r="D127" i="22" s="1"/>
  <c r="E127" i="22" s="1"/>
  <c r="F127" i="22" s="1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C126" i="22"/>
  <c r="D126" i="22" s="1"/>
  <c r="E126" i="22" s="1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C125" i="22"/>
  <c r="D125" i="22" s="1"/>
  <c r="E125" i="22" s="1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C124" i="22"/>
  <c r="D124" i="22" s="1"/>
  <c r="E124" i="22" s="1"/>
  <c r="F124" i="22" s="1"/>
  <c r="G124" i="22" s="1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C123" i="22"/>
  <c r="D123" i="22" s="1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C122" i="22"/>
  <c r="D122" i="22" s="1"/>
  <c r="E122" i="22" s="1"/>
  <c r="F122" i="22" s="1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D121" i="22"/>
  <c r="E121" i="22" s="1"/>
  <c r="F121" i="22" s="1"/>
  <c r="G121" i="22" s="1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C121" i="22"/>
  <c r="C120" i="22"/>
  <c r="D120" i="22" s="1"/>
  <c r="E120" i="22" s="1"/>
  <c r="F120" i="22" s="1"/>
  <c r="G120" i="22" s="1"/>
  <c r="H120" i="22" s="1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C119" i="22"/>
  <c r="D119" i="22" s="1"/>
  <c r="E119" i="22" s="1"/>
  <c r="F119" i="22" s="1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C118" i="22"/>
  <c r="D118" i="22" s="1"/>
  <c r="E118" i="22" s="1"/>
  <c r="F118" i="22" s="1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C117" i="22"/>
  <c r="D117" i="22" s="1"/>
  <c r="E117" i="22" s="1"/>
  <c r="F117" i="22" s="1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C116" i="22"/>
  <c r="D116" i="22" s="1"/>
  <c r="E116" i="22" s="1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C115" i="22"/>
  <c r="D115" i="22" s="1"/>
  <c r="E115" i="22" s="1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C114" i="22"/>
  <c r="D114" i="22" s="1"/>
  <c r="E114" i="22" s="1"/>
  <c r="F114" i="22" s="1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C113" i="22"/>
  <c r="D113" i="22" s="1"/>
  <c r="E113" i="22" s="1"/>
  <c r="F113" i="22" s="1"/>
  <c r="G113" i="22" s="1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C112" i="22"/>
  <c r="D112" i="22" s="1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C111" i="22"/>
  <c r="D111" i="22" s="1"/>
  <c r="E111" i="22" s="1"/>
  <c r="F111" i="22" s="1"/>
  <c r="G111" i="22" s="1"/>
  <c r="H111" i="22" s="1"/>
  <c r="I111" i="22" s="1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C110" i="22"/>
  <c r="C109" i="22"/>
  <c r="D109" i="22" s="1"/>
  <c r="E109" i="22" s="1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C108" i="22"/>
  <c r="D108" i="22" s="1"/>
  <c r="E108" i="22" s="1"/>
  <c r="F108" i="22" s="1"/>
  <c r="G108" i="22" s="1"/>
  <c r="H108" i="22" s="1"/>
  <c r="I108" i="22" s="1"/>
  <c r="J108" i="22" s="1"/>
  <c r="K108" i="22" s="1"/>
  <c r="L108" i="22" s="1"/>
  <c r="M108" i="22" s="1"/>
  <c r="N108" i="22" s="1"/>
  <c r="O108" i="22" s="1"/>
  <c r="P108" i="22" s="1"/>
  <c r="Q108" i="22" s="1"/>
  <c r="R108" i="22" s="1"/>
  <c r="S108" i="22" s="1"/>
  <c r="T108" i="22" s="1"/>
  <c r="U108" i="22" s="1"/>
  <c r="V108" i="22" s="1"/>
  <c r="W108" i="22" s="1"/>
  <c r="X108" i="22" s="1"/>
  <c r="Y108" i="22" s="1"/>
  <c r="Z108" i="22" s="1"/>
  <c r="AA108" i="22" s="1"/>
  <c r="AB108" i="22" s="1"/>
  <c r="AC108" i="22" s="1"/>
  <c r="AD108" i="22" s="1"/>
  <c r="AE108" i="22" s="1"/>
  <c r="AF108" i="22" s="1"/>
  <c r="C107" i="22"/>
  <c r="D107" i="22" s="1"/>
  <c r="E107" i="22" s="1"/>
  <c r="F107" i="22" s="1"/>
  <c r="G107" i="22" s="1"/>
  <c r="H107" i="22" s="1"/>
  <c r="I107" i="22" s="1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C106" i="22"/>
  <c r="D106" i="22" s="1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C105" i="22"/>
  <c r="D105" i="22" s="1"/>
  <c r="E105" i="22" s="1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C104" i="22"/>
  <c r="D104" i="22" s="1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C103" i="22"/>
  <c r="D103" i="22" s="1"/>
  <c r="E103" i="22" s="1"/>
  <c r="F103" i="22" s="1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C102" i="22"/>
  <c r="D102" i="22" s="1"/>
  <c r="E102" i="22" s="1"/>
  <c r="F102" i="22" s="1"/>
  <c r="G102" i="22" s="1"/>
  <c r="H102" i="22" s="1"/>
  <c r="I102" i="22" s="1"/>
  <c r="J102" i="22" s="1"/>
  <c r="K102" i="22" s="1"/>
  <c r="L102" i="22" s="1"/>
  <c r="M102" i="22" s="1"/>
  <c r="N102" i="22" s="1"/>
  <c r="O102" i="22" s="1"/>
  <c r="P102" i="22" s="1"/>
  <c r="Q102" i="22" s="1"/>
  <c r="R102" i="22" s="1"/>
  <c r="S102" i="22" s="1"/>
  <c r="T102" i="22" s="1"/>
  <c r="U102" i="22" s="1"/>
  <c r="V102" i="22" s="1"/>
  <c r="W102" i="22" s="1"/>
  <c r="X102" i="22" s="1"/>
  <c r="Y102" i="22" s="1"/>
  <c r="Z102" i="22" s="1"/>
  <c r="AA102" i="22" s="1"/>
  <c r="AB102" i="22" s="1"/>
  <c r="AC102" i="22" s="1"/>
  <c r="AD102" i="22" s="1"/>
  <c r="AE102" i="22" s="1"/>
  <c r="AF102" i="22" s="1"/>
  <c r="C101" i="22"/>
  <c r="D101" i="22" s="1"/>
  <c r="E101" i="22" s="1"/>
  <c r="F101" i="22" s="1"/>
  <c r="G101" i="22" s="1"/>
  <c r="H101" i="22" s="1"/>
  <c r="I101" i="22" s="1"/>
  <c r="J101" i="22" s="1"/>
  <c r="K101" i="22" s="1"/>
  <c r="L101" i="22" s="1"/>
  <c r="M101" i="22" s="1"/>
  <c r="N101" i="22" s="1"/>
  <c r="O101" i="22" s="1"/>
  <c r="P101" i="22" s="1"/>
  <c r="Q101" i="22" s="1"/>
  <c r="R101" i="22" s="1"/>
  <c r="S101" i="22" s="1"/>
  <c r="T101" i="22" s="1"/>
  <c r="U101" i="22" s="1"/>
  <c r="V101" i="22" s="1"/>
  <c r="W101" i="22" s="1"/>
  <c r="X101" i="22" s="1"/>
  <c r="Y101" i="22" s="1"/>
  <c r="Z101" i="22" s="1"/>
  <c r="AA101" i="22" s="1"/>
  <c r="AB101" i="22" s="1"/>
  <c r="AC101" i="22" s="1"/>
  <c r="AD101" i="22" s="1"/>
  <c r="AE101" i="22" s="1"/>
  <c r="AF101" i="22" s="1"/>
  <c r="C100" i="22"/>
  <c r="D100" i="22" s="1"/>
  <c r="E100" i="22" s="1"/>
  <c r="F100" i="22" s="1"/>
  <c r="G100" i="22" s="1"/>
  <c r="H100" i="22" s="1"/>
  <c r="I100" i="22" s="1"/>
  <c r="J100" i="22" s="1"/>
  <c r="K100" i="22" s="1"/>
  <c r="L100" i="22" s="1"/>
  <c r="M100" i="22" s="1"/>
  <c r="N100" i="22" s="1"/>
  <c r="O100" i="22" s="1"/>
  <c r="P100" i="22" s="1"/>
  <c r="Q100" i="22" s="1"/>
  <c r="R100" i="22" s="1"/>
  <c r="S100" i="22" s="1"/>
  <c r="T100" i="22" s="1"/>
  <c r="U100" i="22" s="1"/>
  <c r="V100" i="22" s="1"/>
  <c r="W100" i="22" s="1"/>
  <c r="X100" i="22" s="1"/>
  <c r="Y100" i="22" s="1"/>
  <c r="Z100" i="22" s="1"/>
  <c r="AA100" i="22" s="1"/>
  <c r="AB100" i="22" s="1"/>
  <c r="AC100" i="22" s="1"/>
  <c r="AD100" i="22" s="1"/>
  <c r="AE100" i="22" s="1"/>
  <c r="AF100" i="22" s="1"/>
  <c r="J99" i="22"/>
  <c r="K99" i="22" s="1"/>
  <c r="L99" i="22" s="1"/>
  <c r="M99" i="22" s="1"/>
  <c r="N99" i="22" s="1"/>
  <c r="O99" i="22" s="1"/>
  <c r="P99" i="22" s="1"/>
  <c r="Q99" i="22" s="1"/>
  <c r="R99" i="22" s="1"/>
  <c r="S99" i="22" s="1"/>
  <c r="T99" i="22" s="1"/>
  <c r="U99" i="22" s="1"/>
  <c r="V99" i="22" s="1"/>
  <c r="W99" i="22" s="1"/>
  <c r="X99" i="22" s="1"/>
  <c r="Y99" i="22" s="1"/>
  <c r="Z99" i="22" s="1"/>
  <c r="AA99" i="22" s="1"/>
  <c r="AB99" i="22" s="1"/>
  <c r="AC99" i="22" s="1"/>
  <c r="AD99" i="22" s="1"/>
  <c r="AE99" i="22" s="1"/>
  <c r="AF99" i="22" s="1"/>
  <c r="C99" i="22"/>
  <c r="D99" i="22" s="1"/>
  <c r="E99" i="22" s="1"/>
  <c r="F99" i="22" s="1"/>
  <c r="G99" i="22" s="1"/>
  <c r="H99" i="22" s="1"/>
  <c r="C98" i="22"/>
  <c r="D98" i="22" s="1"/>
  <c r="E98" i="22" s="1"/>
  <c r="F98" i="22" s="1"/>
  <c r="G98" i="22" s="1"/>
  <c r="H98" i="22" s="1"/>
  <c r="I98" i="22" s="1"/>
  <c r="J98" i="22" s="1"/>
  <c r="K98" i="22" s="1"/>
  <c r="L98" i="22" s="1"/>
  <c r="M98" i="22" s="1"/>
  <c r="N98" i="22" s="1"/>
  <c r="O98" i="22" s="1"/>
  <c r="P98" i="22" s="1"/>
  <c r="Q98" i="22" s="1"/>
  <c r="R98" i="22" s="1"/>
  <c r="S98" i="22" s="1"/>
  <c r="T98" i="22" s="1"/>
  <c r="U98" i="22" s="1"/>
  <c r="V98" i="22" s="1"/>
  <c r="W98" i="22" s="1"/>
  <c r="X98" i="22" s="1"/>
  <c r="Y98" i="22" s="1"/>
  <c r="Z98" i="22" s="1"/>
  <c r="AA98" i="22" s="1"/>
  <c r="AB98" i="22" s="1"/>
  <c r="AC98" i="22" s="1"/>
  <c r="AD98" i="22" s="1"/>
  <c r="AE98" i="22" s="1"/>
  <c r="AF98" i="22" s="1"/>
  <c r="D97" i="22"/>
  <c r="E97" i="22" s="1"/>
  <c r="F97" i="22" s="1"/>
  <c r="G97" i="22" s="1"/>
  <c r="H97" i="22" s="1"/>
  <c r="I97" i="22" s="1"/>
  <c r="J97" i="22" s="1"/>
  <c r="K97" i="22" s="1"/>
  <c r="L97" i="22" s="1"/>
  <c r="M97" i="22" s="1"/>
  <c r="N97" i="22" s="1"/>
  <c r="O97" i="22" s="1"/>
  <c r="P97" i="22" s="1"/>
  <c r="Q97" i="22" s="1"/>
  <c r="R97" i="22" s="1"/>
  <c r="S97" i="22" s="1"/>
  <c r="T97" i="22" s="1"/>
  <c r="U97" i="22" s="1"/>
  <c r="V97" i="22" s="1"/>
  <c r="W97" i="22" s="1"/>
  <c r="X97" i="22" s="1"/>
  <c r="Y97" i="22" s="1"/>
  <c r="Z97" i="22" s="1"/>
  <c r="AA97" i="22" s="1"/>
  <c r="AB97" i="22" s="1"/>
  <c r="AC97" i="22" s="1"/>
  <c r="AD97" i="22" s="1"/>
  <c r="AE97" i="22" s="1"/>
  <c r="AF97" i="22" s="1"/>
  <c r="C97" i="22"/>
  <c r="C96" i="22"/>
  <c r="D96" i="22" s="1"/>
  <c r="E96" i="22" s="1"/>
  <c r="F96" i="22" s="1"/>
  <c r="G96" i="22" s="1"/>
  <c r="H96" i="22" s="1"/>
  <c r="I96" i="22" s="1"/>
  <c r="J96" i="22" s="1"/>
  <c r="K96" i="22" s="1"/>
  <c r="L96" i="22" s="1"/>
  <c r="M96" i="22" s="1"/>
  <c r="N96" i="22" s="1"/>
  <c r="O96" i="22" s="1"/>
  <c r="P96" i="22" s="1"/>
  <c r="Q96" i="22" s="1"/>
  <c r="R96" i="22" s="1"/>
  <c r="S96" i="22" s="1"/>
  <c r="T96" i="22" s="1"/>
  <c r="U96" i="22" s="1"/>
  <c r="V96" i="22" s="1"/>
  <c r="W96" i="22" s="1"/>
  <c r="X96" i="22" s="1"/>
  <c r="Y96" i="22" s="1"/>
  <c r="Z96" i="22" s="1"/>
  <c r="AA96" i="22" s="1"/>
  <c r="AB96" i="22" s="1"/>
  <c r="AC96" i="22" s="1"/>
  <c r="AD96" i="22" s="1"/>
  <c r="AE96" i="22" s="1"/>
  <c r="AF96" i="22" s="1"/>
  <c r="C95" i="22"/>
  <c r="D95" i="22" s="1"/>
  <c r="E95" i="22" s="1"/>
  <c r="F95" i="22" s="1"/>
  <c r="G95" i="22" s="1"/>
  <c r="H95" i="22" s="1"/>
  <c r="I95" i="22" s="1"/>
  <c r="J95" i="22" s="1"/>
  <c r="K95" i="22" s="1"/>
  <c r="L95" i="22" s="1"/>
  <c r="M95" i="22" s="1"/>
  <c r="N95" i="22" s="1"/>
  <c r="O95" i="22" s="1"/>
  <c r="P95" i="22" s="1"/>
  <c r="Q95" i="22" s="1"/>
  <c r="R95" i="22" s="1"/>
  <c r="S95" i="22" s="1"/>
  <c r="T95" i="22" s="1"/>
  <c r="U95" i="22" s="1"/>
  <c r="V95" i="22" s="1"/>
  <c r="W95" i="22" s="1"/>
  <c r="X95" i="22" s="1"/>
  <c r="Y95" i="22" s="1"/>
  <c r="Z95" i="22" s="1"/>
  <c r="AA95" i="22" s="1"/>
  <c r="AB95" i="22" s="1"/>
  <c r="AC95" i="22" s="1"/>
  <c r="AD95" i="22" s="1"/>
  <c r="AE95" i="22" s="1"/>
  <c r="AF95" i="22" s="1"/>
  <c r="C94" i="22"/>
  <c r="D94" i="22" s="1"/>
  <c r="E94" i="22" s="1"/>
  <c r="F94" i="22" s="1"/>
  <c r="C93" i="22"/>
  <c r="D93" i="22" s="1"/>
  <c r="E93" i="22" s="1"/>
  <c r="F93" i="22" s="1"/>
  <c r="G93" i="22" s="1"/>
  <c r="H93" i="22" s="1"/>
  <c r="I93" i="22" s="1"/>
  <c r="J93" i="22" s="1"/>
  <c r="K93" i="22" s="1"/>
  <c r="L93" i="22" s="1"/>
  <c r="M93" i="22" s="1"/>
  <c r="N93" i="22" s="1"/>
  <c r="O93" i="22" s="1"/>
  <c r="P93" i="22" s="1"/>
  <c r="Q93" i="22" s="1"/>
  <c r="R93" i="22" s="1"/>
  <c r="S93" i="22" s="1"/>
  <c r="T93" i="22" s="1"/>
  <c r="U93" i="22" s="1"/>
  <c r="V93" i="22" s="1"/>
  <c r="W93" i="22" s="1"/>
  <c r="X93" i="22" s="1"/>
  <c r="Y93" i="22" s="1"/>
  <c r="Z93" i="22" s="1"/>
  <c r="AA93" i="22" s="1"/>
  <c r="AB93" i="22" s="1"/>
  <c r="AC93" i="22" s="1"/>
  <c r="AD93" i="22" s="1"/>
  <c r="AE93" i="22" s="1"/>
  <c r="AF93" i="22" s="1"/>
  <c r="C92" i="22"/>
  <c r="D92" i="22" s="1"/>
  <c r="E92" i="22" s="1"/>
  <c r="F92" i="22" s="1"/>
  <c r="G92" i="22" s="1"/>
  <c r="H92" i="22" s="1"/>
  <c r="I92" i="22" s="1"/>
  <c r="J92" i="22" s="1"/>
  <c r="K92" i="22" s="1"/>
  <c r="L92" i="22" s="1"/>
  <c r="M92" i="22" s="1"/>
  <c r="N92" i="22" s="1"/>
  <c r="O92" i="22" s="1"/>
  <c r="P92" i="22" s="1"/>
  <c r="Q92" i="22" s="1"/>
  <c r="R92" i="22" s="1"/>
  <c r="S92" i="22" s="1"/>
  <c r="T92" i="22" s="1"/>
  <c r="U92" i="22" s="1"/>
  <c r="V92" i="22" s="1"/>
  <c r="W92" i="22" s="1"/>
  <c r="X92" i="22" s="1"/>
  <c r="Y92" i="22" s="1"/>
  <c r="Z92" i="22" s="1"/>
  <c r="AA92" i="22" s="1"/>
  <c r="AB92" i="22" s="1"/>
  <c r="AC92" i="22" s="1"/>
  <c r="AD92" i="22" s="1"/>
  <c r="AE92" i="22" s="1"/>
  <c r="AF92" i="22" s="1"/>
  <c r="C91" i="22"/>
  <c r="D91" i="22" s="1"/>
  <c r="E91" i="22" s="1"/>
  <c r="F91" i="22" s="1"/>
  <c r="G91" i="22" s="1"/>
  <c r="H91" i="22" s="1"/>
  <c r="I91" i="22" s="1"/>
  <c r="J91" i="22" s="1"/>
  <c r="K91" i="22" s="1"/>
  <c r="L91" i="22" s="1"/>
  <c r="M91" i="22" s="1"/>
  <c r="N91" i="22" s="1"/>
  <c r="O91" i="22" s="1"/>
  <c r="P91" i="22" s="1"/>
  <c r="Q91" i="22" s="1"/>
  <c r="R91" i="22" s="1"/>
  <c r="S91" i="22" s="1"/>
  <c r="T91" i="22" s="1"/>
  <c r="U91" i="22" s="1"/>
  <c r="V91" i="22" s="1"/>
  <c r="W91" i="22" s="1"/>
  <c r="X91" i="22" s="1"/>
  <c r="Y91" i="22" s="1"/>
  <c r="Z91" i="22" s="1"/>
  <c r="AA91" i="22" s="1"/>
  <c r="AB91" i="22" s="1"/>
  <c r="AC91" i="22" s="1"/>
  <c r="AD91" i="22" s="1"/>
  <c r="AE91" i="22" s="1"/>
  <c r="AF91" i="22" s="1"/>
  <c r="C90" i="22"/>
  <c r="D90" i="22" s="1"/>
  <c r="E90" i="22" s="1"/>
  <c r="F90" i="22" s="1"/>
  <c r="G90" i="22" s="1"/>
  <c r="H90" i="22" s="1"/>
  <c r="I90" i="22" s="1"/>
  <c r="J90" i="22" s="1"/>
  <c r="K90" i="22" s="1"/>
  <c r="L90" i="22" s="1"/>
  <c r="M90" i="22" s="1"/>
  <c r="N90" i="22" s="1"/>
  <c r="O90" i="22" s="1"/>
  <c r="P90" i="22" s="1"/>
  <c r="Q90" i="22" s="1"/>
  <c r="R90" i="22" s="1"/>
  <c r="S90" i="22" s="1"/>
  <c r="T90" i="22" s="1"/>
  <c r="U90" i="22" s="1"/>
  <c r="V90" i="22" s="1"/>
  <c r="W90" i="22" s="1"/>
  <c r="X90" i="22" s="1"/>
  <c r="Y90" i="22" s="1"/>
  <c r="Z90" i="22" s="1"/>
  <c r="AA90" i="22" s="1"/>
  <c r="AB90" i="22" s="1"/>
  <c r="AC90" i="22" s="1"/>
  <c r="AD90" i="22" s="1"/>
  <c r="AE90" i="22" s="1"/>
  <c r="AF90" i="22" s="1"/>
  <c r="C89" i="22"/>
  <c r="AH86" i="22"/>
  <c r="AI86" i="22" s="1"/>
  <c r="AH85" i="22"/>
  <c r="AI85" i="22" s="1"/>
  <c r="AH84" i="22"/>
  <c r="AI84" i="22" s="1"/>
  <c r="AH83" i="22"/>
  <c r="AI83" i="22" s="1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AI79" i="22"/>
  <c r="AH79" i="22"/>
  <c r="AI78" i="22"/>
  <c r="AH78" i="22"/>
  <c r="AI77" i="22"/>
  <c r="AH77" i="22"/>
  <c r="AI76" i="22"/>
  <c r="AH76" i="22"/>
  <c r="AI75" i="22"/>
  <c r="AH75" i="22"/>
  <c r="AI74" i="22"/>
  <c r="AH74" i="22"/>
  <c r="AI73" i="22"/>
  <c r="AH73" i="22"/>
  <c r="AI72" i="22"/>
  <c r="AH72" i="22"/>
  <c r="AG71" i="22"/>
  <c r="AI70" i="22"/>
  <c r="AH70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AF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AF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AI64" i="22"/>
  <c r="AH64" i="22"/>
  <c r="AG63" i="22"/>
  <c r="AF63" i="22"/>
  <c r="AE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R63" i="22"/>
  <c r="Q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AI62" i="22"/>
  <c r="AH62" i="22"/>
  <c r="AI61" i="22"/>
  <c r="AH61" i="22"/>
  <c r="AI60" i="22"/>
  <c r="AH60" i="22"/>
  <c r="AG59" i="22"/>
  <c r="AF59" i="22"/>
  <c r="AF5" i="22" s="1"/>
  <c r="AE59" i="22"/>
  <c r="AD59" i="22"/>
  <c r="AD5" i="22" s="1"/>
  <c r="AC59" i="22"/>
  <c r="AC5" i="22" s="1"/>
  <c r="AB59" i="22"/>
  <c r="AB5" i="22" s="1"/>
  <c r="AA59" i="22"/>
  <c r="AA5" i="22" s="1"/>
  <c r="Z59" i="22"/>
  <c r="Z5" i="22" s="1"/>
  <c r="Y59" i="22"/>
  <c r="Y5" i="22" s="1"/>
  <c r="X59" i="22"/>
  <c r="X5" i="22" s="1"/>
  <c r="W59" i="22"/>
  <c r="W5" i="22" s="1"/>
  <c r="V59" i="22"/>
  <c r="V5" i="22" s="1"/>
  <c r="U59" i="22"/>
  <c r="U5" i="22" s="1"/>
  <c r="T59" i="22"/>
  <c r="T5" i="22" s="1"/>
  <c r="S59" i="22"/>
  <c r="S5" i="22" s="1"/>
  <c r="R59" i="22"/>
  <c r="R5" i="22" s="1"/>
  <c r="Q59" i="22"/>
  <c r="Q5" i="22" s="1"/>
  <c r="P59" i="22"/>
  <c r="P5" i="22" s="1"/>
  <c r="O59" i="22"/>
  <c r="O5" i="22" s="1"/>
  <c r="N59" i="22"/>
  <c r="N5" i="22" s="1"/>
  <c r="M59" i="22"/>
  <c r="M5" i="22" s="1"/>
  <c r="L59" i="22"/>
  <c r="K59" i="22"/>
  <c r="K5" i="22" s="1"/>
  <c r="J59" i="22"/>
  <c r="J5" i="22" s="1"/>
  <c r="I59" i="22"/>
  <c r="I5" i="22" s="1"/>
  <c r="H59" i="22"/>
  <c r="H5" i="22" s="1"/>
  <c r="G59" i="22"/>
  <c r="G5" i="22" s="1"/>
  <c r="F59" i="22"/>
  <c r="F5" i="22" s="1"/>
  <c r="E59" i="22"/>
  <c r="E5" i="22" s="1"/>
  <c r="D59" i="22"/>
  <c r="D5" i="22" s="1"/>
  <c r="C59" i="22"/>
  <c r="AI58" i="22"/>
  <c r="AH58" i="22"/>
  <c r="AI57" i="22"/>
  <c r="AH57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G47" i="22"/>
  <c r="AG4" i="22" s="1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AI46" i="22"/>
  <c r="AH46" i="22"/>
  <c r="AI45" i="22"/>
  <c r="AH45" i="22"/>
  <c r="AI44" i="22"/>
  <c r="AH44" i="22"/>
  <c r="AG42" i="22"/>
  <c r="AG43" i="22" s="1"/>
  <c r="AG3" i="22" s="1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L5" i="22"/>
  <c r="B5" i="22"/>
  <c r="K4" i="22"/>
  <c r="C4" i="22"/>
  <c r="D190" i="22" s="1"/>
  <c r="AG2" i="22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B214" i="21"/>
  <c r="S189" i="21"/>
  <c r="AG179" i="21"/>
  <c r="B179" i="21"/>
  <c r="C178" i="21"/>
  <c r="Q177" i="21"/>
  <c r="R177" i="21" s="1"/>
  <c r="S177" i="21" s="1"/>
  <c r="T177" i="21" s="1"/>
  <c r="U177" i="21" s="1"/>
  <c r="V177" i="21" s="1"/>
  <c r="W177" i="21" s="1"/>
  <c r="X177" i="21" s="1"/>
  <c r="Y177" i="21" s="1"/>
  <c r="Z177" i="21" s="1"/>
  <c r="AA177" i="21" s="1"/>
  <c r="AB177" i="21" s="1"/>
  <c r="AC177" i="21" s="1"/>
  <c r="AD177" i="21" s="1"/>
  <c r="AE177" i="21" s="1"/>
  <c r="AF177" i="21" s="1"/>
  <c r="C177" i="21"/>
  <c r="D177" i="21" s="1"/>
  <c r="E177" i="21" s="1"/>
  <c r="F177" i="21" s="1"/>
  <c r="G177" i="21" s="1"/>
  <c r="H177" i="21" s="1"/>
  <c r="I177" i="21" s="1"/>
  <c r="J177" i="21" s="1"/>
  <c r="K177" i="21" s="1"/>
  <c r="L177" i="21" s="1"/>
  <c r="M177" i="21" s="1"/>
  <c r="N177" i="21" s="1"/>
  <c r="O177" i="21" s="1"/>
  <c r="P177" i="21" s="1"/>
  <c r="C176" i="21"/>
  <c r="D176" i="21" s="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E175" i="21"/>
  <c r="F175" i="21" s="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D175" i="21"/>
  <c r="C175" i="21"/>
  <c r="C174" i="21"/>
  <c r="D174" i="21" s="1"/>
  <c r="E174" i="21" s="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C173" i="21"/>
  <c r="AG171" i="21"/>
  <c r="B171" i="21"/>
  <c r="C170" i="21"/>
  <c r="D170" i="21" s="1"/>
  <c r="E170" i="21" s="1"/>
  <c r="F170" i="21" s="1"/>
  <c r="G170" i="21" s="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J169" i="2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E169" i="21"/>
  <c r="F169" i="21" s="1"/>
  <c r="G169" i="21" s="1"/>
  <c r="H169" i="21" s="1"/>
  <c r="I169" i="21" s="1"/>
  <c r="D169" i="21"/>
  <c r="C169" i="21"/>
  <c r="C168" i="21"/>
  <c r="D168" i="21" s="1"/>
  <c r="E168" i="21" s="1"/>
  <c r="F168" i="21" s="1"/>
  <c r="G168" i="21" s="1"/>
  <c r="H168" i="21" s="1"/>
  <c r="I168" i="21" s="1"/>
  <c r="J168" i="21" s="1"/>
  <c r="K168" i="21" s="1"/>
  <c r="L168" i="21" s="1"/>
  <c r="M168" i="21" s="1"/>
  <c r="N168" i="21" s="1"/>
  <c r="O168" i="21" s="1"/>
  <c r="P168" i="21" s="1"/>
  <c r="Q168" i="21" s="1"/>
  <c r="R168" i="21" s="1"/>
  <c r="S168" i="21" s="1"/>
  <c r="T168" i="21" s="1"/>
  <c r="U168" i="21" s="1"/>
  <c r="V168" i="21" s="1"/>
  <c r="W168" i="21" s="1"/>
  <c r="X168" i="21" s="1"/>
  <c r="Y168" i="21" s="1"/>
  <c r="Z168" i="21" s="1"/>
  <c r="AA168" i="21" s="1"/>
  <c r="AB168" i="21" s="1"/>
  <c r="AC168" i="21" s="1"/>
  <c r="AD168" i="21" s="1"/>
  <c r="AE168" i="21" s="1"/>
  <c r="AF168" i="21" s="1"/>
  <c r="D167" i="2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C167" i="21"/>
  <c r="C166" i="21"/>
  <c r="D166" i="21" s="1"/>
  <c r="E166" i="21" s="1"/>
  <c r="F166" i="21" s="1"/>
  <c r="G166" i="21" s="1"/>
  <c r="H166" i="21" s="1"/>
  <c r="I166" i="21" s="1"/>
  <c r="J166" i="21" s="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R165" i="2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G165" i="2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E165" i="21"/>
  <c r="F165" i="21" s="1"/>
  <c r="D165" i="21"/>
  <c r="C165" i="21"/>
  <c r="C164" i="21"/>
  <c r="D164" i="21" s="1"/>
  <c r="E164" i="21" s="1"/>
  <c r="F164" i="21" s="1"/>
  <c r="G164" i="21" s="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AD163" i="21"/>
  <c r="AE163" i="21" s="1"/>
  <c r="AF163" i="21" s="1"/>
  <c r="E163" i="2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D163" i="21"/>
  <c r="C163" i="21"/>
  <c r="S162" i="2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C162" i="21"/>
  <c r="D162" i="21" s="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J161" i="2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F161" i="21"/>
  <c r="G161" i="21" s="1"/>
  <c r="H161" i="21" s="1"/>
  <c r="I161" i="21" s="1"/>
  <c r="E161" i="21"/>
  <c r="D161" i="21"/>
  <c r="C161" i="21"/>
  <c r="E160" i="2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D160" i="21"/>
  <c r="C160" i="21"/>
  <c r="C159" i="21"/>
  <c r="D159" i="21" s="1"/>
  <c r="E159" i="21" s="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AB158" i="21"/>
  <c r="AC158" i="21" s="1"/>
  <c r="AD158" i="21" s="1"/>
  <c r="AE158" i="21" s="1"/>
  <c r="AF158" i="21" s="1"/>
  <c r="F158" i="2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D158" i="21"/>
  <c r="E158" i="21" s="1"/>
  <c r="C158" i="21"/>
  <c r="I157" i="2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E157" i="21"/>
  <c r="F157" i="21" s="1"/>
  <c r="G157" i="21" s="1"/>
  <c r="H157" i="21" s="1"/>
  <c r="D157" i="21"/>
  <c r="C157" i="21"/>
  <c r="H156" i="2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G156" i="21"/>
  <c r="C156" i="21"/>
  <c r="D156" i="21" s="1"/>
  <c r="E156" i="21" s="1"/>
  <c r="F156" i="21" s="1"/>
  <c r="N155" i="2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F155" i="21"/>
  <c r="G155" i="21" s="1"/>
  <c r="H155" i="21" s="1"/>
  <c r="I155" i="21" s="1"/>
  <c r="J155" i="21" s="1"/>
  <c r="K155" i="21" s="1"/>
  <c r="L155" i="21" s="1"/>
  <c r="M155" i="21" s="1"/>
  <c r="E155" i="21"/>
  <c r="D155" i="21"/>
  <c r="C155" i="21"/>
  <c r="C154" i="21"/>
  <c r="D154" i="21" s="1"/>
  <c r="E154" i="21" s="1"/>
  <c r="F154" i="21" s="1"/>
  <c r="G154" i="21" s="1"/>
  <c r="H154" i="21" s="1"/>
  <c r="I154" i="21" s="1"/>
  <c r="J154" i="21" s="1"/>
  <c r="K154" i="21" s="1"/>
  <c r="L154" i="21" s="1"/>
  <c r="M154" i="21" s="1"/>
  <c r="N154" i="21" s="1"/>
  <c r="O154" i="21" s="1"/>
  <c r="P154" i="21" s="1"/>
  <c r="Q154" i="21" s="1"/>
  <c r="R154" i="21" s="1"/>
  <c r="S154" i="21" s="1"/>
  <c r="T154" i="21" s="1"/>
  <c r="U154" i="21" s="1"/>
  <c r="V154" i="21" s="1"/>
  <c r="W154" i="21" s="1"/>
  <c r="X154" i="21" s="1"/>
  <c r="Y154" i="21" s="1"/>
  <c r="Z154" i="21" s="1"/>
  <c r="AA154" i="21" s="1"/>
  <c r="AB154" i="21" s="1"/>
  <c r="AC154" i="21" s="1"/>
  <c r="AD154" i="21" s="1"/>
  <c r="AE154" i="21" s="1"/>
  <c r="AF154" i="21" s="1"/>
  <c r="AC153" i="21"/>
  <c r="AD153" i="21" s="1"/>
  <c r="AE153" i="21" s="1"/>
  <c r="AF153" i="21" s="1"/>
  <c r="Q153" i="2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F153" i="21"/>
  <c r="G153" i="21" s="1"/>
  <c r="H153" i="21" s="1"/>
  <c r="I153" i="21" s="1"/>
  <c r="J153" i="21" s="1"/>
  <c r="K153" i="21" s="1"/>
  <c r="L153" i="21" s="1"/>
  <c r="M153" i="21" s="1"/>
  <c r="N153" i="21" s="1"/>
  <c r="O153" i="21" s="1"/>
  <c r="P153" i="21" s="1"/>
  <c r="E153" i="21"/>
  <c r="D153" i="21"/>
  <c r="C153" i="21"/>
  <c r="F152" i="21"/>
  <c r="G152" i="21" s="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C152" i="21"/>
  <c r="D152" i="21" s="1"/>
  <c r="E152" i="21" s="1"/>
  <c r="D151" i="21"/>
  <c r="E151" i="21" s="1"/>
  <c r="F151" i="21" s="1"/>
  <c r="G151" i="21" s="1"/>
  <c r="H151" i="21" s="1"/>
  <c r="I151" i="21" s="1"/>
  <c r="J151" i="21" s="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C151" i="21"/>
  <c r="H150" i="21"/>
  <c r="I150" i="21" s="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AA150" i="21" s="1"/>
  <c r="AB150" i="21" s="1"/>
  <c r="AC150" i="21" s="1"/>
  <c r="AD150" i="21" s="1"/>
  <c r="AE150" i="21" s="1"/>
  <c r="AF150" i="21" s="1"/>
  <c r="C150" i="21"/>
  <c r="D150" i="21" s="1"/>
  <c r="E150" i="21" s="1"/>
  <c r="F150" i="21" s="1"/>
  <c r="G150" i="21" s="1"/>
  <c r="F149" i="21"/>
  <c r="G149" i="21" s="1"/>
  <c r="H149" i="21" s="1"/>
  <c r="I149" i="21" s="1"/>
  <c r="J149" i="21" s="1"/>
  <c r="K149" i="21" s="1"/>
  <c r="L149" i="21" s="1"/>
  <c r="M149" i="21" s="1"/>
  <c r="N149" i="21" s="1"/>
  <c r="O149" i="21" s="1"/>
  <c r="P149" i="21" s="1"/>
  <c r="Q149" i="21" s="1"/>
  <c r="R149" i="21" s="1"/>
  <c r="S149" i="21" s="1"/>
  <c r="T149" i="21" s="1"/>
  <c r="U149" i="21" s="1"/>
  <c r="V149" i="21" s="1"/>
  <c r="W149" i="21" s="1"/>
  <c r="X149" i="21" s="1"/>
  <c r="Y149" i="21" s="1"/>
  <c r="Z149" i="21" s="1"/>
  <c r="AA149" i="21" s="1"/>
  <c r="AB149" i="21" s="1"/>
  <c r="AC149" i="21" s="1"/>
  <c r="AD149" i="21" s="1"/>
  <c r="AE149" i="21" s="1"/>
  <c r="AF149" i="21" s="1"/>
  <c r="E149" i="21"/>
  <c r="D149" i="21"/>
  <c r="C149" i="21"/>
  <c r="C148" i="21"/>
  <c r="D148" i="21" s="1"/>
  <c r="E148" i="21" s="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E147" i="21"/>
  <c r="F147" i="21" s="1"/>
  <c r="G147" i="21" s="1"/>
  <c r="H147" i="21" s="1"/>
  <c r="I147" i="21" s="1"/>
  <c r="J147" i="21" s="1"/>
  <c r="K147" i="21" s="1"/>
  <c r="L147" i="21" s="1"/>
  <c r="M147" i="21" s="1"/>
  <c r="N147" i="21" s="1"/>
  <c r="O147" i="21" s="1"/>
  <c r="P147" i="21" s="1"/>
  <c r="Q147" i="21" s="1"/>
  <c r="R147" i="21" s="1"/>
  <c r="S147" i="21" s="1"/>
  <c r="T147" i="21" s="1"/>
  <c r="U147" i="21" s="1"/>
  <c r="V147" i="21" s="1"/>
  <c r="W147" i="21" s="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D147" i="21"/>
  <c r="C147" i="21"/>
  <c r="E146" i="21"/>
  <c r="F146" i="21" s="1"/>
  <c r="G146" i="21" s="1"/>
  <c r="H146" i="21" s="1"/>
  <c r="I146" i="21" s="1"/>
  <c r="J146" i="21" s="1"/>
  <c r="K146" i="21" s="1"/>
  <c r="L146" i="21" s="1"/>
  <c r="M146" i="21" s="1"/>
  <c r="N146" i="21" s="1"/>
  <c r="O146" i="21" s="1"/>
  <c r="P146" i="21" s="1"/>
  <c r="Q146" i="21" s="1"/>
  <c r="R146" i="21" s="1"/>
  <c r="S146" i="21" s="1"/>
  <c r="T146" i="21" s="1"/>
  <c r="U146" i="21" s="1"/>
  <c r="V146" i="21" s="1"/>
  <c r="W146" i="21" s="1"/>
  <c r="X146" i="21" s="1"/>
  <c r="Y146" i="21" s="1"/>
  <c r="Z146" i="21" s="1"/>
  <c r="AA146" i="21" s="1"/>
  <c r="AB146" i="21" s="1"/>
  <c r="AC146" i="21" s="1"/>
  <c r="AD146" i="21" s="1"/>
  <c r="AE146" i="21" s="1"/>
  <c r="AF146" i="21" s="1"/>
  <c r="D146" i="21"/>
  <c r="C146" i="21"/>
  <c r="K145" i="21"/>
  <c r="L145" i="21" s="1"/>
  <c r="M145" i="21" s="1"/>
  <c r="N145" i="21" s="1"/>
  <c r="O145" i="21" s="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G145" i="21"/>
  <c r="H145" i="21" s="1"/>
  <c r="I145" i="21" s="1"/>
  <c r="J145" i="21" s="1"/>
  <c r="C145" i="21"/>
  <c r="D145" i="21" s="1"/>
  <c r="E145" i="21" s="1"/>
  <c r="F145" i="21" s="1"/>
  <c r="I144" i="2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E144" i="21"/>
  <c r="F144" i="21" s="1"/>
  <c r="G144" i="21" s="1"/>
  <c r="H144" i="21" s="1"/>
  <c r="C144" i="21"/>
  <c r="D144" i="21" s="1"/>
  <c r="K143" i="2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G143" i="21"/>
  <c r="H143" i="21" s="1"/>
  <c r="I143" i="21" s="1"/>
  <c r="J143" i="21" s="1"/>
  <c r="C143" i="21"/>
  <c r="D143" i="21" s="1"/>
  <c r="E143" i="21" s="1"/>
  <c r="F143" i="21" s="1"/>
  <c r="I142" i="2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E142" i="21"/>
  <c r="F142" i="21" s="1"/>
  <c r="G142" i="21" s="1"/>
  <c r="H142" i="21" s="1"/>
  <c r="D142" i="21"/>
  <c r="C142" i="21"/>
  <c r="O141" i="2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K141" i="21"/>
  <c r="L141" i="21" s="1"/>
  <c r="M141" i="21" s="1"/>
  <c r="N141" i="21" s="1"/>
  <c r="G141" i="21"/>
  <c r="H141" i="21" s="1"/>
  <c r="I141" i="21" s="1"/>
  <c r="J141" i="21" s="1"/>
  <c r="C141" i="21"/>
  <c r="D141" i="21" s="1"/>
  <c r="E141" i="21" s="1"/>
  <c r="F141" i="21" s="1"/>
  <c r="M140" i="2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I140" i="21"/>
  <c r="J140" i="21" s="1"/>
  <c r="K140" i="21" s="1"/>
  <c r="L140" i="21" s="1"/>
  <c r="E140" i="21"/>
  <c r="F140" i="21" s="1"/>
  <c r="G140" i="21" s="1"/>
  <c r="H140" i="21" s="1"/>
  <c r="D140" i="21"/>
  <c r="C140" i="21"/>
  <c r="C139" i="21"/>
  <c r="D139" i="21" s="1"/>
  <c r="E139" i="21" s="1"/>
  <c r="F139" i="21" s="1"/>
  <c r="G139" i="21" s="1"/>
  <c r="H139" i="21" s="1"/>
  <c r="I139" i="21" s="1"/>
  <c r="J139" i="21" s="1"/>
  <c r="K139" i="21" s="1"/>
  <c r="L139" i="21" s="1"/>
  <c r="M139" i="21" s="1"/>
  <c r="N139" i="21" s="1"/>
  <c r="O139" i="21" s="1"/>
  <c r="P139" i="21" s="1"/>
  <c r="Q139" i="21" s="1"/>
  <c r="R139" i="21" s="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J138" i="21"/>
  <c r="K138" i="21" s="1"/>
  <c r="L138" i="21" s="1"/>
  <c r="M138" i="21" s="1"/>
  <c r="N138" i="21" s="1"/>
  <c r="O138" i="21" s="1"/>
  <c r="P138" i="21" s="1"/>
  <c r="Q138" i="21" s="1"/>
  <c r="R138" i="21" s="1"/>
  <c r="S138" i="21" s="1"/>
  <c r="T138" i="21" s="1"/>
  <c r="U138" i="21" s="1"/>
  <c r="V138" i="21" s="1"/>
  <c r="W138" i="21" s="1"/>
  <c r="X138" i="21" s="1"/>
  <c r="Y138" i="21" s="1"/>
  <c r="Z138" i="21" s="1"/>
  <c r="AA138" i="21" s="1"/>
  <c r="AB138" i="21" s="1"/>
  <c r="AC138" i="21" s="1"/>
  <c r="AD138" i="21" s="1"/>
  <c r="AE138" i="21" s="1"/>
  <c r="AF138" i="21" s="1"/>
  <c r="I138" i="21"/>
  <c r="E138" i="21"/>
  <c r="F138" i="21" s="1"/>
  <c r="G138" i="21" s="1"/>
  <c r="H138" i="21" s="1"/>
  <c r="D138" i="21"/>
  <c r="C138" i="21"/>
  <c r="C137" i="21"/>
  <c r="D137" i="21" s="1"/>
  <c r="E137" i="21" s="1"/>
  <c r="F137" i="21" s="1"/>
  <c r="G137" i="21" s="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F136" i="21"/>
  <c r="G136" i="21" s="1"/>
  <c r="H136" i="21" s="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E136" i="21"/>
  <c r="D136" i="21"/>
  <c r="C136" i="21"/>
  <c r="F135" i="2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D135" i="21"/>
  <c r="E135" i="21" s="1"/>
  <c r="C135" i="21"/>
  <c r="M134" i="2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D134" i="21"/>
  <c r="E134" i="21" s="1"/>
  <c r="F134" i="21" s="1"/>
  <c r="G134" i="21" s="1"/>
  <c r="H134" i="21" s="1"/>
  <c r="I134" i="21" s="1"/>
  <c r="J134" i="21" s="1"/>
  <c r="K134" i="21" s="1"/>
  <c r="L134" i="21" s="1"/>
  <c r="C134" i="21"/>
  <c r="G133" i="2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C133" i="21"/>
  <c r="D133" i="21" s="1"/>
  <c r="E133" i="21" s="1"/>
  <c r="F133" i="21" s="1"/>
  <c r="C132" i="21"/>
  <c r="D132" i="21" s="1"/>
  <c r="E132" i="21" s="1"/>
  <c r="F132" i="21" s="1"/>
  <c r="G132" i="21" s="1"/>
  <c r="H132" i="21" s="1"/>
  <c r="I132" i="21" s="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I131" i="2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E131" i="21"/>
  <c r="F131" i="21" s="1"/>
  <c r="G131" i="21" s="1"/>
  <c r="H131" i="21" s="1"/>
  <c r="D131" i="21"/>
  <c r="C131" i="21"/>
  <c r="G130" i="2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C130" i="21"/>
  <c r="D130" i="21" s="1"/>
  <c r="E130" i="21" s="1"/>
  <c r="F130" i="21" s="1"/>
  <c r="E129" i="21"/>
  <c r="F129" i="21" s="1"/>
  <c r="G129" i="21" s="1"/>
  <c r="H129" i="21" s="1"/>
  <c r="I129" i="21" s="1"/>
  <c r="J129" i="21" s="1"/>
  <c r="K129" i="21" s="1"/>
  <c r="L129" i="21" s="1"/>
  <c r="M129" i="21" s="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D129" i="21"/>
  <c r="C129" i="21"/>
  <c r="K128" i="2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G128" i="21"/>
  <c r="H128" i="21" s="1"/>
  <c r="I128" i="21" s="1"/>
  <c r="J128" i="21" s="1"/>
  <c r="C128" i="21"/>
  <c r="D128" i="21" s="1"/>
  <c r="E128" i="21" s="1"/>
  <c r="F128" i="21" s="1"/>
  <c r="I127" i="2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E127" i="21"/>
  <c r="F127" i="21" s="1"/>
  <c r="G127" i="21" s="1"/>
  <c r="H127" i="21" s="1"/>
  <c r="D127" i="21"/>
  <c r="C127" i="21"/>
  <c r="O126" i="2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C126" i="21"/>
  <c r="D126" i="21" s="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E125" i="21"/>
  <c r="F125" i="21" s="1"/>
  <c r="G125" i="21" s="1"/>
  <c r="H125" i="21" s="1"/>
  <c r="I125" i="21" s="1"/>
  <c r="J125" i="21" s="1"/>
  <c r="K125" i="21" s="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D125" i="21"/>
  <c r="C125" i="21"/>
  <c r="D124" i="21"/>
  <c r="E124" i="21" s="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C124" i="21"/>
  <c r="E123" i="2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D123" i="21"/>
  <c r="C123" i="21"/>
  <c r="G122" i="2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C122" i="21"/>
  <c r="D122" i="21" s="1"/>
  <c r="E122" i="21" s="1"/>
  <c r="F122" i="21" s="1"/>
  <c r="N121" i="2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D121" i="21"/>
  <c r="E121" i="21" s="1"/>
  <c r="F121" i="21" s="1"/>
  <c r="G121" i="21" s="1"/>
  <c r="H121" i="21" s="1"/>
  <c r="I121" i="21" s="1"/>
  <c r="J121" i="21" s="1"/>
  <c r="K121" i="21" s="1"/>
  <c r="L121" i="21" s="1"/>
  <c r="M121" i="21" s="1"/>
  <c r="C121" i="21"/>
  <c r="O120" i="2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C120" i="21"/>
  <c r="D120" i="21" s="1"/>
  <c r="E120" i="21" s="1"/>
  <c r="F120" i="21" s="1"/>
  <c r="G120" i="21" s="1"/>
  <c r="H120" i="21" s="1"/>
  <c r="I120" i="21" s="1"/>
  <c r="J120" i="21" s="1"/>
  <c r="K120" i="21" s="1"/>
  <c r="L120" i="21" s="1"/>
  <c r="M120" i="21" s="1"/>
  <c r="N120" i="21" s="1"/>
  <c r="E119" i="21"/>
  <c r="F119" i="21" s="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D119" i="21"/>
  <c r="C119" i="21"/>
  <c r="O118" i="2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C118" i="21"/>
  <c r="D118" i="21" s="1"/>
  <c r="E118" i="21" s="1"/>
  <c r="F118" i="21" s="1"/>
  <c r="G118" i="21" s="1"/>
  <c r="H118" i="21" s="1"/>
  <c r="I118" i="21" s="1"/>
  <c r="J118" i="21" s="1"/>
  <c r="K118" i="21" s="1"/>
  <c r="L118" i="21" s="1"/>
  <c r="M118" i="21" s="1"/>
  <c r="N118" i="21" s="1"/>
  <c r="E117" i="21"/>
  <c r="F117" i="21" s="1"/>
  <c r="G117" i="21" s="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D117" i="21"/>
  <c r="C117" i="21"/>
  <c r="L116" i="2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C116" i="21"/>
  <c r="D116" i="21" s="1"/>
  <c r="E116" i="21" s="1"/>
  <c r="F116" i="21" s="1"/>
  <c r="G116" i="21" s="1"/>
  <c r="H116" i="21" s="1"/>
  <c r="I116" i="21" s="1"/>
  <c r="J116" i="21" s="1"/>
  <c r="K116" i="21" s="1"/>
  <c r="D115" i="21"/>
  <c r="E115" i="21" s="1"/>
  <c r="F115" i="21" s="1"/>
  <c r="G115" i="21" s="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C115" i="21"/>
  <c r="C114" i="21"/>
  <c r="D114" i="21" s="1"/>
  <c r="E114" i="21" s="1"/>
  <c r="F114" i="21" s="1"/>
  <c r="G114" i="21" s="1"/>
  <c r="H114" i="21" s="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D113" i="21"/>
  <c r="E113" i="21" s="1"/>
  <c r="F113" i="21" s="1"/>
  <c r="G113" i="21" s="1"/>
  <c r="H113" i="21" s="1"/>
  <c r="I113" i="21" s="1"/>
  <c r="J113" i="21" s="1"/>
  <c r="K113" i="21" s="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C113" i="21"/>
  <c r="G112" i="2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C112" i="21"/>
  <c r="D112" i="21" s="1"/>
  <c r="E112" i="21" s="1"/>
  <c r="F112" i="21" s="1"/>
  <c r="E111" i="21"/>
  <c r="F111" i="21" s="1"/>
  <c r="G111" i="21" s="1"/>
  <c r="H111" i="21" s="1"/>
  <c r="I111" i="21" s="1"/>
  <c r="J111" i="21" s="1"/>
  <c r="K111" i="21" s="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D111" i="21"/>
  <c r="C111" i="21"/>
  <c r="K110" i="21"/>
  <c r="L110" i="21" s="1"/>
  <c r="M110" i="21" s="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F110" i="21"/>
  <c r="G110" i="21" s="1"/>
  <c r="H110" i="21" s="1"/>
  <c r="I110" i="21" s="1"/>
  <c r="J110" i="21" s="1"/>
  <c r="C110" i="21"/>
  <c r="D110" i="21" s="1"/>
  <c r="E110" i="21" s="1"/>
  <c r="D109" i="21"/>
  <c r="E109" i="21" s="1"/>
  <c r="F109" i="21" s="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C109" i="21"/>
  <c r="L108" i="21"/>
  <c r="M108" i="21" s="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G108" i="21"/>
  <c r="H108" i="21" s="1"/>
  <c r="I108" i="21" s="1"/>
  <c r="J108" i="21" s="1"/>
  <c r="K108" i="21" s="1"/>
  <c r="C108" i="21"/>
  <c r="D108" i="21" s="1"/>
  <c r="E108" i="21" s="1"/>
  <c r="F108" i="21" s="1"/>
  <c r="E107" i="21"/>
  <c r="F107" i="21" s="1"/>
  <c r="G107" i="21" s="1"/>
  <c r="H107" i="21" s="1"/>
  <c r="I107" i="21" s="1"/>
  <c r="J107" i="21" s="1"/>
  <c r="K107" i="21" s="1"/>
  <c r="L107" i="21" s="1"/>
  <c r="M107" i="21" s="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D107" i="21"/>
  <c r="C107" i="21"/>
  <c r="E106" i="2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C106" i="21"/>
  <c r="D106" i="21" s="1"/>
  <c r="C105" i="21"/>
  <c r="D105" i="21" s="1"/>
  <c r="E105" i="21" s="1"/>
  <c r="F105" i="21" s="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D104" i="2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C104" i="21"/>
  <c r="C103" i="21"/>
  <c r="D103" i="21" s="1"/>
  <c r="E103" i="21" s="1"/>
  <c r="F103" i="21" s="1"/>
  <c r="G103" i="21" s="1"/>
  <c r="H103" i="21" s="1"/>
  <c r="I103" i="21" s="1"/>
  <c r="J103" i="21" s="1"/>
  <c r="K103" i="21" s="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F102" i="21"/>
  <c r="G102" i="21" s="1"/>
  <c r="H102" i="21" s="1"/>
  <c r="I102" i="21" s="1"/>
  <c r="J102" i="21" s="1"/>
  <c r="K102" i="21" s="1"/>
  <c r="L102" i="21" s="1"/>
  <c r="M102" i="21" s="1"/>
  <c r="N102" i="21" s="1"/>
  <c r="O102" i="21" s="1"/>
  <c r="P102" i="21" s="1"/>
  <c r="Q102" i="21" s="1"/>
  <c r="R102" i="21" s="1"/>
  <c r="S102" i="21" s="1"/>
  <c r="T102" i="21" s="1"/>
  <c r="U102" i="21" s="1"/>
  <c r="V102" i="21" s="1"/>
  <c r="W102" i="21" s="1"/>
  <c r="X102" i="21" s="1"/>
  <c r="Y102" i="21" s="1"/>
  <c r="Z102" i="21" s="1"/>
  <c r="AA102" i="21" s="1"/>
  <c r="AB102" i="21" s="1"/>
  <c r="AC102" i="21" s="1"/>
  <c r="AD102" i="21" s="1"/>
  <c r="AE102" i="21" s="1"/>
  <c r="AF102" i="21" s="1"/>
  <c r="C102" i="21"/>
  <c r="D102" i="21" s="1"/>
  <c r="E102" i="21" s="1"/>
  <c r="E101" i="21"/>
  <c r="F101" i="21" s="1"/>
  <c r="G101" i="21" s="1"/>
  <c r="H101" i="21" s="1"/>
  <c r="I101" i="21" s="1"/>
  <c r="J101" i="21" s="1"/>
  <c r="K101" i="21" s="1"/>
  <c r="L101" i="21" s="1"/>
  <c r="M101" i="21" s="1"/>
  <c r="N101" i="21" s="1"/>
  <c r="O101" i="21" s="1"/>
  <c r="P101" i="21" s="1"/>
  <c r="Q101" i="21" s="1"/>
  <c r="R101" i="21" s="1"/>
  <c r="S101" i="21" s="1"/>
  <c r="T101" i="21" s="1"/>
  <c r="U101" i="21" s="1"/>
  <c r="V101" i="21" s="1"/>
  <c r="W101" i="21" s="1"/>
  <c r="X101" i="21" s="1"/>
  <c r="Y101" i="21" s="1"/>
  <c r="Z101" i="21" s="1"/>
  <c r="AA101" i="21" s="1"/>
  <c r="AB101" i="21" s="1"/>
  <c r="AC101" i="21" s="1"/>
  <c r="AD101" i="21" s="1"/>
  <c r="AE101" i="21" s="1"/>
  <c r="AF101" i="21" s="1"/>
  <c r="D101" i="21"/>
  <c r="C101" i="21"/>
  <c r="D100" i="21"/>
  <c r="E100" i="21" s="1"/>
  <c r="F100" i="21" s="1"/>
  <c r="G100" i="21" s="1"/>
  <c r="H100" i="21" s="1"/>
  <c r="I100" i="21" s="1"/>
  <c r="J100" i="21" s="1"/>
  <c r="K100" i="21" s="1"/>
  <c r="L100" i="21" s="1"/>
  <c r="M100" i="21" s="1"/>
  <c r="N100" i="21" s="1"/>
  <c r="O100" i="21" s="1"/>
  <c r="P100" i="21" s="1"/>
  <c r="Q100" i="21" s="1"/>
  <c r="R100" i="21" s="1"/>
  <c r="S100" i="21" s="1"/>
  <c r="T100" i="21" s="1"/>
  <c r="U100" i="21" s="1"/>
  <c r="V100" i="21" s="1"/>
  <c r="W100" i="21" s="1"/>
  <c r="X100" i="21" s="1"/>
  <c r="Y100" i="21" s="1"/>
  <c r="Z100" i="21" s="1"/>
  <c r="AA100" i="21" s="1"/>
  <c r="AB100" i="21" s="1"/>
  <c r="AC100" i="21" s="1"/>
  <c r="AD100" i="21" s="1"/>
  <c r="AE100" i="21" s="1"/>
  <c r="AF100" i="21" s="1"/>
  <c r="C100" i="21"/>
  <c r="J99" i="21"/>
  <c r="K99" i="21" s="1"/>
  <c r="L99" i="21" s="1"/>
  <c r="M99" i="21" s="1"/>
  <c r="N99" i="21" s="1"/>
  <c r="O99" i="21" s="1"/>
  <c r="P99" i="21" s="1"/>
  <c r="Q99" i="21" s="1"/>
  <c r="R99" i="21" s="1"/>
  <c r="S99" i="21" s="1"/>
  <c r="T99" i="21" s="1"/>
  <c r="U99" i="21" s="1"/>
  <c r="V99" i="21" s="1"/>
  <c r="W99" i="21" s="1"/>
  <c r="X99" i="21" s="1"/>
  <c r="Y99" i="21" s="1"/>
  <c r="Z99" i="21" s="1"/>
  <c r="AA99" i="21" s="1"/>
  <c r="AB99" i="21" s="1"/>
  <c r="AC99" i="21" s="1"/>
  <c r="AD99" i="21" s="1"/>
  <c r="AE99" i="21" s="1"/>
  <c r="AF99" i="21" s="1"/>
  <c r="C99" i="21"/>
  <c r="D99" i="21" s="1"/>
  <c r="E99" i="21" s="1"/>
  <c r="F99" i="21" s="1"/>
  <c r="G99" i="21" s="1"/>
  <c r="H99" i="21" s="1"/>
  <c r="E98" i="21"/>
  <c r="F98" i="21" s="1"/>
  <c r="G98" i="21" s="1"/>
  <c r="H98" i="21" s="1"/>
  <c r="I98" i="21" s="1"/>
  <c r="J98" i="21" s="1"/>
  <c r="K98" i="21" s="1"/>
  <c r="L98" i="21" s="1"/>
  <c r="M98" i="21" s="1"/>
  <c r="N98" i="21" s="1"/>
  <c r="O98" i="21" s="1"/>
  <c r="P98" i="21" s="1"/>
  <c r="Q98" i="21" s="1"/>
  <c r="R98" i="21" s="1"/>
  <c r="S98" i="21" s="1"/>
  <c r="T98" i="21" s="1"/>
  <c r="U98" i="21" s="1"/>
  <c r="V98" i="21" s="1"/>
  <c r="W98" i="21" s="1"/>
  <c r="X98" i="21" s="1"/>
  <c r="Y98" i="21" s="1"/>
  <c r="Z98" i="21" s="1"/>
  <c r="AA98" i="21" s="1"/>
  <c r="AB98" i="21" s="1"/>
  <c r="AC98" i="21" s="1"/>
  <c r="AD98" i="21" s="1"/>
  <c r="AE98" i="21" s="1"/>
  <c r="AF98" i="21" s="1"/>
  <c r="D98" i="21"/>
  <c r="C98" i="21"/>
  <c r="F97" i="21"/>
  <c r="G97" i="21" s="1"/>
  <c r="H97" i="21" s="1"/>
  <c r="I97" i="21" s="1"/>
  <c r="J97" i="21" s="1"/>
  <c r="K97" i="21" s="1"/>
  <c r="L97" i="21" s="1"/>
  <c r="M97" i="21" s="1"/>
  <c r="N97" i="21" s="1"/>
  <c r="O97" i="21" s="1"/>
  <c r="P97" i="21" s="1"/>
  <c r="Q97" i="21" s="1"/>
  <c r="R97" i="21" s="1"/>
  <c r="S97" i="21" s="1"/>
  <c r="T97" i="21" s="1"/>
  <c r="U97" i="21" s="1"/>
  <c r="V97" i="21" s="1"/>
  <c r="W97" i="21" s="1"/>
  <c r="X97" i="21" s="1"/>
  <c r="Y97" i="21" s="1"/>
  <c r="Z97" i="21" s="1"/>
  <c r="AA97" i="21" s="1"/>
  <c r="AB97" i="21" s="1"/>
  <c r="AC97" i="21" s="1"/>
  <c r="AD97" i="21" s="1"/>
  <c r="AE97" i="21" s="1"/>
  <c r="AF97" i="21" s="1"/>
  <c r="E97" i="21"/>
  <c r="D97" i="21"/>
  <c r="C97" i="21"/>
  <c r="D96" i="21"/>
  <c r="E96" i="21" s="1"/>
  <c r="F96" i="21" s="1"/>
  <c r="G96" i="21" s="1"/>
  <c r="H96" i="21" s="1"/>
  <c r="I96" i="21" s="1"/>
  <c r="J96" i="21" s="1"/>
  <c r="K96" i="21" s="1"/>
  <c r="L96" i="21" s="1"/>
  <c r="M96" i="21" s="1"/>
  <c r="N96" i="21" s="1"/>
  <c r="O96" i="21" s="1"/>
  <c r="P96" i="21" s="1"/>
  <c r="Q96" i="21" s="1"/>
  <c r="R96" i="21" s="1"/>
  <c r="S96" i="21" s="1"/>
  <c r="T96" i="21" s="1"/>
  <c r="U96" i="21" s="1"/>
  <c r="V96" i="21" s="1"/>
  <c r="W96" i="21" s="1"/>
  <c r="X96" i="21" s="1"/>
  <c r="Y96" i="21" s="1"/>
  <c r="Z96" i="21" s="1"/>
  <c r="AA96" i="21" s="1"/>
  <c r="AB96" i="21" s="1"/>
  <c r="AC96" i="21" s="1"/>
  <c r="AD96" i="21" s="1"/>
  <c r="AE96" i="21" s="1"/>
  <c r="AF96" i="21" s="1"/>
  <c r="C96" i="21"/>
  <c r="C95" i="21"/>
  <c r="D95" i="21" s="1"/>
  <c r="E95" i="21" s="1"/>
  <c r="F95" i="21" s="1"/>
  <c r="G95" i="21" s="1"/>
  <c r="H95" i="21" s="1"/>
  <c r="I95" i="21" s="1"/>
  <c r="J95" i="21" s="1"/>
  <c r="K95" i="21" s="1"/>
  <c r="L95" i="21" s="1"/>
  <c r="M95" i="21" s="1"/>
  <c r="N95" i="21" s="1"/>
  <c r="O95" i="21" s="1"/>
  <c r="P95" i="21" s="1"/>
  <c r="Q95" i="21" s="1"/>
  <c r="R95" i="21" s="1"/>
  <c r="S95" i="21" s="1"/>
  <c r="T95" i="21" s="1"/>
  <c r="U95" i="21" s="1"/>
  <c r="V95" i="21" s="1"/>
  <c r="W95" i="21" s="1"/>
  <c r="X95" i="21" s="1"/>
  <c r="Y95" i="21" s="1"/>
  <c r="Z95" i="21" s="1"/>
  <c r="AA95" i="21" s="1"/>
  <c r="AB95" i="21" s="1"/>
  <c r="AC95" i="21" s="1"/>
  <c r="AD95" i="21" s="1"/>
  <c r="AE95" i="21" s="1"/>
  <c r="AF95" i="21" s="1"/>
  <c r="G94" i="21"/>
  <c r="F94" i="21"/>
  <c r="E94" i="21"/>
  <c r="D94" i="21"/>
  <c r="C94" i="21"/>
  <c r="C93" i="21"/>
  <c r="D93" i="21" s="1"/>
  <c r="E93" i="21" s="1"/>
  <c r="F93" i="21" s="1"/>
  <c r="G93" i="21" s="1"/>
  <c r="H93" i="21" s="1"/>
  <c r="I93" i="21" s="1"/>
  <c r="J93" i="21" s="1"/>
  <c r="K93" i="21" s="1"/>
  <c r="L93" i="21" s="1"/>
  <c r="M93" i="21" s="1"/>
  <c r="N93" i="21" s="1"/>
  <c r="O93" i="21" s="1"/>
  <c r="P93" i="21" s="1"/>
  <c r="Q93" i="21" s="1"/>
  <c r="R93" i="21" s="1"/>
  <c r="S93" i="21" s="1"/>
  <c r="T93" i="21" s="1"/>
  <c r="U93" i="21" s="1"/>
  <c r="V93" i="21" s="1"/>
  <c r="W93" i="21" s="1"/>
  <c r="X93" i="21" s="1"/>
  <c r="Y93" i="21" s="1"/>
  <c r="Z93" i="21" s="1"/>
  <c r="AA93" i="21" s="1"/>
  <c r="AB93" i="21" s="1"/>
  <c r="AC93" i="21" s="1"/>
  <c r="AD93" i="21" s="1"/>
  <c r="AE93" i="21" s="1"/>
  <c r="AF93" i="21" s="1"/>
  <c r="H92" i="21"/>
  <c r="I92" i="21" s="1"/>
  <c r="J92" i="21" s="1"/>
  <c r="K92" i="21" s="1"/>
  <c r="L92" i="21" s="1"/>
  <c r="M92" i="21" s="1"/>
  <c r="N92" i="21" s="1"/>
  <c r="O92" i="21" s="1"/>
  <c r="P92" i="21" s="1"/>
  <c r="Q92" i="21" s="1"/>
  <c r="R92" i="21" s="1"/>
  <c r="S92" i="21" s="1"/>
  <c r="T92" i="21" s="1"/>
  <c r="U92" i="21" s="1"/>
  <c r="V92" i="21" s="1"/>
  <c r="W92" i="21" s="1"/>
  <c r="X92" i="21" s="1"/>
  <c r="Y92" i="21" s="1"/>
  <c r="Z92" i="21" s="1"/>
  <c r="AA92" i="21" s="1"/>
  <c r="AB92" i="21" s="1"/>
  <c r="AC92" i="21" s="1"/>
  <c r="AD92" i="21" s="1"/>
  <c r="AE92" i="21" s="1"/>
  <c r="AF92" i="21" s="1"/>
  <c r="E92" i="21"/>
  <c r="F92" i="21" s="1"/>
  <c r="G92" i="21" s="1"/>
  <c r="D92" i="21"/>
  <c r="C92" i="21"/>
  <c r="F91" i="21"/>
  <c r="G91" i="21" s="1"/>
  <c r="H91" i="21" s="1"/>
  <c r="I91" i="21" s="1"/>
  <c r="J91" i="21" s="1"/>
  <c r="K91" i="21" s="1"/>
  <c r="L91" i="21" s="1"/>
  <c r="M91" i="21" s="1"/>
  <c r="N91" i="21" s="1"/>
  <c r="O91" i="21" s="1"/>
  <c r="P91" i="21" s="1"/>
  <c r="Q91" i="21" s="1"/>
  <c r="R91" i="21" s="1"/>
  <c r="S91" i="21" s="1"/>
  <c r="T91" i="21" s="1"/>
  <c r="U91" i="21" s="1"/>
  <c r="V91" i="21" s="1"/>
  <c r="W91" i="21" s="1"/>
  <c r="X91" i="21" s="1"/>
  <c r="Y91" i="21" s="1"/>
  <c r="Z91" i="21" s="1"/>
  <c r="AA91" i="21" s="1"/>
  <c r="AB91" i="21" s="1"/>
  <c r="AC91" i="21" s="1"/>
  <c r="AD91" i="21" s="1"/>
  <c r="AE91" i="21" s="1"/>
  <c r="AF91" i="21" s="1"/>
  <c r="C91" i="21"/>
  <c r="D91" i="21" s="1"/>
  <c r="E91" i="21" s="1"/>
  <c r="D90" i="21"/>
  <c r="E90" i="21" s="1"/>
  <c r="F90" i="21" s="1"/>
  <c r="G90" i="21" s="1"/>
  <c r="H90" i="21" s="1"/>
  <c r="I90" i="21" s="1"/>
  <c r="J90" i="21" s="1"/>
  <c r="K90" i="21" s="1"/>
  <c r="L90" i="21" s="1"/>
  <c r="M90" i="21" s="1"/>
  <c r="N90" i="21" s="1"/>
  <c r="O90" i="21" s="1"/>
  <c r="P90" i="21" s="1"/>
  <c r="Q90" i="21" s="1"/>
  <c r="R90" i="21" s="1"/>
  <c r="S90" i="21" s="1"/>
  <c r="T90" i="21" s="1"/>
  <c r="U90" i="21" s="1"/>
  <c r="V90" i="21" s="1"/>
  <c r="W90" i="21" s="1"/>
  <c r="X90" i="21" s="1"/>
  <c r="Y90" i="21" s="1"/>
  <c r="Z90" i="21" s="1"/>
  <c r="AA90" i="21" s="1"/>
  <c r="AB90" i="21" s="1"/>
  <c r="AC90" i="21" s="1"/>
  <c r="AD90" i="21" s="1"/>
  <c r="AE90" i="21" s="1"/>
  <c r="AF90" i="21" s="1"/>
  <c r="C90" i="21"/>
  <c r="C89" i="21"/>
  <c r="C171" i="21" s="1"/>
  <c r="AI86" i="21"/>
  <c r="AH86" i="21"/>
  <c r="AH85" i="21"/>
  <c r="AI85" i="21" s="1"/>
  <c r="AH84" i="21"/>
  <c r="AI84" i="21" s="1"/>
  <c r="AH83" i="21"/>
  <c r="AI83" i="21" s="1"/>
  <c r="F82" i="21"/>
  <c r="E82" i="21"/>
  <c r="D82" i="21"/>
  <c r="C82" i="21"/>
  <c r="B82" i="21"/>
  <c r="AF80" i="21"/>
  <c r="AE80" i="21"/>
  <c r="AD80" i="21"/>
  <c r="AC80" i="21"/>
  <c r="AA80" i="21"/>
  <c r="Z80" i="21"/>
  <c r="Y80" i="21"/>
  <c r="X80" i="21"/>
  <c r="S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I79" i="21"/>
  <c r="AH79" i="21"/>
  <c r="AI78" i="21"/>
  <c r="AH78" i="21"/>
  <c r="AI77" i="21"/>
  <c r="AH77" i="21"/>
  <c r="AI76" i="21"/>
  <c r="AH76" i="21"/>
  <c r="AI75" i="21"/>
  <c r="AH75" i="21"/>
  <c r="AI74" i="21"/>
  <c r="AH74" i="21"/>
  <c r="AI73" i="21"/>
  <c r="AH73" i="21"/>
  <c r="AI72" i="21"/>
  <c r="AH72" i="21"/>
  <c r="AG71" i="21"/>
  <c r="AI70" i="21"/>
  <c r="AH70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F67" i="21"/>
  <c r="AE67" i="21"/>
  <c r="AD67" i="21"/>
  <c r="AC67" i="21"/>
  <c r="Z67" i="21"/>
  <c r="Y67" i="21"/>
  <c r="X67" i="21"/>
  <c r="V67" i="21"/>
  <c r="R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L71" i="21" s="1"/>
  <c r="K66" i="21"/>
  <c r="J66" i="21"/>
  <c r="I66" i="21"/>
  <c r="H66" i="21"/>
  <c r="G66" i="21"/>
  <c r="F66" i="21"/>
  <c r="E66" i="21"/>
  <c r="D66" i="21"/>
  <c r="C66" i="21"/>
  <c r="B66" i="21"/>
  <c r="AI64" i="21"/>
  <c r="AH64" i="21"/>
  <c r="AG63" i="21"/>
  <c r="AG65" i="21" s="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I62" i="21"/>
  <c r="AH62" i="21"/>
  <c r="AI61" i="21"/>
  <c r="AH61" i="21"/>
  <c r="AI60" i="21"/>
  <c r="AH60" i="21"/>
  <c r="AG59" i="21"/>
  <c r="AF59" i="21"/>
  <c r="AE59" i="21"/>
  <c r="AE5" i="21" s="1"/>
  <c r="AD59" i="21"/>
  <c r="AC59" i="21"/>
  <c r="AC5" i="21" s="1"/>
  <c r="AA59" i="21"/>
  <c r="AA5" i="21" s="1"/>
  <c r="Z59" i="21"/>
  <c r="Y59" i="21"/>
  <c r="Y5" i="21" s="1"/>
  <c r="X59" i="21"/>
  <c r="X5" i="21" s="1"/>
  <c r="S59" i="21"/>
  <c r="S5" i="21" s="1"/>
  <c r="Q59" i="21"/>
  <c r="Q5" i="21" s="1"/>
  <c r="P59" i="21"/>
  <c r="N59" i="21"/>
  <c r="N5" i="21" s="1"/>
  <c r="M59" i="21"/>
  <c r="M5" i="21" s="1"/>
  <c r="L59" i="21"/>
  <c r="K59" i="21"/>
  <c r="K5" i="21" s="1"/>
  <c r="J59" i="21"/>
  <c r="J5" i="21" s="1"/>
  <c r="I59" i="21"/>
  <c r="I5" i="21" s="1"/>
  <c r="H59" i="21"/>
  <c r="H5" i="21" s="1"/>
  <c r="G59" i="21"/>
  <c r="G5" i="21" s="1"/>
  <c r="F59" i="21"/>
  <c r="F5" i="21" s="1"/>
  <c r="E59" i="21"/>
  <c r="E5" i="21" s="1"/>
  <c r="D59" i="21"/>
  <c r="D5" i="21" s="1"/>
  <c r="C59" i="21"/>
  <c r="C5" i="21" s="1"/>
  <c r="B59" i="21"/>
  <c r="B5" i="21" s="1"/>
  <c r="AI58" i="21"/>
  <c r="AH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B59" i="21"/>
  <c r="AA67" i="21"/>
  <c r="W59" i="21"/>
  <c r="V59" i="21"/>
  <c r="V5" i="21" s="1"/>
  <c r="U59" i="21"/>
  <c r="T59" i="21"/>
  <c r="S67" i="21"/>
  <c r="R80" i="21"/>
  <c r="Q67" i="21"/>
  <c r="P67" i="21"/>
  <c r="O59" i="21"/>
  <c r="AI48" i="21"/>
  <c r="AH48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I46" i="21"/>
  <c r="AH46" i="21"/>
  <c r="AI45" i="21"/>
  <c r="AH45" i="21"/>
  <c r="AI44" i="21"/>
  <c r="AH44" i="21"/>
  <c r="Z43" i="21"/>
  <c r="AG42" i="21"/>
  <c r="AG43" i="21" s="1"/>
  <c r="AG3" i="21" s="1"/>
  <c r="B42" i="21"/>
  <c r="B43" i="21" s="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F5" i="21"/>
  <c r="AD5" i="21"/>
  <c r="Z5" i="21"/>
  <c r="P5" i="21"/>
  <c r="L5" i="21"/>
  <c r="AG4" i="21"/>
  <c r="K4" i="21"/>
  <c r="C4" i="21"/>
  <c r="S190" i="21" s="1"/>
  <c r="AG2" i="21"/>
  <c r="AG6" i="21" s="1"/>
  <c r="AB49" i="20"/>
  <c r="AA49" i="20"/>
  <c r="Y84" i="20"/>
  <c r="W49" i="20"/>
  <c r="V49" i="20"/>
  <c r="U49" i="20"/>
  <c r="T49" i="20"/>
  <c r="S49" i="20"/>
  <c r="R49" i="20"/>
  <c r="AF71" i="23"/>
  <c r="AD71" i="23"/>
  <c r="AB71" i="23"/>
  <c r="X71" i="23"/>
  <c r="V71" i="23"/>
  <c r="T71" i="23"/>
  <c r="AG6" i="23"/>
  <c r="U71" i="23"/>
  <c r="AC71" i="23"/>
  <c r="W71" i="23"/>
  <c r="AE71" i="23"/>
  <c r="Y71" i="23"/>
  <c r="R71" i="23"/>
  <c r="Z71" i="23"/>
  <c r="K71" i="23"/>
  <c r="S71" i="23"/>
  <c r="AA71" i="23"/>
  <c r="C82" i="23"/>
  <c r="Q71" i="23"/>
  <c r="O71" i="23"/>
  <c r="N71" i="23"/>
  <c r="M71" i="23"/>
  <c r="L71" i="23"/>
  <c r="J71" i="23"/>
  <c r="I71" i="23"/>
  <c r="AI69" i="23"/>
  <c r="G71" i="23"/>
  <c r="AI66" i="23"/>
  <c r="F71" i="23"/>
  <c r="E71" i="23"/>
  <c r="AH69" i="23"/>
  <c r="D71" i="23"/>
  <c r="AH68" i="23"/>
  <c r="AI67" i="23"/>
  <c r="C71" i="23"/>
  <c r="AI80" i="23"/>
  <c r="AH47" i="23"/>
  <c r="B65" i="23"/>
  <c r="T193" i="23" s="1"/>
  <c r="AG65" i="23"/>
  <c r="AI30" i="23"/>
  <c r="F171" i="23"/>
  <c r="G89" i="23"/>
  <c r="H94" i="23"/>
  <c r="G82" i="23"/>
  <c r="AI47" i="23"/>
  <c r="AI59" i="23"/>
  <c r="AI63" i="23"/>
  <c r="D82" i="23"/>
  <c r="AH63" i="23"/>
  <c r="E82" i="23"/>
  <c r="AI68" i="23"/>
  <c r="F82" i="23"/>
  <c r="AH59" i="23"/>
  <c r="E171" i="23"/>
  <c r="B71" i="23"/>
  <c r="AH66" i="23"/>
  <c r="AH80" i="23"/>
  <c r="AH30" i="23"/>
  <c r="AH67" i="23"/>
  <c r="C171" i="23"/>
  <c r="D171" i="23"/>
  <c r="C179" i="23"/>
  <c r="C42" i="23" s="1"/>
  <c r="D173" i="23"/>
  <c r="C214" i="23"/>
  <c r="D178" i="23"/>
  <c r="AE71" i="22"/>
  <c r="E71" i="22"/>
  <c r="E178" i="22"/>
  <c r="U71" i="22"/>
  <c r="AC71" i="22"/>
  <c r="AG65" i="22"/>
  <c r="C82" i="22"/>
  <c r="AD71" i="22"/>
  <c r="P71" i="22"/>
  <c r="AF71" i="22"/>
  <c r="B65" i="22"/>
  <c r="AB71" i="22"/>
  <c r="AA71" i="22"/>
  <c r="Y71" i="22"/>
  <c r="W71" i="22"/>
  <c r="V71" i="22"/>
  <c r="T71" i="22"/>
  <c r="X71" i="22"/>
  <c r="Z71" i="22"/>
  <c r="S71" i="22"/>
  <c r="R71" i="22"/>
  <c r="Q71" i="22"/>
  <c r="O71" i="22"/>
  <c r="N71" i="22"/>
  <c r="M71" i="22"/>
  <c r="L71" i="22"/>
  <c r="AH66" i="22"/>
  <c r="K71" i="22"/>
  <c r="J71" i="22"/>
  <c r="I71" i="22"/>
  <c r="G71" i="22"/>
  <c r="F71" i="22"/>
  <c r="AI67" i="22"/>
  <c r="H71" i="22"/>
  <c r="AI68" i="22"/>
  <c r="AI59" i="22"/>
  <c r="AH69" i="22"/>
  <c r="D71" i="22"/>
  <c r="AH80" i="22"/>
  <c r="AI47" i="22"/>
  <c r="C5" i="22"/>
  <c r="AH68" i="22"/>
  <c r="AI69" i="22"/>
  <c r="C71" i="22"/>
  <c r="AI30" i="22"/>
  <c r="AH30" i="22"/>
  <c r="AG6" i="22"/>
  <c r="G94" i="22"/>
  <c r="AI66" i="22"/>
  <c r="AH67" i="22"/>
  <c r="AI80" i="22"/>
  <c r="D110" i="22"/>
  <c r="AH47" i="22"/>
  <c r="AH59" i="22"/>
  <c r="AH63" i="22"/>
  <c r="AI63" i="22"/>
  <c r="C171" i="22"/>
  <c r="D89" i="22"/>
  <c r="E173" i="22"/>
  <c r="D179" i="22"/>
  <c r="D42" i="22" s="1"/>
  <c r="D43" i="22" s="1"/>
  <c r="D65" i="22" s="1"/>
  <c r="E214" i="22"/>
  <c r="F178" i="22"/>
  <c r="C179" i="22"/>
  <c r="C42" i="22" s="1"/>
  <c r="C214" i="22"/>
  <c r="AF71" i="21"/>
  <c r="AE71" i="21"/>
  <c r="AC71" i="21"/>
  <c r="X71" i="21"/>
  <c r="Q71" i="21"/>
  <c r="M71" i="21"/>
  <c r="AI68" i="21"/>
  <c r="K71" i="21"/>
  <c r="H71" i="21"/>
  <c r="G71" i="21"/>
  <c r="F71" i="21"/>
  <c r="D71" i="21"/>
  <c r="C71" i="21"/>
  <c r="E71" i="21"/>
  <c r="AH47" i="21"/>
  <c r="J71" i="21"/>
  <c r="I71" i="21"/>
  <c r="N71" i="21"/>
  <c r="V71" i="21"/>
  <c r="AD71" i="21"/>
  <c r="Y71" i="21"/>
  <c r="AI69" i="21"/>
  <c r="AI66" i="21"/>
  <c r="R71" i="21"/>
  <c r="Z71" i="21"/>
  <c r="AI47" i="21"/>
  <c r="Z65" i="21"/>
  <c r="AR193" i="21" s="1"/>
  <c r="AI30" i="21"/>
  <c r="B65" i="21"/>
  <c r="B7" i="21" s="1"/>
  <c r="O5" i="21"/>
  <c r="AB5" i="21"/>
  <c r="T71" i="21"/>
  <c r="AB71" i="21"/>
  <c r="P71" i="21"/>
  <c r="T5" i="21"/>
  <c r="W5" i="21"/>
  <c r="U5" i="21"/>
  <c r="S71" i="21"/>
  <c r="AA71" i="21"/>
  <c r="G82" i="21"/>
  <c r="R59" i="21"/>
  <c r="R5" i="21" s="1"/>
  <c r="AH63" i="21"/>
  <c r="AH69" i="21"/>
  <c r="T80" i="21"/>
  <c r="AB80" i="21"/>
  <c r="D89" i="21"/>
  <c r="H94" i="21"/>
  <c r="AI63" i="21"/>
  <c r="T67" i="21"/>
  <c r="AB67" i="21"/>
  <c r="U80" i="21"/>
  <c r="AH68" i="21"/>
  <c r="U67" i="21"/>
  <c r="U71" i="21" s="1"/>
  <c r="V80" i="21"/>
  <c r="O80" i="21"/>
  <c r="W80" i="21"/>
  <c r="AH30" i="21"/>
  <c r="AH49" i="21"/>
  <c r="O67" i="21"/>
  <c r="O71" i="21" s="1"/>
  <c r="W67" i="21"/>
  <c r="W71" i="21" s="1"/>
  <c r="B71" i="21"/>
  <c r="P80" i="21"/>
  <c r="AI49" i="21"/>
  <c r="AH66" i="21"/>
  <c r="Q80" i="21"/>
  <c r="C214" i="21"/>
  <c r="D178" i="21"/>
  <c r="C179" i="21"/>
  <c r="C42" i="21" s="1"/>
  <c r="D173" i="21"/>
  <c r="Q49" i="20"/>
  <c r="P49" i="20"/>
  <c r="O49" i="20"/>
  <c r="B7" i="23"/>
  <c r="E173" i="23"/>
  <c r="D179" i="23"/>
  <c r="D42" i="23" s="1"/>
  <c r="AI71" i="23"/>
  <c r="AH71" i="23"/>
  <c r="I94" i="23"/>
  <c r="H82" i="23"/>
  <c r="C43" i="23"/>
  <c r="E178" i="23"/>
  <c r="D214" i="23"/>
  <c r="G171" i="23"/>
  <c r="H89" i="23"/>
  <c r="AI71" i="22"/>
  <c r="AH71" i="22"/>
  <c r="D82" i="22"/>
  <c r="E110" i="22"/>
  <c r="C43" i="22"/>
  <c r="G178" i="22"/>
  <c r="F214" i="22"/>
  <c r="H94" i="22"/>
  <c r="V193" i="22"/>
  <c r="D7" i="22"/>
  <c r="E179" i="22"/>
  <c r="E42" i="22" s="1"/>
  <c r="E43" i="22" s="1"/>
  <c r="E65" i="22" s="1"/>
  <c r="F173" i="22"/>
  <c r="T193" i="22"/>
  <c r="B7" i="22"/>
  <c r="D171" i="22"/>
  <c r="E89" i="22"/>
  <c r="AH59" i="21"/>
  <c r="AI80" i="21"/>
  <c r="AH80" i="21"/>
  <c r="T193" i="21"/>
  <c r="Z7" i="21"/>
  <c r="D179" i="21"/>
  <c r="D42" i="21" s="1"/>
  <c r="E173" i="21"/>
  <c r="AI67" i="21"/>
  <c r="D171" i="21"/>
  <c r="E89" i="21"/>
  <c r="C43" i="21"/>
  <c r="D214" i="21"/>
  <c r="E178" i="21"/>
  <c r="AI71" i="21"/>
  <c r="AH71" i="21"/>
  <c r="AH67" i="21"/>
  <c r="AI59" i="21"/>
  <c r="H82" i="21"/>
  <c r="I94" i="21"/>
  <c r="B84" i="20"/>
  <c r="B82" i="20"/>
  <c r="B80" i="20"/>
  <c r="B69" i="20"/>
  <c r="B68" i="20"/>
  <c r="B67" i="20"/>
  <c r="B66" i="20"/>
  <c r="B63" i="20"/>
  <c r="B59" i="20"/>
  <c r="B47" i="20"/>
  <c r="B42" i="20"/>
  <c r="B43" i="20" s="1"/>
  <c r="B30" i="20"/>
  <c r="AF218" i="20"/>
  <c r="AE218" i="20"/>
  <c r="AD218" i="20"/>
  <c r="AC218" i="20"/>
  <c r="AB218" i="20"/>
  <c r="AA218" i="20"/>
  <c r="Z218" i="20"/>
  <c r="Y218" i="20"/>
  <c r="X218" i="20"/>
  <c r="W218" i="20"/>
  <c r="V218" i="20"/>
  <c r="U218" i="20"/>
  <c r="T218" i="20"/>
  <c r="S218" i="20"/>
  <c r="R218" i="20"/>
  <c r="Q218" i="20"/>
  <c r="P218" i="20"/>
  <c r="O218" i="20"/>
  <c r="N218" i="20"/>
  <c r="M218" i="20"/>
  <c r="L218" i="20"/>
  <c r="K218" i="20"/>
  <c r="J218" i="20"/>
  <c r="I218" i="20"/>
  <c r="H218" i="20"/>
  <c r="G218" i="20"/>
  <c r="F218" i="20"/>
  <c r="E218" i="20"/>
  <c r="D218" i="20"/>
  <c r="C218" i="20"/>
  <c r="B218" i="20"/>
  <c r="A218" i="20"/>
  <c r="AF217" i="20"/>
  <c r="AE217" i="20"/>
  <c r="AD217" i="20"/>
  <c r="AC217" i="20"/>
  <c r="AB217" i="20"/>
  <c r="AA217" i="20"/>
  <c r="Z217" i="20"/>
  <c r="Y217" i="20"/>
  <c r="X217" i="20"/>
  <c r="W217" i="20"/>
  <c r="V217" i="20"/>
  <c r="U217" i="20"/>
  <c r="T217" i="20"/>
  <c r="S217" i="20"/>
  <c r="R217" i="20"/>
  <c r="Q217" i="20"/>
  <c r="P217" i="20"/>
  <c r="O217" i="20"/>
  <c r="N217" i="20"/>
  <c r="M217" i="20"/>
  <c r="L217" i="20"/>
  <c r="K217" i="20"/>
  <c r="J217" i="20"/>
  <c r="I217" i="20"/>
  <c r="H217" i="20"/>
  <c r="G217" i="20"/>
  <c r="F217" i="20"/>
  <c r="E217" i="20"/>
  <c r="D217" i="20"/>
  <c r="C217" i="20"/>
  <c r="B217" i="20"/>
  <c r="A217" i="20"/>
  <c r="AF216" i="20"/>
  <c r="AE216" i="20"/>
  <c r="AD216" i="20"/>
  <c r="AC216" i="20"/>
  <c r="AB216" i="20"/>
  <c r="AA216" i="20"/>
  <c r="Z216" i="20"/>
  <c r="Y216" i="20"/>
  <c r="X216" i="20"/>
  <c r="W216" i="20"/>
  <c r="V216" i="20"/>
  <c r="U216" i="20"/>
  <c r="T216" i="20"/>
  <c r="S216" i="20"/>
  <c r="R216" i="20"/>
  <c r="Q216" i="20"/>
  <c r="P216" i="20"/>
  <c r="O216" i="20"/>
  <c r="N216" i="20"/>
  <c r="M216" i="20"/>
  <c r="L216" i="20"/>
  <c r="K216" i="20"/>
  <c r="J216" i="20"/>
  <c r="I216" i="20"/>
  <c r="H216" i="20"/>
  <c r="G216" i="20"/>
  <c r="F216" i="20"/>
  <c r="E216" i="20"/>
  <c r="D216" i="20"/>
  <c r="C216" i="20"/>
  <c r="B216" i="20"/>
  <c r="A216" i="20"/>
  <c r="AF215" i="20"/>
  <c r="AE215" i="20"/>
  <c r="AD215" i="20"/>
  <c r="AC215" i="20"/>
  <c r="AB215" i="20"/>
  <c r="AA215" i="20"/>
  <c r="Z215" i="20"/>
  <c r="Y215" i="20"/>
  <c r="X215" i="20"/>
  <c r="W215" i="20"/>
  <c r="V215" i="20"/>
  <c r="U215" i="20"/>
  <c r="T215" i="20"/>
  <c r="S215" i="20"/>
  <c r="R215" i="20"/>
  <c r="Q215" i="20"/>
  <c r="P215" i="20"/>
  <c r="O215" i="20"/>
  <c r="N215" i="20"/>
  <c r="M215" i="20"/>
  <c r="L215" i="20"/>
  <c r="K215" i="20"/>
  <c r="J215" i="20"/>
  <c r="I215" i="20"/>
  <c r="H215" i="20"/>
  <c r="G215" i="20"/>
  <c r="F215" i="20"/>
  <c r="E215" i="20"/>
  <c r="D215" i="20"/>
  <c r="C215" i="20"/>
  <c r="B215" i="20"/>
  <c r="A215" i="20"/>
  <c r="B214" i="20"/>
  <c r="S189" i="20"/>
  <c r="AG179" i="20"/>
  <c r="B179" i="20"/>
  <c r="D178" i="20"/>
  <c r="C178" i="20"/>
  <c r="C214" i="20" s="1"/>
  <c r="C177" i="20"/>
  <c r="D177" i="20" s="1"/>
  <c r="E177" i="20" s="1"/>
  <c r="F177" i="20" s="1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D176" i="20"/>
  <c r="E176" i="20" s="1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C176" i="20"/>
  <c r="C175" i="20"/>
  <c r="D175" i="20" s="1"/>
  <c r="E175" i="20" s="1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H174" i="20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D174" i="20"/>
  <c r="E174" i="20" s="1"/>
  <c r="F174" i="20" s="1"/>
  <c r="G174" i="20" s="1"/>
  <c r="C174" i="20"/>
  <c r="C173" i="20"/>
  <c r="C179" i="20" s="1"/>
  <c r="AG171" i="20"/>
  <c r="B171" i="20"/>
  <c r="H170" i="20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E170" i="20"/>
  <c r="F170" i="20" s="1"/>
  <c r="G170" i="20" s="1"/>
  <c r="D170" i="20"/>
  <c r="C170" i="20"/>
  <c r="H169" i="20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S169" i="20" s="1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E169" i="20"/>
  <c r="F169" i="20" s="1"/>
  <c r="G169" i="20" s="1"/>
  <c r="C169" i="20"/>
  <c r="D169" i="20" s="1"/>
  <c r="D168" i="20"/>
  <c r="E168" i="20" s="1"/>
  <c r="F168" i="20" s="1"/>
  <c r="G168" i="20" s="1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C168" i="20"/>
  <c r="I167" i="20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C167" i="20"/>
  <c r="D167" i="20" s="1"/>
  <c r="E167" i="20" s="1"/>
  <c r="F167" i="20" s="1"/>
  <c r="G167" i="20" s="1"/>
  <c r="H167" i="20" s="1"/>
  <c r="C166" i="20"/>
  <c r="D166" i="20" s="1"/>
  <c r="E166" i="20" s="1"/>
  <c r="F166" i="20" s="1"/>
  <c r="G166" i="20" s="1"/>
  <c r="H166" i="20" s="1"/>
  <c r="I166" i="20" s="1"/>
  <c r="J166" i="20" s="1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N165" i="20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C165" i="20"/>
  <c r="D165" i="20" s="1"/>
  <c r="E165" i="20" s="1"/>
  <c r="F165" i="20" s="1"/>
  <c r="G165" i="20" s="1"/>
  <c r="H165" i="20" s="1"/>
  <c r="I165" i="20" s="1"/>
  <c r="J165" i="20" s="1"/>
  <c r="K165" i="20" s="1"/>
  <c r="L165" i="20" s="1"/>
  <c r="M165" i="20" s="1"/>
  <c r="L164" i="20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C164" i="20"/>
  <c r="D164" i="20" s="1"/>
  <c r="E164" i="20" s="1"/>
  <c r="F164" i="20" s="1"/>
  <c r="G164" i="20" s="1"/>
  <c r="H164" i="20" s="1"/>
  <c r="I164" i="20" s="1"/>
  <c r="J164" i="20" s="1"/>
  <c r="K164" i="20" s="1"/>
  <c r="E163" i="20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D163" i="20"/>
  <c r="C163" i="20"/>
  <c r="C162" i="20"/>
  <c r="D162" i="20" s="1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S161" i="20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I161" i="20"/>
  <c r="J161" i="20" s="1"/>
  <c r="K161" i="20" s="1"/>
  <c r="L161" i="20" s="1"/>
  <c r="M161" i="20" s="1"/>
  <c r="N161" i="20" s="1"/>
  <c r="O161" i="20" s="1"/>
  <c r="P161" i="20" s="1"/>
  <c r="Q161" i="20" s="1"/>
  <c r="R161" i="20" s="1"/>
  <c r="C161" i="20"/>
  <c r="D161" i="20" s="1"/>
  <c r="E161" i="20" s="1"/>
  <c r="F161" i="20" s="1"/>
  <c r="G161" i="20" s="1"/>
  <c r="H161" i="20" s="1"/>
  <c r="M160" i="20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C160" i="20"/>
  <c r="D160" i="20" s="1"/>
  <c r="E160" i="20" s="1"/>
  <c r="F160" i="20" s="1"/>
  <c r="G160" i="20" s="1"/>
  <c r="H160" i="20" s="1"/>
  <c r="I160" i="20" s="1"/>
  <c r="J160" i="20" s="1"/>
  <c r="K160" i="20" s="1"/>
  <c r="L160" i="20" s="1"/>
  <c r="K159" i="20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C159" i="20"/>
  <c r="D159" i="20" s="1"/>
  <c r="E159" i="20" s="1"/>
  <c r="F159" i="20" s="1"/>
  <c r="G159" i="20" s="1"/>
  <c r="H159" i="20" s="1"/>
  <c r="I159" i="20" s="1"/>
  <c r="J159" i="20" s="1"/>
  <c r="C158" i="20"/>
  <c r="D158" i="20" s="1"/>
  <c r="E158" i="20" s="1"/>
  <c r="F158" i="20" s="1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S157" i="20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D157" i="20"/>
  <c r="E157" i="20" s="1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C157" i="20"/>
  <c r="Q156" i="20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C156" i="20"/>
  <c r="D156" i="20" s="1"/>
  <c r="E156" i="20" s="1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F155" i="20"/>
  <c r="G155" i="20" s="1"/>
  <c r="H155" i="20" s="1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D155" i="20"/>
  <c r="E155" i="20" s="1"/>
  <c r="C155" i="20"/>
  <c r="D154" i="20"/>
  <c r="E154" i="20" s="1"/>
  <c r="F154" i="20" s="1"/>
  <c r="G154" i="20" s="1"/>
  <c r="H154" i="20" s="1"/>
  <c r="I154" i="20" s="1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C154" i="20"/>
  <c r="C153" i="20"/>
  <c r="D153" i="20" s="1"/>
  <c r="E153" i="20" s="1"/>
  <c r="F153" i="20" s="1"/>
  <c r="G153" i="20" s="1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K152" i="20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F152" i="20"/>
  <c r="G152" i="20" s="1"/>
  <c r="H152" i="20" s="1"/>
  <c r="I152" i="20" s="1"/>
  <c r="J152" i="20" s="1"/>
  <c r="C152" i="20"/>
  <c r="D152" i="20" s="1"/>
  <c r="E152" i="20" s="1"/>
  <c r="E151" i="20"/>
  <c r="F151" i="20" s="1"/>
  <c r="G151" i="20" s="1"/>
  <c r="H151" i="20" s="1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D151" i="20"/>
  <c r="C151" i="20"/>
  <c r="C150" i="20"/>
  <c r="D150" i="20" s="1"/>
  <c r="E150" i="20" s="1"/>
  <c r="F150" i="20" s="1"/>
  <c r="G150" i="20" s="1"/>
  <c r="H150" i="20" s="1"/>
  <c r="I150" i="20" s="1"/>
  <c r="J150" i="20" s="1"/>
  <c r="K150" i="20" s="1"/>
  <c r="L150" i="20" s="1"/>
  <c r="M150" i="20" s="1"/>
  <c r="N150" i="20" s="1"/>
  <c r="O150" i="20" s="1"/>
  <c r="P150" i="20" s="1"/>
  <c r="Q150" i="20" s="1"/>
  <c r="R150" i="20" s="1"/>
  <c r="S150" i="20" s="1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X149" i="20"/>
  <c r="Y149" i="20" s="1"/>
  <c r="Z149" i="20" s="1"/>
  <c r="AA149" i="20" s="1"/>
  <c r="AB149" i="20" s="1"/>
  <c r="AC149" i="20" s="1"/>
  <c r="AD149" i="20" s="1"/>
  <c r="AE149" i="20" s="1"/>
  <c r="AF149" i="20" s="1"/>
  <c r="E149" i="20"/>
  <c r="F149" i="20" s="1"/>
  <c r="G149" i="20" s="1"/>
  <c r="H149" i="20" s="1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W149" i="20" s="1"/>
  <c r="D149" i="20"/>
  <c r="C149" i="20"/>
  <c r="C148" i="20"/>
  <c r="D148" i="20" s="1"/>
  <c r="E148" i="20" s="1"/>
  <c r="F148" i="20" s="1"/>
  <c r="G148" i="20" s="1"/>
  <c r="H148" i="20" s="1"/>
  <c r="I148" i="20" s="1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D147" i="20"/>
  <c r="E147" i="20" s="1"/>
  <c r="F147" i="20" s="1"/>
  <c r="G147" i="20" s="1"/>
  <c r="H147" i="20" s="1"/>
  <c r="I147" i="20" s="1"/>
  <c r="J147" i="20" s="1"/>
  <c r="K147" i="20" s="1"/>
  <c r="L147" i="20" s="1"/>
  <c r="M147" i="20" s="1"/>
  <c r="N147" i="20" s="1"/>
  <c r="O147" i="20" s="1"/>
  <c r="P147" i="20" s="1"/>
  <c r="Q147" i="20" s="1"/>
  <c r="R147" i="20" s="1"/>
  <c r="S147" i="20" s="1"/>
  <c r="T147" i="20" s="1"/>
  <c r="U147" i="20" s="1"/>
  <c r="V147" i="20" s="1"/>
  <c r="W147" i="20" s="1"/>
  <c r="X147" i="20" s="1"/>
  <c r="Y147" i="20" s="1"/>
  <c r="Z147" i="20" s="1"/>
  <c r="AA147" i="20" s="1"/>
  <c r="AB147" i="20" s="1"/>
  <c r="AC147" i="20" s="1"/>
  <c r="AD147" i="20" s="1"/>
  <c r="AE147" i="20" s="1"/>
  <c r="AF147" i="20" s="1"/>
  <c r="C147" i="20"/>
  <c r="D146" i="20"/>
  <c r="E146" i="20" s="1"/>
  <c r="F146" i="20" s="1"/>
  <c r="G146" i="20" s="1"/>
  <c r="H146" i="20" s="1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C146" i="20"/>
  <c r="D145" i="20"/>
  <c r="E145" i="20" s="1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C145" i="20"/>
  <c r="C144" i="20"/>
  <c r="D144" i="20" s="1"/>
  <c r="E144" i="20" s="1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Q143" i="20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D143" i="20"/>
  <c r="E143" i="20" s="1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C143" i="20"/>
  <c r="C142" i="20"/>
  <c r="D142" i="20" s="1"/>
  <c r="E142" i="20" s="1"/>
  <c r="F142" i="20" s="1"/>
  <c r="G142" i="20" s="1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C141" i="20"/>
  <c r="D141" i="20" s="1"/>
  <c r="E141" i="20" s="1"/>
  <c r="F141" i="20" s="1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D140" i="20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C140" i="20"/>
  <c r="F139" i="20"/>
  <c r="G139" i="20" s="1"/>
  <c r="H139" i="20" s="1"/>
  <c r="I139" i="20" s="1"/>
  <c r="J139" i="20" s="1"/>
  <c r="K139" i="20" s="1"/>
  <c r="L139" i="20" s="1"/>
  <c r="M139" i="20" s="1"/>
  <c r="N139" i="20" s="1"/>
  <c r="O139" i="20" s="1"/>
  <c r="P139" i="20" s="1"/>
  <c r="Q139" i="20" s="1"/>
  <c r="R139" i="20" s="1"/>
  <c r="S139" i="20" s="1"/>
  <c r="T139" i="20" s="1"/>
  <c r="U139" i="20" s="1"/>
  <c r="V139" i="20" s="1"/>
  <c r="W139" i="20" s="1"/>
  <c r="X139" i="20" s="1"/>
  <c r="Y139" i="20" s="1"/>
  <c r="Z139" i="20" s="1"/>
  <c r="AA139" i="20" s="1"/>
  <c r="AB139" i="20" s="1"/>
  <c r="AC139" i="20" s="1"/>
  <c r="AD139" i="20" s="1"/>
  <c r="AE139" i="20" s="1"/>
  <c r="AF139" i="20" s="1"/>
  <c r="D139" i="20"/>
  <c r="E139" i="20" s="1"/>
  <c r="C139" i="20"/>
  <c r="J138" i="20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D138" i="20"/>
  <c r="E138" i="20" s="1"/>
  <c r="F138" i="20" s="1"/>
  <c r="G138" i="20" s="1"/>
  <c r="H138" i="20" s="1"/>
  <c r="I138" i="20" s="1"/>
  <c r="C138" i="20"/>
  <c r="C137" i="20"/>
  <c r="D137" i="20" s="1"/>
  <c r="E137" i="20" s="1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O136" i="20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C136" i="20"/>
  <c r="D136" i="20" s="1"/>
  <c r="E136" i="20" s="1"/>
  <c r="F136" i="20" s="1"/>
  <c r="G136" i="20" s="1"/>
  <c r="H136" i="20" s="1"/>
  <c r="I136" i="20" s="1"/>
  <c r="J136" i="20" s="1"/>
  <c r="K136" i="20" s="1"/>
  <c r="L136" i="20" s="1"/>
  <c r="M136" i="20" s="1"/>
  <c r="N136" i="20" s="1"/>
  <c r="D135" i="20"/>
  <c r="E135" i="20" s="1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C135" i="20"/>
  <c r="AD134" i="20"/>
  <c r="AE134" i="20" s="1"/>
  <c r="AF134" i="20" s="1"/>
  <c r="C134" i="20"/>
  <c r="D134" i="20" s="1"/>
  <c r="E134" i="20" s="1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C133" i="20"/>
  <c r="D133" i="20" s="1"/>
  <c r="E133" i="20" s="1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H132" i="20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C132" i="20"/>
  <c r="D132" i="20" s="1"/>
  <c r="E132" i="20" s="1"/>
  <c r="F132" i="20" s="1"/>
  <c r="G132" i="20" s="1"/>
  <c r="F131" i="20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E131" i="20"/>
  <c r="D131" i="20"/>
  <c r="C131" i="20"/>
  <c r="G130" i="20"/>
  <c r="H130" i="20" s="1"/>
  <c r="I130" i="20" s="1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C130" i="20"/>
  <c r="D130" i="20" s="1"/>
  <c r="E130" i="20" s="1"/>
  <c r="F130" i="20" s="1"/>
  <c r="C129" i="20"/>
  <c r="D129" i="20" s="1"/>
  <c r="E129" i="20" s="1"/>
  <c r="F129" i="20" s="1"/>
  <c r="G129" i="20" s="1"/>
  <c r="H129" i="20" s="1"/>
  <c r="I129" i="20" s="1"/>
  <c r="J129" i="20" s="1"/>
  <c r="K129" i="20" s="1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Z129" i="20" s="1"/>
  <c r="AA129" i="20" s="1"/>
  <c r="AB129" i="20" s="1"/>
  <c r="AC129" i="20" s="1"/>
  <c r="AD129" i="20" s="1"/>
  <c r="AE129" i="20" s="1"/>
  <c r="AF129" i="20" s="1"/>
  <c r="C128" i="20"/>
  <c r="D128" i="20" s="1"/>
  <c r="E128" i="20" s="1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L127" i="20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E127" i="20"/>
  <c r="F127" i="20" s="1"/>
  <c r="G127" i="20" s="1"/>
  <c r="H127" i="20" s="1"/>
  <c r="I127" i="20" s="1"/>
  <c r="J127" i="20" s="1"/>
  <c r="K127" i="20" s="1"/>
  <c r="D127" i="20"/>
  <c r="C127" i="20"/>
  <c r="AE126" i="20"/>
  <c r="AF126" i="20" s="1"/>
  <c r="G126" i="20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C126" i="20"/>
  <c r="D126" i="20" s="1"/>
  <c r="E126" i="20" s="1"/>
  <c r="F126" i="20" s="1"/>
  <c r="E125" i="20"/>
  <c r="F125" i="20" s="1"/>
  <c r="G125" i="20" s="1"/>
  <c r="H125" i="20" s="1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C125" i="20"/>
  <c r="D125" i="20" s="1"/>
  <c r="C124" i="20"/>
  <c r="D124" i="20" s="1"/>
  <c r="E124" i="20" s="1"/>
  <c r="F124" i="20" s="1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F123" i="20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E123" i="20"/>
  <c r="D123" i="20"/>
  <c r="C123" i="20"/>
  <c r="D122" i="20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C122" i="20"/>
  <c r="C121" i="20"/>
  <c r="D121" i="20" s="1"/>
  <c r="E121" i="20" s="1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Q120" i="20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C120" i="20"/>
  <c r="C119" i="20"/>
  <c r="D119" i="20" s="1"/>
  <c r="E119" i="20" s="1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E118" i="20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D118" i="20"/>
  <c r="C118" i="20"/>
  <c r="W117" i="20"/>
  <c r="X117" i="20" s="1"/>
  <c r="Y117" i="20" s="1"/>
  <c r="Z117" i="20" s="1"/>
  <c r="AA117" i="20" s="1"/>
  <c r="AB117" i="20" s="1"/>
  <c r="AC117" i="20" s="1"/>
  <c r="AD117" i="20" s="1"/>
  <c r="AE117" i="20" s="1"/>
  <c r="AF117" i="20" s="1"/>
  <c r="C117" i="20"/>
  <c r="D117" i="20" s="1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L116" i="20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D116" i="20"/>
  <c r="E116" i="20" s="1"/>
  <c r="F116" i="20" s="1"/>
  <c r="G116" i="20" s="1"/>
  <c r="H116" i="20" s="1"/>
  <c r="I116" i="20" s="1"/>
  <c r="J116" i="20" s="1"/>
  <c r="K116" i="20" s="1"/>
  <c r="C116" i="20"/>
  <c r="C115" i="20"/>
  <c r="D115" i="20" s="1"/>
  <c r="E115" i="20" s="1"/>
  <c r="F115" i="20" s="1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I114" i="20"/>
  <c r="J114" i="20" s="1"/>
  <c r="K114" i="20" s="1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E114" i="20"/>
  <c r="F114" i="20" s="1"/>
  <c r="G114" i="20" s="1"/>
  <c r="H114" i="20" s="1"/>
  <c r="D114" i="20"/>
  <c r="C114" i="20"/>
  <c r="C113" i="20"/>
  <c r="D113" i="20" s="1"/>
  <c r="E113" i="20" s="1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L112" i="20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D112" i="20"/>
  <c r="E112" i="20" s="1"/>
  <c r="F112" i="20" s="1"/>
  <c r="G112" i="20" s="1"/>
  <c r="H112" i="20" s="1"/>
  <c r="I112" i="20" s="1"/>
  <c r="J112" i="20" s="1"/>
  <c r="K112" i="20" s="1"/>
  <c r="C112" i="20"/>
  <c r="C111" i="20"/>
  <c r="D111" i="20" s="1"/>
  <c r="E111" i="20" s="1"/>
  <c r="F111" i="20" s="1"/>
  <c r="G111" i="20" s="1"/>
  <c r="H111" i="20" s="1"/>
  <c r="I111" i="20" s="1"/>
  <c r="J111" i="20" s="1"/>
  <c r="K111" i="20" s="1"/>
  <c r="L111" i="20" s="1"/>
  <c r="M111" i="20" s="1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E110" i="20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D110" i="20"/>
  <c r="C110" i="20"/>
  <c r="W109" i="20"/>
  <c r="X109" i="20" s="1"/>
  <c r="Y109" i="20" s="1"/>
  <c r="Z109" i="20" s="1"/>
  <c r="AA109" i="20" s="1"/>
  <c r="AB109" i="20" s="1"/>
  <c r="AC109" i="20" s="1"/>
  <c r="AD109" i="20" s="1"/>
  <c r="AE109" i="20" s="1"/>
  <c r="AF109" i="20" s="1"/>
  <c r="C109" i="20"/>
  <c r="D109" i="20" s="1"/>
  <c r="E109" i="20" s="1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Q108" i="20"/>
  <c r="R108" i="20" s="1"/>
  <c r="S108" i="20" s="1"/>
  <c r="T108" i="20" s="1"/>
  <c r="U108" i="20" s="1"/>
  <c r="V108" i="20" s="1"/>
  <c r="W108" i="20" s="1"/>
  <c r="X108" i="20" s="1"/>
  <c r="Y108" i="20" s="1"/>
  <c r="Z108" i="20" s="1"/>
  <c r="AA108" i="20" s="1"/>
  <c r="AB108" i="20" s="1"/>
  <c r="AC108" i="20" s="1"/>
  <c r="AD108" i="20" s="1"/>
  <c r="AE108" i="20" s="1"/>
  <c r="AF108" i="20" s="1"/>
  <c r="D108" i="20"/>
  <c r="E108" i="20" s="1"/>
  <c r="F108" i="20" s="1"/>
  <c r="G108" i="20" s="1"/>
  <c r="H108" i="20" s="1"/>
  <c r="I108" i="20" s="1"/>
  <c r="J108" i="20" s="1"/>
  <c r="K108" i="20" s="1"/>
  <c r="L108" i="20" s="1"/>
  <c r="M108" i="20" s="1"/>
  <c r="N108" i="20" s="1"/>
  <c r="O108" i="20" s="1"/>
  <c r="P108" i="20" s="1"/>
  <c r="C108" i="20"/>
  <c r="C107" i="20"/>
  <c r="D107" i="20" s="1"/>
  <c r="E107" i="20" s="1"/>
  <c r="F107" i="20" s="1"/>
  <c r="G107" i="20" s="1"/>
  <c r="H107" i="20" s="1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P106" i="20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D106" i="20"/>
  <c r="E106" i="20" s="1"/>
  <c r="F106" i="20" s="1"/>
  <c r="G106" i="20" s="1"/>
  <c r="H106" i="20" s="1"/>
  <c r="I106" i="20" s="1"/>
  <c r="J106" i="20" s="1"/>
  <c r="K106" i="20" s="1"/>
  <c r="L106" i="20" s="1"/>
  <c r="M106" i="20" s="1"/>
  <c r="N106" i="20" s="1"/>
  <c r="O106" i="20" s="1"/>
  <c r="C106" i="20"/>
  <c r="C105" i="20"/>
  <c r="D105" i="20" s="1"/>
  <c r="E105" i="20" s="1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D104" i="20"/>
  <c r="E104" i="20" s="1"/>
  <c r="F104" i="20" s="1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C104" i="20"/>
  <c r="C103" i="20"/>
  <c r="D103" i="20" s="1"/>
  <c r="E103" i="20" s="1"/>
  <c r="F103" i="20" s="1"/>
  <c r="G103" i="20" s="1"/>
  <c r="H103" i="20" s="1"/>
  <c r="I103" i="20" s="1"/>
  <c r="J103" i="20" s="1"/>
  <c r="K103" i="20" s="1"/>
  <c r="L103" i="20" s="1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L102" i="20"/>
  <c r="M102" i="20" s="1"/>
  <c r="N102" i="20" s="1"/>
  <c r="O102" i="20" s="1"/>
  <c r="P102" i="20" s="1"/>
  <c r="Q102" i="20" s="1"/>
  <c r="R102" i="20" s="1"/>
  <c r="S102" i="20" s="1"/>
  <c r="T102" i="20" s="1"/>
  <c r="U102" i="20" s="1"/>
  <c r="V102" i="20" s="1"/>
  <c r="W102" i="20" s="1"/>
  <c r="X102" i="20" s="1"/>
  <c r="Y102" i="20" s="1"/>
  <c r="Z102" i="20" s="1"/>
  <c r="AA102" i="20" s="1"/>
  <c r="AB102" i="20" s="1"/>
  <c r="AC102" i="20" s="1"/>
  <c r="AD102" i="20" s="1"/>
  <c r="AE102" i="20" s="1"/>
  <c r="AF102" i="20" s="1"/>
  <c r="C102" i="20"/>
  <c r="D102" i="20" s="1"/>
  <c r="E102" i="20" s="1"/>
  <c r="F102" i="20" s="1"/>
  <c r="G102" i="20" s="1"/>
  <c r="H102" i="20" s="1"/>
  <c r="I102" i="20" s="1"/>
  <c r="J102" i="20" s="1"/>
  <c r="K102" i="20" s="1"/>
  <c r="C101" i="20"/>
  <c r="D101" i="20" s="1"/>
  <c r="E101" i="20" s="1"/>
  <c r="F101" i="20" s="1"/>
  <c r="G101" i="20" s="1"/>
  <c r="H101" i="20" s="1"/>
  <c r="I101" i="20" s="1"/>
  <c r="J101" i="20" s="1"/>
  <c r="K101" i="20" s="1"/>
  <c r="L101" i="20" s="1"/>
  <c r="M101" i="20" s="1"/>
  <c r="N101" i="20" s="1"/>
  <c r="O101" i="20" s="1"/>
  <c r="P101" i="20" s="1"/>
  <c r="Q101" i="20" s="1"/>
  <c r="R101" i="20" s="1"/>
  <c r="S101" i="20" s="1"/>
  <c r="T101" i="20" s="1"/>
  <c r="U101" i="20" s="1"/>
  <c r="V101" i="20" s="1"/>
  <c r="W101" i="20" s="1"/>
  <c r="X101" i="20" s="1"/>
  <c r="Y101" i="20" s="1"/>
  <c r="Z101" i="20" s="1"/>
  <c r="AA101" i="20" s="1"/>
  <c r="AB101" i="20" s="1"/>
  <c r="AC101" i="20" s="1"/>
  <c r="AD101" i="20" s="1"/>
  <c r="AE101" i="20" s="1"/>
  <c r="AF101" i="20" s="1"/>
  <c r="C100" i="20"/>
  <c r="D100" i="20" s="1"/>
  <c r="E100" i="20" s="1"/>
  <c r="F100" i="20" s="1"/>
  <c r="G100" i="20" s="1"/>
  <c r="H100" i="20" s="1"/>
  <c r="I100" i="20" s="1"/>
  <c r="J100" i="20" s="1"/>
  <c r="K100" i="20" s="1"/>
  <c r="L100" i="20" s="1"/>
  <c r="M100" i="20" s="1"/>
  <c r="N100" i="20" s="1"/>
  <c r="O100" i="20" s="1"/>
  <c r="P100" i="20" s="1"/>
  <c r="Q100" i="20" s="1"/>
  <c r="R100" i="20" s="1"/>
  <c r="S100" i="20" s="1"/>
  <c r="T100" i="20" s="1"/>
  <c r="U100" i="20" s="1"/>
  <c r="V100" i="20" s="1"/>
  <c r="W100" i="20" s="1"/>
  <c r="X100" i="20" s="1"/>
  <c r="Y100" i="20" s="1"/>
  <c r="Z100" i="20" s="1"/>
  <c r="AA100" i="20" s="1"/>
  <c r="AB100" i="20" s="1"/>
  <c r="AC100" i="20" s="1"/>
  <c r="AD100" i="20" s="1"/>
  <c r="AE100" i="20" s="1"/>
  <c r="AF100" i="20" s="1"/>
  <c r="Q99" i="20"/>
  <c r="R99" i="20" s="1"/>
  <c r="S99" i="20" s="1"/>
  <c r="T99" i="20" s="1"/>
  <c r="U99" i="20" s="1"/>
  <c r="V99" i="20" s="1"/>
  <c r="W99" i="20" s="1"/>
  <c r="X99" i="20" s="1"/>
  <c r="Y99" i="20" s="1"/>
  <c r="Z99" i="20" s="1"/>
  <c r="AA99" i="20" s="1"/>
  <c r="AB99" i="20" s="1"/>
  <c r="AC99" i="20" s="1"/>
  <c r="AD99" i="20" s="1"/>
  <c r="AE99" i="20" s="1"/>
  <c r="AF99" i="20" s="1"/>
  <c r="J99" i="20"/>
  <c r="K99" i="20" s="1"/>
  <c r="L99" i="20" s="1"/>
  <c r="M99" i="20" s="1"/>
  <c r="N99" i="20" s="1"/>
  <c r="O99" i="20" s="1"/>
  <c r="P99" i="20" s="1"/>
  <c r="D99" i="20"/>
  <c r="E99" i="20" s="1"/>
  <c r="F99" i="20" s="1"/>
  <c r="G99" i="20" s="1"/>
  <c r="H99" i="20" s="1"/>
  <c r="C99" i="20"/>
  <c r="F98" i="20"/>
  <c r="G98" i="20" s="1"/>
  <c r="H98" i="20" s="1"/>
  <c r="I98" i="20" s="1"/>
  <c r="J98" i="20" s="1"/>
  <c r="K98" i="20" s="1"/>
  <c r="L98" i="20" s="1"/>
  <c r="M98" i="20" s="1"/>
  <c r="N98" i="20" s="1"/>
  <c r="O98" i="20" s="1"/>
  <c r="P98" i="20" s="1"/>
  <c r="Q98" i="20" s="1"/>
  <c r="R98" i="20" s="1"/>
  <c r="S98" i="20" s="1"/>
  <c r="T98" i="20" s="1"/>
  <c r="U98" i="20" s="1"/>
  <c r="V98" i="20" s="1"/>
  <c r="W98" i="20" s="1"/>
  <c r="X98" i="20" s="1"/>
  <c r="Y98" i="20" s="1"/>
  <c r="Z98" i="20" s="1"/>
  <c r="AA98" i="20" s="1"/>
  <c r="AB98" i="20" s="1"/>
  <c r="AC98" i="20" s="1"/>
  <c r="AD98" i="20" s="1"/>
  <c r="AE98" i="20" s="1"/>
  <c r="AF98" i="20" s="1"/>
  <c r="C98" i="20"/>
  <c r="D98" i="20" s="1"/>
  <c r="E98" i="20" s="1"/>
  <c r="L97" i="20"/>
  <c r="M97" i="20" s="1"/>
  <c r="N97" i="20" s="1"/>
  <c r="O97" i="20" s="1"/>
  <c r="P97" i="20" s="1"/>
  <c r="Q97" i="20" s="1"/>
  <c r="R97" i="20" s="1"/>
  <c r="S97" i="20" s="1"/>
  <c r="T97" i="20" s="1"/>
  <c r="U97" i="20" s="1"/>
  <c r="V97" i="20" s="1"/>
  <c r="W97" i="20" s="1"/>
  <c r="X97" i="20" s="1"/>
  <c r="Y97" i="20" s="1"/>
  <c r="Z97" i="20" s="1"/>
  <c r="AA97" i="20" s="1"/>
  <c r="AB97" i="20" s="1"/>
  <c r="AC97" i="20" s="1"/>
  <c r="AD97" i="20" s="1"/>
  <c r="AE97" i="20" s="1"/>
  <c r="AF97" i="20" s="1"/>
  <c r="D97" i="20"/>
  <c r="E97" i="20" s="1"/>
  <c r="F97" i="20" s="1"/>
  <c r="G97" i="20" s="1"/>
  <c r="H97" i="20" s="1"/>
  <c r="I97" i="20" s="1"/>
  <c r="J97" i="20" s="1"/>
  <c r="K97" i="20" s="1"/>
  <c r="C97" i="20"/>
  <c r="C96" i="20"/>
  <c r="D96" i="20" s="1"/>
  <c r="E96" i="20" s="1"/>
  <c r="F96" i="20" s="1"/>
  <c r="G96" i="20" s="1"/>
  <c r="H96" i="20" s="1"/>
  <c r="I96" i="20" s="1"/>
  <c r="J96" i="20" s="1"/>
  <c r="K96" i="20" s="1"/>
  <c r="L96" i="20" s="1"/>
  <c r="M96" i="20" s="1"/>
  <c r="N96" i="20" s="1"/>
  <c r="O96" i="20" s="1"/>
  <c r="P96" i="20" s="1"/>
  <c r="Q96" i="20" s="1"/>
  <c r="R96" i="20" s="1"/>
  <c r="S96" i="20" s="1"/>
  <c r="T96" i="20" s="1"/>
  <c r="U96" i="20" s="1"/>
  <c r="V96" i="20" s="1"/>
  <c r="W96" i="20" s="1"/>
  <c r="X96" i="20" s="1"/>
  <c r="Y96" i="20" s="1"/>
  <c r="Z96" i="20" s="1"/>
  <c r="AA96" i="20" s="1"/>
  <c r="AB96" i="20" s="1"/>
  <c r="AC96" i="20" s="1"/>
  <c r="AD96" i="20" s="1"/>
  <c r="AE96" i="20" s="1"/>
  <c r="AF96" i="20" s="1"/>
  <c r="H95" i="20"/>
  <c r="I95" i="20" s="1"/>
  <c r="J95" i="20" s="1"/>
  <c r="K95" i="20" s="1"/>
  <c r="L95" i="20" s="1"/>
  <c r="M95" i="20" s="1"/>
  <c r="N95" i="20" s="1"/>
  <c r="O95" i="20" s="1"/>
  <c r="P95" i="20" s="1"/>
  <c r="Q95" i="20" s="1"/>
  <c r="R95" i="20" s="1"/>
  <c r="S95" i="20" s="1"/>
  <c r="T95" i="20" s="1"/>
  <c r="U95" i="20" s="1"/>
  <c r="V95" i="20" s="1"/>
  <c r="W95" i="20" s="1"/>
  <c r="X95" i="20" s="1"/>
  <c r="Y95" i="20" s="1"/>
  <c r="Z95" i="20" s="1"/>
  <c r="AA95" i="20" s="1"/>
  <c r="AB95" i="20" s="1"/>
  <c r="AC95" i="20" s="1"/>
  <c r="AD95" i="20" s="1"/>
  <c r="AE95" i="20" s="1"/>
  <c r="AF95" i="20" s="1"/>
  <c r="D95" i="20"/>
  <c r="E95" i="20" s="1"/>
  <c r="F95" i="20" s="1"/>
  <c r="G95" i="20" s="1"/>
  <c r="C95" i="20"/>
  <c r="F94" i="20"/>
  <c r="C94" i="20"/>
  <c r="D94" i="20" s="1"/>
  <c r="E94" i="20" s="1"/>
  <c r="L93" i="20"/>
  <c r="M93" i="20" s="1"/>
  <c r="N93" i="20" s="1"/>
  <c r="O93" i="20" s="1"/>
  <c r="P93" i="20" s="1"/>
  <c r="Q93" i="20" s="1"/>
  <c r="R93" i="20" s="1"/>
  <c r="S93" i="20" s="1"/>
  <c r="T93" i="20" s="1"/>
  <c r="U93" i="20" s="1"/>
  <c r="V93" i="20" s="1"/>
  <c r="W93" i="20" s="1"/>
  <c r="X93" i="20" s="1"/>
  <c r="Y93" i="20" s="1"/>
  <c r="Z93" i="20" s="1"/>
  <c r="AA93" i="20" s="1"/>
  <c r="AB93" i="20" s="1"/>
  <c r="AC93" i="20" s="1"/>
  <c r="AD93" i="20" s="1"/>
  <c r="AE93" i="20" s="1"/>
  <c r="AF93" i="20" s="1"/>
  <c r="D93" i="20"/>
  <c r="E93" i="20" s="1"/>
  <c r="F93" i="20" s="1"/>
  <c r="G93" i="20" s="1"/>
  <c r="H93" i="20" s="1"/>
  <c r="I93" i="20" s="1"/>
  <c r="J93" i="20" s="1"/>
  <c r="K93" i="20" s="1"/>
  <c r="C93" i="20"/>
  <c r="C92" i="20"/>
  <c r="D92" i="20" s="1"/>
  <c r="E92" i="20" s="1"/>
  <c r="F92" i="20" s="1"/>
  <c r="G92" i="20" s="1"/>
  <c r="H92" i="20" s="1"/>
  <c r="I92" i="20" s="1"/>
  <c r="J92" i="20" s="1"/>
  <c r="K92" i="20" s="1"/>
  <c r="L92" i="20" s="1"/>
  <c r="M92" i="20" s="1"/>
  <c r="N92" i="20" s="1"/>
  <c r="O92" i="20" s="1"/>
  <c r="P92" i="20" s="1"/>
  <c r="Q92" i="20" s="1"/>
  <c r="R92" i="20" s="1"/>
  <c r="S92" i="20" s="1"/>
  <c r="T92" i="20" s="1"/>
  <c r="U92" i="20" s="1"/>
  <c r="V92" i="20" s="1"/>
  <c r="W92" i="20" s="1"/>
  <c r="X92" i="20" s="1"/>
  <c r="Y92" i="20" s="1"/>
  <c r="Z92" i="20" s="1"/>
  <c r="AA92" i="20" s="1"/>
  <c r="AB92" i="20" s="1"/>
  <c r="AC92" i="20" s="1"/>
  <c r="AD92" i="20" s="1"/>
  <c r="AE92" i="20" s="1"/>
  <c r="AF92" i="20" s="1"/>
  <c r="D91" i="20"/>
  <c r="E91" i="20" s="1"/>
  <c r="F91" i="20" s="1"/>
  <c r="G91" i="20" s="1"/>
  <c r="H91" i="20" s="1"/>
  <c r="I91" i="20" s="1"/>
  <c r="J91" i="20" s="1"/>
  <c r="K91" i="20" s="1"/>
  <c r="L91" i="20" s="1"/>
  <c r="M91" i="20" s="1"/>
  <c r="N91" i="20" s="1"/>
  <c r="O91" i="20" s="1"/>
  <c r="P91" i="20" s="1"/>
  <c r="Q91" i="20" s="1"/>
  <c r="R91" i="20" s="1"/>
  <c r="S91" i="20" s="1"/>
  <c r="T91" i="20" s="1"/>
  <c r="U91" i="20" s="1"/>
  <c r="V91" i="20" s="1"/>
  <c r="W91" i="20" s="1"/>
  <c r="X91" i="20" s="1"/>
  <c r="Y91" i="20" s="1"/>
  <c r="Z91" i="20" s="1"/>
  <c r="AA91" i="20" s="1"/>
  <c r="AB91" i="20" s="1"/>
  <c r="AC91" i="20" s="1"/>
  <c r="AD91" i="20" s="1"/>
  <c r="AE91" i="20" s="1"/>
  <c r="AF91" i="20" s="1"/>
  <c r="C91" i="20"/>
  <c r="F90" i="20"/>
  <c r="G90" i="20" s="1"/>
  <c r="H90" i="20" s="1"/>
  <c r="I90" i="20" s="1"/>
  <c r="J90" i="20" s="1"/>
  <c r="K90" i="20" s="1"/>
  <c r="L90" i="20" s="1"/>
  <c r="M90" i="20" s="1"/>
  <c r="N90" i="20" s="1"/>
  <c r="O90" i="20" s="1"/>
  <c r="P90" i="20" s="1"/>
  <c r="Q90" i="20" s="1"/>
  <c r="R90" i="20" s="1"/>
  <c r="S90" i="20" s="1"/>
  <c r="T90" i="20" s="1"/>
  <c r="U90" i="20" s="1"/>
  <c r="V90" i="20" s="1"/>
  <c r="W90" i="20" s="1"/>
  <c r="X90" i="20" s="1"/>
  <c r="Y90" i="20" s="1"/>
  <c r="Z90" i="20" s="1"/>
  <c r="AA90" i="20" s="1"/>
  <c r="AB90" i="20" s="1"/>
  <c r="AC90" i="20" s="1"/>
  <c r="AD90" i="20" s="1"/>
  <c r="AE90" i="20" s="1"/>
  <c r="AF90" i="20" s="1"/>
  <c r="C90" i="20"/>
  <c r="D90" i="20" s="1"/>
  <c r="E90" i="20" s="1"/>
  <c r="D89" i="20"/>
  <c r="C89" i="20"/>
  <c r="AH86" i="20"/>
  <c r="AI86" i="20" s="1"/>
  <c r="AH85" i="20"/>
  <c r="AI85" i="20" s="1"/>
  <c r="AH84" i="20"/>
  <c r="AI84" i="20" s="1"/>
  <c r="AH83" i="20"/>
  <c r="AI83" i="20" s="1"/>
  <c r="D82" i="20"/>
  <c r="C82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AI79" i="20"/>
  <c r="AH79" i="20"/>
  <c r="AI78" i="20"/>
  <c r="AH78" i="20"/>
  <c r="AI77" i="20"/>
  <c r="AH77" i="20"/>
  <c r="AI76" i="20"/>
  <c r="AH76" i="20"/>
  <c r="AI75" i="20"/>
  <c r="AH75" i="20"/>
  <c r="AI74" i="20"/>
  <c r="AH74" i="20"/>
  <c r="AI73" i="20"/>
  <c r="AH73" i="20"/>
  <c r="AI72" i="20"/>
  <c r="AH72" i="20"/>
  <c r="AG71" i="20"/>
  <c r="AI70" i="20"/>
  <c r="AH70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AF67" i="20"/>
  <c r="AE67" i="20"/>
  <c r="AD67" i="20"/>
  <c r="AC67" i="20"/>
  <c r="AB67" i="20"/>
  <c r="AA67" i="20"/>
  <c r="Z67" i="20"/>
  <c r="Y67" i="20"/>
  <c r="X67" i="20"/>
  <c r="W67" i="20"/>
  <c r="W71" i="20" s="1"/>
  <c r="V67" i="20"/>
  <c r="U67" i="20"/>
  <c r="T67" i="20"/>
  <c r="S67" i="20"/>
  <c r="R67" i="20"/>
  <c r="Q67" i="20"/>
  <c r="P67" i="20"/>
  <c r="O67" i="20"/>
  <c r="O71" i="20" s="1"/>
  <c r="N67" i="20"/>
  <c r="M67" i="20"/>
  <c r="L67" i="20"/>
  <c r="K67" i="20"/>
  <c r="J67" i="20"/>
  <c r="I67" i="20"/>
  <c r="H67" i="20"/>
  <c r="G67" i="20"/>
  <c r="G71" i="20" s="1"/>
  <c r="F67" i="20"/>
  <c r="E67" i="20"/>
  <c r="D67" i="20"/>
  <c r="C67" i="20"/>
  <c r="AF66" i="20"/>
  <c r="AE66" i="20"/>
  <c r="AD66" i="20"/>
  <c r="AC66" i="20"/>
  <c r="AB66" i="20"/>
  <c r="AA66" i="20"/>
  <c r="Z66" i="20"/>
  <c r="Z71" i="20" s="1"/>
  <c r="Y66" i="20"/>
  <c r="X66" i="20"/>
  <c r="W66" i="20"/>
  <c r="V66" i="20"/>
  <c r="U66" i="20"/>
  <c r="T66" i="20"/>
  <c r="T71" i="20" s="1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I64" i="20"/>
  <c r="AH64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AI63" i="20"/>
  <c r="AI62" i="20"/>
  <c r="AH62" i="20"/>
  <c r="AI61" i="20"/>
  <c r="AH61" i="20"/>
  <c r="AI60" i="20"/>
  <c r="AH60" i="20"/>
  <c r="AG59" i="20"/>
  <c r="AF59" i="20"/>
  <c r="AF5" i="20" s="1"/>
  <c r="AE59" i="20"/>
  <c r="AD59" i="20"/>
  <c r="AD5" i="20" s="1"/>
  <c r="AC59" i="20"/>
  <c r="AC5" i="20" s="1"/>
  <c r="AB59" i="20"/>
  <c r="AB5" i="20" s="1"/>
  <c r="AA59" i="20"/>
  <c r="Z59" i="20"/>
  <c r="Y59" i="20"/>
  <c r="Y5" i="20" s="1"/>
  <c r="X59" i="20"/>
  <c r="W59" i="20"/>
  <c r="W5" i="20" s="1"/>
  <c r="V59" i="20"/>
  <c r="V5" i="20" s="1"/>
  <c r="U59" i="20"/>
  <c r="U5" i="20" s="1"/>
  <c r="T59" i="20"/>
  <c r="T5" i="20" s="1"/>
  <c r="S59" i="20"/>
  <c r="S5" i="20" s="1"/>
  <c r="R59" i="20"/>
  <c r="Q59" i="20"/>
  <c r="P59" i="20"/>
  <c r="O59" i="20"/>
  <c r="O5" i="20" s="1"/>
  <c r="N59" i="20"/>
  <c r="N5" i="20" s="1"/>
  <c r="M59" i="20"/>
  <c r="L59" i="20"/>
  <c r="L5" i="20" s="1"/>
  <c r="K59" i="20"/>
  <c r="K5" i="20" s="1"/>
  <c r="J59" i="20"/>
  <c r="J5" i="20" s="1"/>
  <c r="I59" i="20"/>
  <c r="I5" i="20" s="1"/>
  <c r="H59" i="20"/>
  <c r="H5" i="20" s="1"/>
  <c r="G59" i="20"/>
  <c r="G5" i="20" s="1"/>
  <c r="F59" i="20"/>
  <c r="F5" i="20" s="1"/>
  <c r="E59" i="20"/>
  <c r="E5" i="20" s="1"/>
  <c r="D59" i="20"/>
  <c r="D5" i="20" s="1"/>
  <c r="C59" i="20"/>
  <c r="C5" i="20" s="1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I46" i="20"/>
  <c r="AH46" i="20"/>
  <c r="AI45" i="20"/>
  <c r="AH45" i="20"/>
  <c r="AI44" i="20"/>
  <c r="AH44" i="20"/>
  <c r="AG42" i="20"/>
  <c r="AG43" i="20" s="1"/>
  <c r="AG3" i="20" s="1"/>
  <c r="C42" i="20"/>
  <c r="C43" i="20" s="1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G30" i="20"/>
  <c r="AG2" i="20" s="1"/>
  <c r="AG6" i="20" s="1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E5" i="20"/>
  <c r="AA5" i="20"/>
  <c r="Z5" i="20"/>
  <c r="X5" i="20"/>
  <c r="R5" i="20"/>
  <c r="Q5" i="20"/>
  <c r="P5" i="20"/>
  <c r="M5" i="20"/>
  <c r="B5" i="20"/>
  <c r="AG4" i="20"/>
  <c r="K4" i="20"/>
  <c r="C4" i="20"/>
  <c r="D190" i="20" s="1"/>
  <c r="AF84" i="19"/>
  <c r="AE84" i="19"/>
  <c r="AD84" i="19"/>
  <c r="AA30" i="19"/>
  <c r="P84" i="19"/>
  <c r="H171" i="23"/>
  <c r="I89" i="23"/>
  <c r="J94" i="23"/>
  <c r="I82" i="23"/>
  <c r="F178" i="23"/>
  <c r="E214" i="23"/>
  <c r="D43" i="23"/>
  <c r="D65" i="23" s="1"/>
  <c r="C65" i="23"/>
  <c r="E179" i="23"/>
  <c r="E42" i="23" s="1"/>
  <c r="E43" i="23" s="1"/>
  <c r="E65" i="23" s="1"/>
  <c r="F173" i="23"/>
  <c r="H178" i="22"/>
  <c r="G214" i="22"/>
  <c r="F179" i="22"/>
  <c r="F42" i="22" s="1"/>
  <c r="G173" i="22"/>
  <c r="C65" i="22"/>
  <c r="E171" i="22"/>
  <c r="F89" i="22"/>
  <c r="W193" i="22"/>
  <c r="E7" i="22"/>
  <c r="F110" i="22"/>
  <c r="E82" i="22"/>
  <c r="I94" i="22"/>
  <c r="AA71" i="20"/>
  <c r="AE71" i="20"/>
  <c r="C65" i="21"/>
  <c r="E179" i="21"/>
  <c r="E42" i="21" s="1"/>
  <c r="F173" i="21"/>
  <c r="J94" i="21"/>
  <c r="I82" i="21"/>
  <c r="E214" i="21"/>
  <c r="F178" i="21"/>
  <c r="D43" i="21"/>
  <c r="D65" i="21" s="1"/>
  <c r="E171" i="21"/>
  <c r="F89" i="21"/>
  <c r="AD71" i="20"/>
  <c r="AF71" i="20"/>
  <c r="AB71" i="20"/>
  <c r="AC71" i="20"/>
  <c r="Y71" i="20"/>
  <c r="X71" i="20"/>
  <c r="V71" i="20"/>
  <c r="U71" i="20"/>
  <c r="S71" i="20"/>
  <c r="R71" i="20"/>
  <c r="Q71" i="20"/>
  <c r="P71" i="20"/>
  <c r="N71" i="20"/>
  <c r="M71" i="20"/>
  <c r="L71" i="20"/>
  <c r="K71" i="20"/>
  <c r="J71" i="20"/>
  <c r="I71" i="20"/>
  <c r="H71" i="20"/>
  <c r="E71" i="20"/>
  <c r="AH69" i="20"/>
  <c r="AI69" i="20"/>
  <c r="AI47" i="20"/>
  <c r="F71" i="20"/>
  <c r="AI67" i="20"/>
  <c r="D71" i="20"/>
  <c r="B65" i="20"/>
  <c r="C71" i="20"/>
  <c r="AI59" i="20"/>
  <c r="AH80" i="20"/>
  <c r="AI30" i="20"/>
  <c r="C65" i="20"/>
  <c r="U193" i="20" s="1"/>
  <c r="B71" i="20"/>
  <c r="AG65" i="20"/>
  <c r="AH66" i="20"/>
  <c r="D171" i="20"/>
  <c r="E89" i="20"/>
  <c r="E82" i="20"/>
  <c r="AI66" i="20"/>
  <c r="AI68" i="20"/>
  <c r="F82" i="20"/>
  <c r="G94" i="20"/>
  <c r="AH30" i="20"/>
  <c r="AI80" i="20"/>
  <c r="AH47" i="20"/>
  <c r="AH59" i="20"/>
  <c r="AH63" i="20"/>
  <c r="AH67" i="20"/>
  <c r="AH68" i="20"/>
  <c r="C171" i="20"/>
  <c r="D214" i="20"/>
  <c r="E178" i="20"/>
  <c r="D173" i="20"/>
  <c r="AF218" i="19"/>
  <c r="AE218" i="19"/>
  <c r="AD218" i="19"/>
  <c r="AC218" i="19"/>
  <c r="AB218" i="19"/>
  <c r="AA218" i="19"/>
  <c r="Z218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A218" i="19"/>
  <c r="AF217" i="19"/>
  <c r="AE217" i="19"/>
  <c r="AD217" i="19"/>
  <c r="AC217" i="19"/>
  <c r="AB217" i="19"/>
  <c r="AA217" i="19"/>
  <c r="Z217" i="19"/>
  <c r="Y217" i="19"/>
  <c r="X217" i="19"/>
  <c r="W217" i="19"/>
  <c r="V217" i="19"/>
  <c r="U217" i="19"/>
  <c r="T217" i="19"/>
  <c r="S217" i="19"/>
  <c r="R217" i="19"/>
  <c r="Q217" i="19"/>
  <c r="P217" i="19"/>
  <c r="O217" i="19"/>
  <c r="N217" i="19"/>
  <c r="M217" i="19"/>
  <c r="L217" i="19"/>
  <c r="K217" i="19"/>
  <c r="J217" i="19"/>
  <c r="I217" i="19"/>
  <c r="H217" i="19"/>
  <c r="G217" i="19"/>
  <c r="F217" i="19"/>
  <c r="E217" i="19"/>
  <c r="D217" i="19"/>
  <c r="C217" i="19"/>
  <c r="B217" i="19"/>
  <c r="A217" i="19"/>
  <c r="AF216" i="19"/>
  <c r="AE216" i="19"/>
  <c r="AD216" i="19"/>
  <c r="AC216" i="19"/>
  <c r="AB216" i="19"/>
  <c r="AA216" i="19"/>
  <c r="Z216" i="19"/>
  <c r="Y216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C216" i="19"/>
  <c r="B216" i="19"/>
  <c r="A216" i="19"/>
  <c r="AF215" i="19"/>
  <c r="AE215" i="19"/>
  <c r="AD215" i="19"/>
  <c r="AC215" i="19"/>
  <c r="AB215" i="19"/>
  <c r="AA215" i="19"/>
  <c r="Z215" i="19"/>
  <c r="Y215" i="19"/>
  <c r="X215" i="19"/>
  <c r="W215" i="19"/>
  <c r="V215" i="19"/>
  <c r="U215" i="19"/>
  <c r="T215" i="19"/>
  <c r="S215" i="19"/>
  <c r="R215" i="19"/>
  <c r="Q215" i="19"/>
  <c r="P215" i="19"/>
  <c r="O215" i="19"/>
  <c r="N215" i="19"/>
  <c r="M215" i="19"/>
  <c r="L215" i="19"/>
  <c r="K215" i="19"/>
  <c r="J215" i="19"/>
  <c r="I215" i="19"/>
  <c r="H215" i="19"/>
  <c r="G215" i="19"/>
  <c r="F215" i="19"/>
  <c r="E215" i="19"/>
  <c r="D215" i="19"/>
  <c r="C215" i="19"/>
  <c r="B215" i="19"/>
  <c r="A215" i="19"/>
  <c r="B214" i="19"/>
  <c r="S189" i="19"/>
  <c r="AG179" i="19"/>
  <c r="B179" i="19"/>
  <c r="C178" i="19"/>
  <c r="F177" i="19"/>
  <c r="G177" i="19" s="1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C177" i="19"/>
  <c r="D177" i="19" s="1"/>
  <c r="E177" i="19" s="1"/>
  <c r="D176" i="19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C176" i="19"/>
  <c r="O175" i="19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E175" i="19"/>
  <c r="F175" i="19" s="1"/>
  <c r="G175" i="19" s="1"/>
  <c r="H175" i="19" s="1"/>
  <c r="I175" i="19" s="1"/>
  <c r="J175" i="19" s="1"/>
  <c r="K175" i="19" s="1"/>
  <c r="L175" i="19" s="1"/>
  <c r="M175" i="19" s="1"/>
  <c r="N175" i="19" s="1"/>
  <c r="D175" i="19"/>
  <c r="C175" i="19"/>
  <c r="E174" i="19"/>
  <c r="F174" i="19" s="1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C174" i="19"/>
  <c r="D174" i="19" s="1"/>
  <c r="C173" i="19"/>
  <c r="AG171" i="19"/>
  <c r="B171" i="19"/>
  <c r="T170" i="19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R170" i="19"/>
  <c r="S170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C170" i="19"/>
  <c r="C169" i="19"/>
  <c r="D169" i="19" s="1"/>
  <c r="E169" i="19" s="1"/>
  <c r="F169" i="19" s="1"/>
  <c r="G169" i="19" s="1"/>
  <c r="H169" i="19" s="1"/>
  <c r="I169" i="19" s="1"/>
  <c r="J169" i="19" s="1"/>
  <c r="K169" i="19" s="1"/>
  <c r="L169" i="19" s="1"/>
  <c r="M169" i="19" s="1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C168" i="19"/>
  <c r="D168" i="19" s="1"/>
  <c r="E168" i="19" s="1"/>
  <c r="F168" i="19" s="1"/>
  <c r="G168" i="19" s="1"/>
  <c r="H168" i="19" s="1"/>
  <c r="I168" i="19" s="1"/>
  <c r="J168" i="19" s="1"/>
  <c r="K168" i="19" s="1"/>
  <c r="L168" i="19" s="1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C167" i="19"/>
  <c r="D167" i="19" s="1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C166" i="19"/>
  <c r="D166" i="19" s="1"/>
  <c r="E166" i="19" s="1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G165" i="19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E165" i="19"/>
  <c r="F165" i="19" s="1"/>
  <c r="C165" i="19"/>
  <c r="D165" i="19" s="1"/>
  <c r="AB164" i="19"/>
  <c r="AC164" i="19" s="1"/>
  <c r="AD164" i="19" s="1"/>
  <c r="AE164" i="19" s="1"/>
  <c r="AF164" i="19" s="1"/>
  <c r="D164" i="19"/>
  <c r="E164" i="19" s="1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C164" i="19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C163" i="19"/>
  <c r="L162" i="19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C162" i="19"/>
  <c r="D162" i="19" s="1"/>
  <c r="E162" i="19" s="1"/>
  <c r="F162" i="19" s="1"/>
  <c r="G162" i="19" s="1"/>
  <c r="H162" i="19" s="1"/>
  <c r="I162" i="19" s="1"/>
  <c r="J162" i="19" s="1"/>
  <c r="K162" i="19" s="1"/>
  <c r="H161" i="19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E161" i="19"/>
  <c r="F161" i="19" s="1"/>
  <c r="G161" i="19" s="1"/>
  <c r="C161" i="19"/>
  <c r="D161" i="19" s="1"/>
  <c r="K160" i="19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G160" i="19"/>
  <c r="H160" i="19" s="1"/>
  <c r="I160" i="19" s="1"/>
  <c r="J160" i="19" s="1"/>
  <c r="D160" i="19"/>
  <c r="E160" i="19" s="1"/>
  <c r="F160" i="19" s="1"/>
  <c r="C160" i="19"/>
  <c r="L159" i="19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J159" i="19"/>
  <c r="K159" i="19" s="1"/>
  <c r="C159" i="19"/>
  <c r="D159" i="19" s="1"/>
  <c r="E159" i="19" s="1"/>
  <c r="F159" i="19" s="1"/>
  <c r="G159" i="19" s="1"/>
  <c r="H159" i="19" s="1"/>
  <c r="I159" i="19" s="1"/>
  <c r="E158" i="19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D158" i="19"/>
  <c r="C158" i="19"/>
  <c r="K157" i="19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C157" i="19"/>
  <c r="D157" i="19" s="1"/>
  <c r="E157" i="19" s="1"/>
  <c r="F157" i="19" s="1"/>
  <c r="G157" i="19" s="1"/>
  <c r="H157" i="19" s="1"/>
  <c r="I157" i="19" s="1"/>
  <c r="J157" i="19" s="1"/>
  <c r="K156" i="19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I156" i="19"/>
  <c r="J156" i="19" s="1"/>
  <c r="C156" i="19"/>
  <c r="D156" i="19" s="1"/>
  <c r="E156" i="19" s="1"/>
  <c r="F156" i="19" s="1"/>
  <c r="G156" i="19" s="1"/>
  <c r="H156" i="19" s="1"/>
  <c r="G155" i="19"/>
  <c r="H155" i="19" s="1"/>
  <c r="I155" i="19" s="1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D155" i="19"/>
  <c r="E155" i="19" s="1"/>
  <c r="F155" i="19" s="1"/>
  <c r="C155" i="19"/>
  <c r="D154" i="19"/>
  <c r="E154" i="19" s="1"/>
  <c r="F154" i="19" s="1"/>
  <c r="G154" i="19" s="1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C154" i="19"/>
  <c r="Z153" i="19"/>
  <c r="AA153" i="19" s="1"/>
  <c r="AB153" i="19" s="1"/>
  <c r="AC153" i="19" s="1"/>
  <c r="AD153" i="19" s="1"/>
  <c r="AE153" i="19" s="1"/>
  <c r="AF153" i="19" s="1"/>
  <c r="C153" i="19"/>
  <c r="D153" i="19" s="1"/>
  <c r="E153" i="19" s="1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N152" i="19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H152" i="19"/>
  <c r="I152" i="19" s="1"/>
  <c r="J152" i="19" s="1"/>
  <c r="K152" i="19" s="1"/>
  <c r="L152" i="19" s="1"/>
  <c r="M152" i="19" s="1"/>
  <c r="C152" i="19"/>
  <c r="D152" i="19" s="1"/>
  <c r="E152" i="19" s="1"/>
  <c r="F152" i="19" s="1"/>
  <c r="G152" i="19" s="1"/>
  <c r="L151" i="19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I151" i="19"/>
  <c r="J151" i="19" s="1"/>
  <c r="K151" i="19" s="1"/>
  <c r="D151" i="19"/>
  <c r="E151" i="19" s="1"/>
  <c r="F151" i="19" s="1"/>
  <c r="G151" i="19" s="1"/>
  <c r="H151" i="19" s="1"/>
  <c r="C151" i="19"/>
  <c r="D150" i="19"/>
  <c r="E150" i="19" s="1"/>
  <c r="F150" i="19" s="1"/>
  <c r="G150" i="19" s="1"/>
  <c r="H150" i="19" s="1"/>
  <c r="I150" i="19" s="1"/>
  <c r="J150" i="19" s="1"/>
  <c r="K150" i="19" s="1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C150" i="19"/>
  <c r="D149" i="19"/>
  <c r="E149" i="19" s="1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AE149" i="19" s="1"/>
  <c r="AF149" i="19" s="1"/>
  <c r="C149" i="19"/>
  <c r="E148" i="19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C148" i="19"/>
  <c r="D148" i="19" s="1"/>
  <c r="L147" i="19"/>
  <c r="M147" i="19" s="1"/>
  <c r="N147" i="19" s="1"/>
  <c r="O147" i="19" s="1"/>
  <c r="P147" i="19" s="1"/>
  <c r="Q147" i="19" s="1"/>
  <c r="R147" i="19" s="1"/>
  <c r="S147" i="19" s="1"/>
  <c r="T147" i="19" s="1"/>
  <c r="U147" i="19" s="1"/>
  <c r="V147" i="19" s="1"/>
  <c r="W147" i="19" s="1"/>
  <c r="X147" i="19" s="1"/>
  <c r="Y147" i="19" s="1"/>
  <c r="Z147" i="19" s="1"/>
  <c r="AA147" i="19" s="1"/>
  <c r="AB147" i="19" s="1"/>
  <c r="AC147" i="19" s="1"/>
  <c r="AD147" i="19" s="1"/>
  <c r="AE147" i="19" s="1"/>
  <c r="AF147" i="19" s="1"/>
  <c r="C147" i="19"/>
  <c r="D147" i="19" s="1"/>
  <c r="E147" i="19" s="1"/>
  <c r="F147" i="19" s="1"/>
  <c r="G147" i="19" s="1"/>
  <c r="H147" i="19" s="1"/>
  <c r="I147" i="19" s="1"/>
  <c r="J147" i="19" s="1"/>
  <c r="K147" i="19" s="1"/>
  <c r="T146" i="19"/>
  <c r="U146" i="19" s="1"/>
  <c r="V146" i="19" s="1"/>
  <c r="W146" i="19" s="1"/>
  <c r="X146" i="19" s="1"/>
  <c r="Y146" i="19" s="1"/>
  <c r="Z146" i="19" s="1"/>
  <c r="AA146" i="19" s="1"/>
  <c r="AB146" i="19" s="1"/>
  <c r="AC146" i="19" s="1"/>
  <c r="AD146" i="19" s="1"/>
  <c r="AE146" i="19" s="1"/>
  <c r="AF146" i="19" s="1"/>
  <c r="I146" i="19"/>
  <c r="J146" i="19" s="1"/>
  <c r="K146" i="19" s="1"/>
  <c r="L146" i="19" s="1"/>
  <c r="M146" i="19" s="1"/>
  <c r="N146" i="19" s="1"/>
  <c r="O146" i="19" s="1"/>
  <c r="P146" i="19" s="1"/>
  <c r="Q146" i="19" s="1"/>
  <c r="R146" i="19" s="1"/>
  <c r="S146" i="19" s="1"/>
  <c r="D146" i="19"/>
  <c r="E146" i="19" s="1"/>
  <c r="F146" i="19" s="1"/>
  <c r="G146" i="19" s="1"/>
  <c r="H146" i="19" s="1"/>
  <c r="C146" i="19"/>
  <c r="J145" i="19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G145" i="19"/>
  <c r="H145" i="19" s="1"/>
  <c r="I145" i="19" s="1"/>
  <c r="C145" i="19"/>
  <c r="D145" i="19" s="1"/>
  <c r="E145" i="19" s="1"/>
  <c r="F145" i="19" s="1"/>
  <c r="H144" i="19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F144" i="19"/>
  <c r="G144" i="19" s="1"/>
  <c r="E144" i="19"/>
  <c r="C144" i="19"/>
  <c r="D144" i="19" s="1"/>
  <c r="S143" i="19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C143" i="19"/>
  <c r="D143" i="19" s="1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J142" i="19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D142" i="19"/>
  <c r="E142" i="19" s="1"/>
  <c r="F142" i="19" s="1"/>
  <c r="G142" i="19" s="1"/>
  <c r="H142" i="19" s="1"/>
  <c r="I142" i="19" s="1"/>
  <c r="C142" i="19"/>
  <c r="G141" i="19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D141" i="19"/>
  <c r="E141" i="19" s="1"/>
  <c r="F141" i="19" s="1"/>
  <c r="C141" i="19"/>
  <c r="X140" i="19"/>
  <c r="Y140" i="19" s="1"/>
  <c r="Z140" i="19" s="1"/>
  <c r="AA140" i="19" s="1"/>
  <c r="AB140" i="19" s="1"/>
  <c r="AC140" i="19" s="1"/>
  <c r="AD140" i="19" s="1"/>
  <c r="AE140" i="19" s="1"/>
  <c r="AF140" i="19" s="1"/>
  <c r="V140" i="19"/>
  <c r="W140" i="19" s="1"/>
  <c r="H140" i="19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F140" i="19"/>
  <c r="G140" i="19" s="1"/>
  <c r="E140" i="19"/>
  <c r="C140" i="19"/>
  <c r="D140" i="19" s="1"/>
  <c r="O139" i="19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C139" i="19"/>
  <c r="D139" i="19" s="1"/>
  <c r="E139" i="19" s="1"/>
  <c r="F139" i="19" s="1"/>
  <c r="G139" i="19" s="1"/>
  <c r="H139" i="19" s="1"/>
  <c r="I139" i="19" s="1"/>
  <c r="J139" i="19" s="1"/>
  <c r="K139" i="19" s="1"/>
  <c r="L139" i="19" s="1"/>
  <c r="M139" i="19" s="1"/>
  <c r="N139" i="19" s="1"/>
  <c r="E138" i="19"/>
  <c r="F138" i="19" s="1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D138" i="19"/>
  <c r="C138" i="19"/>
  <c r="C137" i="19"/>
  <c r="D137" i="19" s="1"/>
  <c r="E137" i="19" s="1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C136" i="19"/>
  <c r="D136" i="19" s="1"/>
  <c r="E136" i="19" s="1"/>
  <c r="F136" i="19" s="1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F135" i="19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D135" i="19"/>
  <c r="E135" i="19" s="1"/>
  <c r="C135" i="19"/>
  <c r="E134" i="19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D134" i="19"/>
  <c r="C134" i="19"/>
  <c r="S133" i="19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K133" i="19"/>
  <c r="L133" i="19" s="1"/>
  <c r="M133" i="19" s="1"/>
  <c r="N133" i="19" s="1"/>
  <c r="O133" i="19" s="1"/>
  <c r="P133" i="19" s="1"/>
  <c r="Q133" i="19" s="1"/>
  <c r="R133" i="19" s="1"/>
  <c r="C133" i="19"/>
  <c r="D133" i="19" s="1"/>
  <c r="E133" i="19" s="1"/>
  <c r="F133" i="19" s="1"/>
  <c r="G133" i="19" s="1"/>
  <c r="H133" i="19" s="1"/>
  <c r="I133" i="19" s="1"/>
  <c r="J133" i="19" s="1"/>
  <c r="C132" i="19"/>
  <c r="D132" i="19" s="1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I131" i="19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D131" i="19"/>
  <c r="E131" i="19" s="1"/>
  <c r="F131" i="19" s="1"/>
  <c r="G131" i="19" s="1"/>
  <c r="H131" i="19" s="1"/>
  <c r="C131" i="19"/>
  <c r="G130" i="19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C130" i="19"/>
  <c r="D130" i="19" s="1"/>
  <c r="E130" i="19" s="1"/>
  <c r="F130" i="19" s="1"/>
  <c r="F129" i="19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E129" i="19"/>
  <c r="C129" i="19"/>
  <c r="D129" i="19" s="1"/>
  <c r="E128" i="19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D128" i="19"/>
  <c r="C128" i="19"/>
  <c r="C127" i="19"/>
  <c r="D127" i="19" s="1"/>
  <c r="E127" i="19" s="1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I126" i="19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H126" i="19"/>
  <c r="G126" i="19"/>
  <c r="C126" i="19"/>
  <c r="D126" i="19" s="1"/>
  <c r="E126" i="19" s="1"/>
  <c r="F126" i="19" s="1"/>
  <c r="H125" i="19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G125" i="19"/>
  <c r="C125" i="19"/>
  <c r="D125" i="19" s="1"/>
  <c r="E125" i="19" s="1"/>
  <c r="F125" i="19" s="1"/>
  <c r="E124" i="19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D124" i="19"/>
  <c r="C124" i="19"/>
  <c r="J123" i="19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C123" i="19"/>
  <c r="D123" i="19" s="1"/>
  <c r="E123" i="19" s="1"/>
  <c r="F123" i="19" s="1"/>
  <c r="G123" i="19" s="1"/>
  <c r="H123" i="19" s="1"/>
  <c r="I123" i="19" s="1"/>
  <c r="G122" i="19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E122" i="19"/>
  <c r="F122" i="19" s="1"/>
  <c r="C122" i="19"/>
  <c r="D122" i="19" s="1"/>
  <c r="C121" i="19"/>
  <c r="D121" i="19" s="1"/>
  <c r="E121" i="19" s="1"/>
  <c r="F121" i="19" s="1"/>
  <c r="G121" i="19" s="1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F120" i="19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D120" i="19"/>
  <c r="E120" i="19" s="1"/>
  <c r="C120" i="19"/>
  <c r="D119" i="19"/>
  <c r="E119" i="19" s="1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C119" i="19"/>
  <c r="E118" i="19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D118" i="19"/>
  <c r="C118" i="19"/>
  <c r="C117" i="19"/>
  <c r="D117" i="19" s="1"/>
  <c r="E117" i="19" s="1"/>
  <c r="F117" i="19" s="1"/>
  <c r="G117" i="19" s="1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C116" i="19"/>
  <c r="D115" i="19"/>
  <c r="E115" i="19" s="1"/>
  <c r="F115" i="19" s="1"/>
  <c r="G115" i="19" s="1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C115" i="19"/>
  <c r="F114" i="19"/>
  <c r="G114" i="19" s="1"/>
  <c r="H114" i="19" s="1"/>
  <c r="I114" i="19" s="1"/>
  <c r="J114" i="19" s="1"/>
  <c r="K114" i="19" s="1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E114" i="19"/>
  <c r="D114" i="19"/>
  <c r="C114" i="19"/>
  <c r="H113" i="19"/>
  <c r="I113" i="19" s="1"/>
  <c r="J113" i="19" s="1"/>
  <c r="K113" i="19" s="1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C113" i="19"/>
  <c r="D113" i="19" s="1"/>
  <c r="E113" i="19" s="1"/>
  <c r="F113" i="19" s="1"/>
  <c r="G113" i="19" s="1"/>
  <c r="I112" i="19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F112" i="19"/>
  <c r="G112" i="19" s="1"/>
  <c r="H112" i="19" s="1"/>
  <c r="D112" i="19"/>
  <c r="E112" i="19" s="1"/>
  <c r="C112" i="19"/>
  <c r="H111" i="19"/>
  <c r="I111" i="19" s="1"/>
  <c r="J111" i="19" s="1"/>
  <c r="K111" i="19" s="1"/>
  <c r="L111" i="19" s="1"/>
  <c r="M111" i="19" s="1"/>
  <c r="N111" i="19" s="1"/>
  <c r="O111" i="19" s="1"/>
  <c r="P111" i="19" s="1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D111" i="19"/>
  <c r="E111" i="19" s="1"/>
  <c r="F111" i="19" s="1"/>
  <c r="G111" i="19" s="1"/>
  <c r="C111" i="19"/>
  <c r="U110" i="19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E110" i="19"/>
  <c r="F110" i="19" s="1"/>
  <c r="G110" i="19" s="1"/>
  <c r="H110" i="19" s="1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D110" i="19"/>
  <c r="C110" i="19"/>
  <c r="F109" i="19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C109" i="19"/>
  <c r="D109" i="19" s="1"/>
  <c r="E109" i="19" s="1"/>
  <c r="D108" i="19"/>
  <c r="E108" i="19" s="1"/>
  <c r="F108" i="19" s="1"/>
  <c r="G108" i="19" s="1"/>
  <c r="H108" i="19" s="1"/>
  <c r="I108" i="19" s="1"/>
  <c r="J108" i="19" s="1"/>
  <c r="K108" i="19" s="1"/>
  <c r="L108" i="19" s="1"/>
  <c r="M108" i="19" s="1"/>
  <c r="N108" i="19" s="1"/>
  <c r="O108" i="19" s="1"/>
  <c r="P108" i="19" s="1"/>
  <c r="Q108" i="19" s="1"/>
  <c r="R108" i="19" s="1"/>
  <c r="S108" i="19" s="1"/>
  <c r="T108" i="19" s="1"/>
  <c r="U108" i="19" s="1"/>
  <c r="V108" i="19" s="1"/>
  <c r="W108" i="19" s="1"/>
  <c r="X108" i="19" s="1"/>
  <c r="Y108" i="19" s="1"/>
  <c r="Z108" i="19" s="1"/>
  <c r="AA108" i="19" s="1"/>
  <c r="AB108" i="19" s="1"/>
  <c r="AC108" i="19" s="1"/>
  <c r="AD108" i="19" s="1"/>
  <c r="AE108" i="19" s="1"/>
  <c r="AF108" i="19" s="1"/>
  <c r="C108" i="19"/>
  <c r="D107" i="19"/>
  <c r="E107" i="19" s="1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C107" i="19"/>
  <c r="U106" i="19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E106" i="19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D106" i="19"/>
  <c r="C106" i="19"/>
  <c r="C105" i="19"/>
  <c r="D105" i="19" s="1"/>
  <c r="E105" i="19" s="1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E104" i="19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D104" i="19"/>
  <c r="C104" i="19"/>
  <c r="D103" i="19"/>
  <c r="E103" i="19" s="1"/>
  <c r="F103" i="19" s="1"/>
  <c r="G103" i="19" s="1"/>
  <c r="H103" i="19" s="1"/>
  <c r="I103" i="19" s="1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C103" i="19"/>
  <c r="D102" i="19"/>
  <c r="E102" i="19" s="1"/>
  <c r="F102" i="19" s="1"/>
  <c r="G102" i="19" s="1"/>
  <c r="H102" i="19" s="1"/>
  <c r="I102" i="19" s="1"/>
  <c r="J102" i="19" s="1"/>
  <c r="K102" i="19" s="1"/>
  <c r="L102" i="19" s="1"/>
  <c r="M102" i="19" s="1"/>
  <c r="N102" i="19" s="1"/>
  <c r="O102" i="19" s="1"/>
  <c r="P102" i="19" s="1"/>
  <c r="Q102" i="19" s="1"/>
  <c r="R102" i="19" s="1"/>
  <c r="S102" i="19" s="1"/>
  <c r="T102" i="19" s="1"/>
  <c r="U102" i="19" s="1"/>
  <c r="V102" i="19" s="1"/>
  <c r="W102" i="19" s="1"/>
  <c r="X102" i="19" s="1"/>
  <c r="Y102" i="19" s="1"/>
  <c r="Z102" i="19" s="1"/>
  <c r="AA102" i="19" s="1"/>
  <c r="AB102" i="19" s="1"/>
  <c r="AC102" i="19" s="1"/>
  <c r="AD102" i="19" s="1"/>
  <c r="AE102" i="19" s="1"/>
  <c r="AF102" i="19" s="1"/>
  <c r="C102" i="19"/>
  <c r="C101" i="19"/>
  <c r="D101" i="19" s="1"/>
  <c r="E101" i="19" s="1"/>
  <c r="F101" i="19" s="1"/>
  <c r="G101" i="19" s="1"/>
  <c r="H101" i="19" s="1"/>
  <c r="I101" i="19" s="1"/>
  <c r="J101" i="19" s="1"/>
  <c r="K101" i="19" s="1"/>
  <c r="L101" i="19" s="1"/>
  <c r="M101" i="19" s="1"/>
  <c r="N101" i="19" s="1"/>
  <c r="O101" i="19" s="1"/>
  <c r="P101" i="19" s="1"/>
  <c r="Q101" i="19" s="1"/>
  <c r="R101" i="19" s="1"/>
  <c r="S101" i="19" s="1"/>
  <c r="T101" i="19" s="1"/>
  <c r="U101" i="19" s="1"/>
  <c r="V101" i="19" s="1"/>
  <c r="W101" i="19" s="1"/>
  <c r="X101" i="19" s="1"/>
  <c r="Y101" i="19" s="1"/>
  <c r="Z101" i="19" s="1"/>
  <c r="AA101" i="19" s="1"/>
  <c r="AB101" i="19" s="1"/>
  <c r="AC101" i="19" s="1"/>
  <c r="AD101" i="19" s="1"/>
  <c r="AE101" i="19" s="1"/>
  <c r="AF101" i="19" s="1"/>
  <c r="D100" i="19"/>
  <c r="E100" i="19" s="1"/>
  <c r="F100" i="19" s="1"/>
  <c r="G100" i="19" s="1"/>
  <c r="H100" i="19" s="1"/>
  <c r="I100" i="19" s="1"/>
  <c r="J100" i="19" s="1"/>
  <c r="K100" i="19" s="1"/>
  <c r="L100" i="19" s="1"/>
  <c r="M100" i="19" s="1"/>
  <c r="N100" i="19" s="1"/>
  <c r="O100" i="19" s="1"/>
  <c r="P100" i="19" s="1"/>
  <c r="Q100" i="19" s="1"/>
  <c r="R100" i="19" s="1"/>
  <c r="S100" i="19" s="1"/>
  <c r="T100" i="19" s="1"/>
  <c r="U100" i="19" s="1"/>
  <c r="V100" i="19" s="1"/>
  <c r="W100" i="19" s="1"/>
  <c r="X100" i="19" s="1"/>
  <c r="Y100" i="19" s="1"/>
  <c r="Z100" i="19" s="1"/>
  <c r="AA100" i="19" s="1"/>
  <c r="AB100" i="19" s="1"/>
  <c r="AC100" i="19" s="1"/>
  <c r="AD100" i="19" s="1"/>
  <c r="AE100" i="19" s="1"/>
  <c r="AF100" i="19" s="1"/>
  <c r="C100" i="19"/>
  <c r="N99" i="19"/>
  <c r="O99" i="19" s="1"/>
  <c r="P99" i="19" s="1"/>
  <c r="Q99" i="19" s="1"/>
  <c r="R99" i="19" s="1"/>
  <c r="S99" i="19" s="1"/>
  <c r="T99" i="19" s="1"/>
  <c r="U99" i="19" s="1"/>
  <c r="V99" i="19" s="1"/>
  <c r="W99" i="19" s="1"/>
  <c r="X99" i="19" s="1"/>
  <c r="Y99" i="19" s="1"/>
  <c r="Z99" i="19" s="1"/>
  <c r="AA99" i="19" s="1"/>
  <c r="AB99" i="19" s="1"/>
  <c r="AC99" i="19" s="1"/>
  <c r="AD99" i="19" s="1"/>
  <c r="AE99" i="19" s="1"/>
  <c r="AF99" i="19" s="1"/>
  <c r="J99" i="19"/>
  <c r="K99" i="19" s="1"/>
  <c r="L99" i="19" s="1"/>
  <c r="M99" i="19" s="1"/>
  <c r="C99" i="19"/>
  <c r="D99" i="19" s="1"/>
  <c r="E99" i="19" s="1"/>
  <c r="F99" i="19" s="1"/>
  <c r="G99" i="19" s="1"/>
  <c r="H99" i="19" s="1"/>
  <c r="E98" i="19"/>
  <c r="F98" i="19" s="1"/>
  <c r="G98" i="19" s="1"/>
  <c r="H98" i="19" s="1"/>
  <c r="I98" i="19" s="1"/>
  <c r="J98" i="19" s="1"/>
  <c r="K98" i="19" s="1"/>
  <c r="L98" i="19" s="1"/>
  <c r="M98" i="19" s="1"/>
  <c r="N98" i="19" s="1"/>
  <c r="O98" i="19" s="1"/>
  <c r="P98" i="19" s="1"/>
  <c r="Q98" i="19" s="1"/>
  <c r="R98" i="19" s="1"/>
  <c r="S98" i="19" s="1"/>
  <c r="T98" i="19" s="1"/>
  <c r="U98" i="19" s="1"/>
  <c r="V98" i="19" s="1"/>
  <c r="W98" i="19" s="1"/>
  <c r="X98" i="19" s="1"/>
  <c r="Y98" i="19" s="1"/>
  <c r="Z98" i="19" s="1"/>
  <c r="AA98" i="19" s="1"/>
  <c r="AB98" i="19" s="1"/>
  <c r="AC98" i="19" s="1"/>
  <c r="AD98" i="19" s="1"/>
  <c r="AE98" i="19" s="1"/>
  <c r="AF98" i="19" s="1"/>
  <c r="D98" i="19"/>
  <c r="C98" i="19"/>
  <c r="I97" i="19"/>
  <c r="J97" i="19" s="1"/>
  <c r="K97" i="19" s="1"/>
  <c r="L97" i="19" s="1"/>
  <c r="M97" i="19" s="1"/>
  <c r="N97" i="19" s="1"/>
  <c r="O97" i="19" s="1"/>
  <c r="P97" i="19" s="1"/>
  <c r="Q97" i="19" s="1"/>
  <c r="R97" i="19" s="1"/>
  <c r="S97" i="19" s="1"/>
  <c r="T97" i="19" s="1"/>
  <c r="U97" i="19" s="1"/>
  <c r="V97" i="19" s="1"/>
  <c r="W97" i="19" s="1"/>
  <c r="X97" i="19" s="1"/>
  <c r="Y97" i="19" s="1"/>
  <c r="Z97" i="19" s="1"/>
  <c r="AA97" i="19" s="1"/>
  <c r="AB97" i="19" s="1"/>
  <c r="AC97" i="19" s="1"/>
  <c r="AD97" i="19" s="1"/>
  <c r="AE97" i="19" s="1"/>
  <c r="AF97" i="19" s="1"/>
  <c r="C97" i="19"/>
  <c r="D97" i="19" s="1"/>
  <c r="E97" i="19" s="1"/>
  <c r="F97" i="19" s="1"/>
  <c r="G97" i="19" s="1"/>
  <c r="H97" i="19" s="1"/>
  <c r="C96" i="19"/>
  <c r="D96" i="19" s="1"/>
  <c r="E96" i="19" s="1"/>
  <c r="F96" i="19" s="1"/>
  <c r="G96" i="19" s="1"/>
  <c r="H96" i="19" s="1"/>
  <c r="I96" i="19" s="1"/>
  <c r="J96" i="19" s="1"/>
  <c r="K96" i="19" s="1"/>
  <c r="L96" i="19" s="1"/>
  <c r="M96" i="19" s="1"/>
  <c r="N96" i="19" s="1"/>
  <c r="O96" i="19" s="1"/>
  <c r="P96" i="19" s="1"/>
  <c r="Q96" i="19" s="1"/>
  <c r="R96" i="19" s="1"/>
  <c r="S96" i="19" s="1"/>
  <c r="T96" i="19" s="1"/>
  <c r="U96" i="19" s="1"/>
  <c r="V96" i="19" s="1"/>
  <c r="W96" i="19" s="1"/>
  <c r="X96" i="19" s="1"/>
  <c r="Y96" i="19" s="1"/>
  <c r="Z96" i="19" s="1"/>
  <c r="AA96" i="19" s="1"/>
  <c r="AB96" i="19" s="1"/>
  <c r="AC96" i="19" s="1"/>
  <c r="AD96" i="19" s="1"/>
  <c r="AE96" i="19" s="1"/>
  <c r="AF96" i="19" s="1"/>
  <c r="E95" i="19"/>
  <c r="F95" i="19" s="1"/>
  <c r="G95" i="19" s="1"/>
  <c r="H95" i="19" s="1"/>
  <c r="I95" i="19" s="1"/>
  <c r="J95" i="19" s="1"/>
  <c r="K95" i="19" s="1"/>
  <c r="L95" i="19" s="1"/>
  <c r="M95" i="19" s="1"/>
  <c r="N95" i="19" s="1"/>
  <c r="O95" i="19" s="1"/>
  <c r="P95" i="19" s="1"/>
  <c r="Q95" i="19" s="1"/>
  <c r="R95" i="19" s="1"/>
  <c r="S95" i="19" s="1"/>
  <c r="T95" i="19" s="1"/>
  <c r="U95" i="19" s="1"/>
  <c r="V95" i="19" s="1"/>
  <c r="W95" i="19" s="1"/>
  <c r="X95" i="19" s="1"/>
  <c r="Y95" i="19" s="1"/>
  <c r="Z95" i="19" s="1"/>
  <c r="AA95" i="19" s="1"/>
  <c r="AB95" i="19" s="1"/>
  <c r="AC95" i="19" s="1"/>
  <c r="AD95" i="19" s="1"/>
  <c r="AE95" i="19" s="1"/>
  <c r="AF95" i="19" s="1"/>
  <c r="C95" i="19"/>
  <c r="D95" i="19" s="1"/>
  <c r="C94" i="19"/>
  <c r="D94" i="19" s="1"/>
  <c r="C93" i="19"/>
  <c r="D93" i="19" s="1"/>
  <c r="E93" i="19" s="1"/>
  <c r="F93" i="19" s="1"/>
  <c r="G93" i="19" s="1"/>
  <c r="H93" i="19" s="1"/>
  <c r="I93" i="19" s="1"/>
  <c r="J93" i="19" s="1"/>
  <c r="K93" i="19" s="1"/>
  <c r="L93" i="19" s="1"/>
  <c r="M93" i="19" s="1"/>
  <c r="N93" i="19" s="1"/>
  <c r="O93" i="19" s="1"/>
  <c r="P93" i="19" s="1"/>
  <c r="Q93" i="19" s="1"/>
  <c r="R93" i="19" s="1"/>
  <c r="S93" i="19" s="1"/>
  <c r="T93" i="19" s="1"/>
  <c r="U93" i="19" s="1"/>
  <c r="V93" i="19" s="1"/>
  <c r="W93" i="19" s="1"/>
  <c r="X93" i="19" s="1"/>
  <c r="Y93" i="19" s="1"/>
  <c r="Z93" i="19" s="1"/>
  <c r="AA93" i="19" s="1"/>
  <c r="AB93" i="19" s="1"/>
  <c r="AC93" i="19" s="1"/>
  <c r="AD93" i="19" s="1"/>
  <c r="AE93" i="19" s="1"/>
  <c r="AF93" i="19" s="1"/>
  <c r="D92" i="19"/>
  <c r="E92" i="19" s="1"/>
  <c r="F92" i="19" s="1"/>
  <c r="G92" i="19" s="1"/>
  <c r="H92" i="19" s="1"/>
  <c r="I92" i="19" s="1"/>
  <c r="J92" i="19" s="1"/>
  <c r="K92" i="19" s="1"/>
  <c r="L92" i="19" s="1"/>
  <c r="M92" i="19" s="1"/>
  <c r="N92" i="19" s="1"/>
  <c r="O92" i="19" s="1"/>
  <c r="P92" i="19" s="1"/>
  <c r="Q92" i="19" s="1"/>
  <c r="R92" i="19" s="1"/>
  <c r="S92" i="19" s="1"/>
  <c r="T92" i="19" s="1"/>
  <c r="U92" i="19" s="1"/>
  <c r="V92" i="19" s="1"/>
  <c r="W92" i="19" s="1"/>
  <c r="X92" i="19" s="1"/>
  <c r="Y92" i="19" s="1"/>
  <c r="Z92" i="19" s="1"/>
  <c r="AA92" i="19" s="1"/>
  <c r="AB92" i="19" s="1"/>
  <c r="AC92" i="19" s="1"/>
  <c r="AD92" i="19" s="1"/>
  <c r="AE92" i="19" s="1"/>
  <c r="AF92" i="19" s="1"/>
  <c r="C92" i="19"/>
  <c r="C91" i="19"/>
  <c r="D91" i="19" s="1"/>
  <c r="E91" i="19" s="1"/>
  <c r="F91" i="19" s="1"/>
  <c r="G91" i="19" s="1"/>
  <c r="H91" i="19" s="1"/>
  <c r="I91" i="19" s="1"/>
  <c r="J91" i="19" s="1"/>
  <c r="K91" i="19" s="1"/>
  <c r="L91" i="19" s="1"/>
  <c r="M91" i="19" s="1"/>
  <c r="N91" i="19" s="1"/>
  <c r="O91" i="19" s="1"/>
  <c r="P91" i="19" s="1"/>
  <c r="Q91" i="19" s="1"/>
  <c r="R91" i="19" s="1"/>
  <c r="S91" i="19" s="1"/>
  <c r="T91" i="19" s="1"/>
  <c r="U91" i="19" s="1"/>
  <c r="V91" i="19" s="1"/>
  <c r="W91" i="19" s="1"/>
  <c r="X91" i="19" s="1"/>
  <c r="Y91" i="19" s="1"/>
  <c r="Z91" i="19" s="1"/>
  <c r="AA91" i="19" s="1"/>
  <c r="AB91" i="19" s="1"/>
  <c r="AC91" i="19" s="1"/>
  <c r="AD91" i="19" s="1"/>
  <c r="AE91" i="19" s="1"/>
  <c r="AF91" i="19" s="1"/>
  <c r="C90" i="19"/>
  <c r="D90" i="19" s="1"/>
  <c r="E90" i="19" s="1"/>
  <c r="F90" i="19" s="1"/>
  <c r="G90" i="19" s="1"/>
  <c r="H90" i="19" s="1"/>
  <c r="I90" i="19" s="1"/>
  <c r="J90" i="19" s="1"/>
  <c r="K90" i="19" s="1"/>
  <c r="L90" i="19" s="1"/>
  <c r="M90" i="19" s="1"/>
  <c r="N90" i="19" s="1"/>
  <c r="O90" i="19" s="1"/>
  <c r="P90" i="19" s="1"/>
  <c r="Q90" i="19" s="1"/>
  <c r="R90" i="19" s="1"/>
  <c r="S90" i="19" s="1"/>
  <c r="T90" i="19" s="1"/>
  <c r="U90" i="19" s="1"/>
  <c r="V90" i="19" s="1"/>
  <c r="W90" i="19" s="1"/>
  <c r="X90" i="19" s="1"/>
  <c r="Y90" i="19" s="1"/>
  <c r="Z90" i="19" s="1"/>
  <c r="AA90" i="19" s="1"/>
  <c r="AB90" i="19" s="1"/>
  <c r="AC90" i="19" s="1"/>
  <c r="AD90" i="19" s="1"/>
  <c r="AE90" i="19" s="1"/>
  <c r="AF90" i="19" s="1"/>
  <c r="C89" i="19"/>
  <c r="AH86" i="19"/>
  <c r="AI86" i="19" s="1"/>
  <c r="AH85" i="19"/>
  <c r="AI85" i="19" s="1"/>
  <c r="AH84" i="19"/>
  <c r="AI84" i="19" s="1"/>
  <c r="AH83" i="19"/>
  <c r="AI83" i="19" s="1"/>
  <c r="C82" i="19"/>
  <c r="B82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I79" i="19"/>
  <c r="AH79" i="19"/>
  <c r="AI78" i="19"/>
  <c r="AH78" i="19"/>
  <c r="AI77" i="19"/>
  <c r="AH77" i="19"/>
  <c r="AI76" i="19"/>
  <c r="AH76" i="19"/>
  <c r="AI75" i="19"/>
  <c r="AH75" i="19"/>
  <c r="AI74" i="19"/>
  <c r="AH74" i="19"/>
  <c r="AI73" i="19"/>
  <c r="AH73" i="19"/>
  <c r="AI72" i="19"/>
  <c r="AH72" i="19"/>
  <c r="AG71" i="19"/>
  <c r="N71" i="19"/>
  <c r="AI70" i="19"/>
  <c r="AH70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B69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B68" i="19"/>
  <c r="AF67" i="19"/>
  <c r="AE67" i="19"/>
  <c r="AD67" i="19"/>
  <c r="AC67" i="19"/>
  <c r="AB67" i="19"/>
  <c r="AA67" i="19"/>
  <c r="Z67" i="19"/>
  <c r="Y67" i="19"/>
  <c r="X67" i="19"/>
  <c r="X71" i="19" s="1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F66" i="19"/>
  <c r="AE66" i="19"/>
  <c r="AD66" i="19"/>
  <c r="AD71" i="19" s="1"/>
  <c r="AC66" i="19"/>
  <c r="AB66" i="19"/>
  <c r="AB71" i="19" s="1"/>
  <c r="AA66" i="19"/>
  <c r="AA71" i="19" s="1"/>
  <c r="Z66" i="19"/>
  <c r="Z71" i="19" s="1"/>
  <c r="Y66" i="19"/>
  <c r="X66" i="19"/>
  <c r="W66" i="19"/>
  <c r="V66" i="19"/>
  <c r="V71" i="19" s="1"/>
  <c r="U66" i="19"/>
  <c r="T66" i="19"/>
  <c r="T71" i="19" s="1"/>
  <c r="S66" i="19"/>
  <c r="S71" i="19" s="1"/>
  <c r="R66" i="19"/>
  <c r="R71" i="19" s="1"/>
  <c r="Q66" i="19"/>
  <c r="P66" i="19"/>
  <c r="O66" i="19"/>
  <c r="N66" i="19"/>
  <c r="M66" i="19"/>
  <c r="L66" i="19"/>
  <c r="K66" i="19"/>
  <c r="J66" i="19"/>
  <c r="I66" i="19"/>
  <c r="H66" i="19"/>
  <c r="G66" i="19"/>
  <c r="G71" i="19" s="1"/>
  <c r="F66" i="19"/>
  <c r="F71" i="19" s="1"/>
  <c r="E66" i="19"/>
  <c r="D66" i="19"/>
  <c r="C66" i="19"/>
  <c r="B66" i="19"/>
  <c r="AI64" i="19"/>
  <c r="AH64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B63" i="19"/>
  <c r="AI62" i="19"/>
  <c r="AH62" i="19"/>
  <c r="AI61" i="19"/>
  <c r="AH61" i="19"/>
  <c r="AI60" i="19"/>
  <c r="AH60" i="19"/>
  <c r="AG59" i="19"/>
  <c r="AF59" i="19"/>
  <c r="AE59" i="19"/>
  <c r="AE5" i="19" s="1"/>
  <c r="AD59" i="19"/>
  <c r="AD5" i="19" s="1"/>
  <c r="AC59" i="19"/>
  <c r="AB59" i="19"/>
  <c r="AB5" i="19" s="1"/>
  <c r="AA59" i="19"/>
  <c r="AA5" i="19" s="1"/>
  <c r="Z59" i="19"/>
  <c r="Y59" i="19"/>
  <c r="X59" i="19"/>
  <c r="W59" i="19"/>
  <c r="W5" i="19" s="1"/>
  <c r="V59" i="19"/>
  <c r="V5" i="19" s="1"/>
  <c r="U59" i="19"/>
  <c r="U5" i="19" s="1"/>
  <c r="T59" i="19"/>
  <c r="T5" i="19" s="1"/>
  <c r="S59" i="19"/>
  <c r="S5" i="19" s="1"/>
  <c r="R59" i="19"/>
  <c r="Q59" i="19"/>
  <c r="P59" i="19"/>
  <c r="O59" i="19"/>
  <c r="O5" i="19" s="1"/>
  <c r="N59" i="19"/>
  <c r="M59" i="19"/>
  <c r="L59" i="19"/>
  <c r="K59" i="19"/>
  <c r="J59" i="19"/>
  <c r="I59" i="19"/>
  <c r="H59" i="19"/>
  <c r="G59" i="19"/>
  <c r="G5" i="19" s="1"/>
  <c r="F59" i="19"/>
  <c r="F5" i="19" s="1"/>
  <c r="E59" i="19"/>
  <c r="D59" i="19"/>
  <c r="D5" i="19" s="1"/>
  <c r="C59" i="19"/>
  <c r="C5" i="19" s="1"/>
  <c r="B59" i="19"/>
  <c r="B5" i="19" s="1"/>
  <c r="AI58" i="19"/>
  <c r="AH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AI46" i="19"/>
  <c r="AH46" i="19"/>
  <c r="AI45" i="19"/>
  <c r="AH45" i="19"/>
  <c r="AI44" i="19"/>
  <c r="AH44" i="19"/>
  <c r="AG42" i="19"/>
  <c r="AG43" i="19" s="1"/>
  <c r="AG3" i="19" s="1"/>
  <c r="B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G30" i="19"/>
  <c r="AG2" i="19" s="1"/>
  <c r="AG6" i="19" s="1"/>
  <c r="AF30" i="19"/>
  <c r="AE30" i="19"/>
  <c r="AD30" i="19"/>
  <c r="AC30" i="19"/>
  <c r="AB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F5" i="19"/>
  <c r="AC5" i="19"/>
  <c r="Z5" i="19"/>
  <c r="Y5" i="19"/>
  <c r="X5" i="19"/>
  <c r="R5" i="19"/>
  <c r="Q5" i="19"/>
  <c r="P5" i="19"/>
  <c r="N5" i="19"/>
  <c r="M5" i="19"/>
  <c r="L5" i="19"/>
  <c r="K5" i="19"/>
  <c r="J5" i="19"/>
  <c r="I5" i="19"/>
  <c r="H5" i="19"/>
  <c r="E5" i="19"/>
  <c r="AG4" i="19"/>
  <c r="K4" i="19"/>
  <c r="C4" i="19"/>
  <c r="S190" i="19" s="1"/>
  <c r="O84" i="18"/>
  <c r="L84" i="18"/>
  <c r="V193" i="23"/>
  <c r="D7" i="23"/>
  <c r="F179" i="23"/>
  <c r="F42" i="23" s="1"/>
  <c r="G173" i="23"/>
  <c r="G178" i="23"/>
  <c r="F214" i="23"/>
  <c r="W193" i="23"/>
  <c r="E7" i="23"/>
  <c r="U193" i="23"/>
  <c r="C7" i="23"/>
  <c r="K94" i="23"/>
  <c r="J82" i="23"/>
  <c r="I171" i="23"/>
  <c r="J89" i="23"/>
  <c r="U193" i="22"/>
  <c r="C7" i="22"/>
  <c r="G110" i="22"/>
  <c r="F82" i="22"/>
  <c r="G179" i="22"/>
  <c r="G42" i="22" s="1"/>
  <c r="H173" i="22"/>
  <c r="J94" i="22"/>
  <c r="F43" i="22"/>
  <c r="F171" i="22"/>
  <c r="G89" i="22"/>
  <c r="I178" i="22"/>
  <c r="H214" i="22"/>
  <c r="K94" i="21"/>
  <c r="J82" i="21"/>
  <c r="F171" i="21"/>
  <c r="G89" i="21"/>
  <c r="G173" i="21"/>
  <c r="F179" i="21"/>
  <c r="F42" i="21" s="1"/>
  <c r="E43" i="21"/>
  <c r="E65" i="21" s="1"/>
  <c r="U193" i="21"/>
  <c r="C7" i="21"/>
  <c r="V193" i="21"/>
  <c r="D7" i="21"/>
  <c r="F214" i="21"/>
  <c r="G178" i="21"/>
  <c r="AH71" i="20"/>
  <c r="AI71" i="20"/>
  <c r="C7" i="20"/>
  <c r="E214" i="20"/>
  <c r="F178" i="20"/>
  <c r="G82" i="20"/>
  <c r="H94" i="20"/>
  <c r="E171" i="20"/>
  <c r="F89" i="20"/>
  <c r="T193" i="20"/>
  <c r="B7" i="20"/>
  <c r="E173" i="20"/>
  <c r="D179" i="20"/>
  <c r="D42" i="20" s="1"/>
  <c r="AF71" i="19"/>
  <c r="AE71" i="19"/>
  <c r="AC71" i="19"/>
  <c r="W71" i="19"/>
  <c r="U71" i="19"/>
  <c r="Y71" i="19"/>
  <c r="Q71" i="19"/>
  <c r="P71" i="19"/>
  <c r="O71" i="19"/>
  <c r="M71" i="19"/>
  <c r="L71" i="19"/>
  <c r="AI67" i="19"/>
  <c r="K71" i="19"/>
  <c r="J71" i="19"/>
  <c r="E71" i="19"/>
  <c r="D71" i="19"/>
  <c r="C71" i="19"/>
  <c r="AI69" i="19"/>
  <c r="AI47" i="19"/>
  <c r="B71" i="19"/>
  <c r="AH68" i="19"/>
  <c r="AI68" i="19"/>
  <c r="AH66" i="19"/>
  <c r="AI59" i="19"/>
  <c r="AH30" i="19"/>
  <c r="AG65" i="19"/>
  <c r="AI66" i="19"/>
  <c r="C171" i="19"/>
  <c r="D89" i="19"/>
  <c r="AI30" i="19"/>
  <c r="AH67" i="19"/>
  <c r="AH69" i="19"/>
  <c r="B43" i="19"/>
  <c r="B65" i="19" s="1"/>
  <c r="AH47" i="19"/>
  <c r="AH59" i="19"/>
  <c r="AH63" i="19"/>
  <c r="H71" i="19"/>
  <c r="AI63" i="19"/>
  <c r="I71" i="19"/>
  <c r="AI80" i="19"/>
  <c r="D82" i="19"/>
  <c r="E94" i="19"/>
  <c r="AH80" i="19"/>
  <c r="C179" i="19"/>
  <c r="C42" i="19" s="1"/>
  <c r="C43" i="19" s="1"/>
  <c r="C65" i="19" s="1"/>
  <c r="D173" i="19"/>
  <c r="C214" i="19"/>
  <c r="D178" i="19"/>
  <c r="L94" i="23"/>
  <c r="K82" i="23"/>
  <c r="G214" i="23"/>
  <c r="H178" i="23"/>
  <c r="H173" i="23"/>
  <c r="G179" i="23"/>
  <c r="G42" i="23" s="1"/>
  <c r="G43" i="23" s="1"/>
  <c r="G65" i="23" s="1"/>
  <c r="F43" i="23"/>
  <c r="J171" i="23"/>
  <c r="K89" i="23"/>
  <c r="I214" i="22"/>
  <c r="J178" i="22"/>
  <c r="G43" i="22"/>
  <c r="G65" i="22" s="1"/>
  <c r="H110" i="22"/>
  <c r="G82" i="22"/>
  <c r="G171" i="22"/>
  <c r="H89" i="22"/>
  <c r="F65" i="22"/>
  <c r="K94" i="22"/>
  <c r="H179" i="22"/>
  <c r="H42" i="22" s="1"/>
  <c r="H43" i="22" s="1"/>
  <c r="H65" i="22" s="1"/>
  <c r="I173" i="22"/>
  <c r="F43" i="21"/>
  <c r="F65" i="21" s="1"/>
  <c r="H173" i="21"/>
  <c r="G179" i="21"/>
  <c r="G42" i="21" s="1"/>
  <c r="G43" i="21" s="1"/>
  <c r="G65" i="21" s="1"/>
  <c r="G171" i="21"/>
  <c r="H89" i="21"/>
  <c r="G214" i="21"/>
  <c r="H178" i="21"/>
  <c r="L94" i="21"/>
  <c r="K82" i="21"/>
  <c r="W193" i="21"/>
  <c r="E7" i="21"/>
  <c r="F171" i="20"/>
  <c r="G89" i="20"/>
  <c r="D43" i="20"/>
  <c r="F173" i="20"/>
  <c r="E179" i="20"/>
  <c r="E42" i="20" s="1"/>
  <c r="E43" i="20" s="1"/>
  <c r="E65" i="20" s="1"/>
  <c r="H82" i="20"/>
  <c r="I94" i="20"/>
  <c r="F214" i="20"/>
  <c r="G178" i="20"/>
  <c r="AI71" i="19"/>
  <c r="T193" i="19"/>
  <c r="B7" i="19"/>
  <c r="D171" i="19"/>
  <c r="E89" i="19"/>
  <c r="D214" i="19"/>
  <c r="E178" i="19"/>
  <c r="F94" i="19"/>
  <c r="E82" i="19"/>
  <c r="E173" i="19"/>
  <c r="D179" i="19"/>
  <c r="D42" i="19" s="1"/>
  <c r="U193" i="19"/>
  <c r="C7" i="19"/>
  <c r="AH71" i="19"/>
  <c r="F65" i="23"/>
  <c r="Y193" i="23"/>
  <c r="G7" i="23"/>
  <c r="I173" i="23"/>
  <c r="H179" i="23"/>
  <c r="H42" i="23" s="1"/>
  <c r="H43" i="23" s="1"/>
  <c r="H65" i="23" s="1"/>
  <c r="K171" i="23"/>
  <c r="L89" i="23"/>
  <c r="I178" i="23"/>
  <c r="H214" i="23"/>
  <c r="M94" i="23"/>
  <c r="L82" i="23"/>
  <c r="L94" i="22"/>
  <c r="X193" i="22"/>
  <c r="F7" i="22"/>
  <c r="Y193" i="22"/>
  <c r="G7" i="22"/>
  <c r="I110" i="22"/>
  <c r="H82" i="22"/>
  <c r="J173" i="22"/>
  <c r="I179" i="22"/>
  <c r="I42" i="22" s="1"/>
  <c r="H171" i="22"/>
  <c r="I89" i="22"/>
  <c r="K178" i="22"/>
  <c r="J214" i="22"/>
  <c r="Z193" i="22"/>
  <c r="H7" i="22"/>
  <c r="Y193" i="21"/>
  <c r="G7" i="21"/>
  <c r="H171" i="21"/>
  <c r="I89" i="21"/>
  <c r="M94" i="21"/>
  <c r="L82" i="21"/>
  <c r="H214" i="21"/>
  <c r="I178" i="21"/>
  <c r="X193" i="21"/>
  <c r="F7" i="21"/>
  <c r="H179" i="21"/>
  <c r="H42" i="21" s="1"/>
  <c r="H43" i="21" s="1"/>
  <c r="H65" i="21" s="1"/>
  <c r="I173" i="21"/>
  <c r="W193" i="20"/>
  <c r="E7" i="20"/>
  <c r="G173" i="20"/>
  <c r="F179" i="20"/>
  <c r="F42" i="20" s="1"/>
  <c r="F43" i="20" s="1"/>
  <c r="F65" i="20" s="1"/>
  <c r="G214" i="20"/>
  <c r="H178" i="20"/>
  <c r="D65" i="20"/>
  <c r="G171" i="20"/>
  <c r="H89" i="20"/>
  <c r="I82" i="20"/>
  <c r="J94" i="20"/>
  <c r="D43" i="19"/>
  <c r="E171" i="19"/>
  <c r="F89" i="19"/>
  <c r="E179" i="19"/>
  <c r="E42" i="19" s="1"/>
  <c r="E43" i="19" s="1"/>
  <c r="E65" i="19" s="1"/>
  <c r="F173" i="19"/>
  <c r="G94" i="19"/>
  <c r="F82" i="19"/>
  <c r="E214" i="19"/>
  <c r="F178" i="19"/>
  <c r="Z193" i="23"/>
  <c r="H7" i="23"/>
  <c r="J173" i="23"/>
  <c r="I179" i="23"/>
  <c r="I42" i="23" s="1"/>
  <c r="I43" i="23" s="1"/>
  <c r="I65" i="23" s="1"/>
  <c r="I214" i="23"/>
  <c r="J178" i="23"/>
  <c r="N94" i="23"/>
  <c r="M82" i="23"/>
  <c r="L171" i="23"/>
  <c r="M89" i="23"/>
  <c r="X193" i="23"/>
  <c r="F7" i="23"/>
  <c r="I171" i="22"/>
  <c r="J89" i="22"/>
  <c r="K173" i="22"/>
  <c r="J179" i="22"/>
  <c r="J42" i="22" s="1"/>
  <c r="J43" i="22" s="1"/>
  <c r="J65" i="22" s="1"/>
  <c r="I43" i="22"/>
  <c r="J110" i="22"/>
  <c r="I82" i="22"/>
  <c r="L178" i="22"/>
  <c r="K214" i="22"/>
  <c r="M94" i="22"/>
  <c r="I171" i="21"/>
  <c r="J89" i="21"/>
  <c r="N94" i="21"/>
  <c r="M82" i="21"/>
  <c r="J173" i="21"/>
  <c r="I179" i="21"/>
  <c r="I42" i="21" s="1"/>
  <c r="Z193" i="21"/>
  <c r="H7" i="21"/>
  <c r="J178" i="21"/>
  <c r="I214" i="21"/>
  <c r="J82" i="20"/>
  <c r="K94" i="20"/>
  <c r="H214" i="20"/>
  <c r="I178" i="20"/>
  <c r="H171" i="20"/>
  <c r="I89" i="20"/>
  <c r="X193" i="20"/>
  <c r="F7" i="20"/>
  <c r="H173" i="20"/>
  <c r="G179" i="20"/>
  <c r="G42" i="20" s="1"/>
  <c r="V193" i="20"/>
  <c r="D7" i="20"/>
  <c r="W193" i="19"/>
  <c r="E7" i="19"/>
  <c r="F171" i="19"/>
  <c r="G89" i="19"/>
  <c r="G173" i="19"/>
  <c r="F179" i="19"/>
  <c r="F42" i="19" s="1"/>
  <c r="F214" i="19"/>
  <c r="G178" i="19"/>
  <c r="H94" i="19"/>
  <c r="G82" i="19"/>
  <c r="D65" i="19"/>
  <c r="K173" i="23"/>
  <c r="J179" i="23"/>
  <c r="J42" i="23" s="1"/>
  <c r="J43" i="23" s="1"/>
  <c r="J65" i="23" s="1"/>
  <c r="M171" i="23"/>
  <c r="N89" i="23"/>
  <c r="J214" i="23"/>
  <c r="K178" i="23"/>
  <c r="AA193" i="23"/>
  <c r="I7" i="23"/>
  <c r="N82" i="23"/>
  <c r="O94" i="23"/>
  <c r="N94" i="22"/>
  <c r="L173" i="22"/>
  <c r="K179" i="22"/>
  <c r="K42" i="22" s="1"/>
  <c r="AB193" i="22"/>
  <c r="J7" i="22"/>
  <c r="M178" i="22"/>
  <c r="L214" i="22"/>
  <c r="J171" i="22"/>
  <c r="K89" i="22"/>
  <c r="I65" i="22"/>
  <c r="K110" i="22"/>
  <c r="J82" i="22"/>
  <c r="I43" i="21"/>
  <c r="I65" i="21" s="1"/>
  <c r="J179" i="21"/>
  <c r="J42" i="21" s="1"/>
  <c r="J43" i="21" s="1"/>
  <c r="J65" i="21" s="1"/>
  <c r="K173" i="21"/>
  <c r="O94" i="21"/>
  <c r="N82" i="21"/>
  <c r="J214" i="21"/>
  <c r="K178" i="21"/>
  <c r="J171" i="21"/>
  <c r="K89" i="21"/>
  <c r="I171" i="20"/>
  <c r="J89" i="20"/>
  <c r="G43" i="20"/>
  <c r="H179" i="20"/>
  <c r="H42" i="20" s="1"/>
  <c r="H43" i="20" s="1"/>
  <c r="H65" i="20" s="1"/>
  <c r="I173" i="20"/>
  <c r="J178" i="20"/>
  <c r="I214" i="20"/>
  <c r="K82" i="20"/>
  <c r="L94" i="20"/>
  <c r="G214" i="19"/>
  <c r="H178" i="19"/>
  <c r="F43" i="19"/>
  <c r="H173" i="19"/>
  <c r="G179" i="19"/>
  <c r="G42" i="19" s="1"/>
  <c r="G43" i="19" s="1"/>
  <c r="G65" i="19" s="1"/>
  <c r="I94" i="19"/>
  <c r="H82" i="19"/>
  <c r="G171" i="19"/>
  <c r="H89" i="19"/>
  <c r="V193" i="19"/>
  <c r="D7" i="19"/>
  <c r="K214" i="23"/>
  <c r="L178" i="23"/>
  <c r="O82" i="23"/>
  <c r="P94" i="23"/>
  <c r="N171" i="23"/>
  <c r="O89" i="23"/>
  <c r="K179" i="23"/>
  <c r="K42" i="23" s="1"/>
  <c r="K43" i="23" s="1"/>
  <c r="K65" i="23" s="1"/>
  <c r="L173" i="23"/>
  <c r="AB193" i="23"/>
  <c r="J7" i="23"/>
  <c r="M214" i="22"/>
  <c r="N178" i="22"/>
  <c r="L110" i="22"/>
  <c r="K82" i="22"/>
  <c r="AA193" i="22"/>
  <c r="I7" i="22"/>
  <c r="M173" i="22"/>
  <c r="L179" i="22"/>
  <c r="L42" i="22" s="1"/>
  <c r="L43" i="22" s="1"/>
  <c r="L65" i="22" s="1"/>
  <c r="K171" i="22"/>
  <c r="L89" i="22"/>
  <c r="O94" i="22"/>
  <c r="K43" i="22"/>
  <c r="K179" i="21"/>
  <c r="K42" i="21" s="1"/>
  <c r="K43" i="21" s="1"/>
  <c r="K65" i="21" s="1"/>
  <c r="L173" i="21"/>
  <c r="AB193" i="21"/>
  <c r="J7" i="21"/>
  <c r="P94" i="21"/>
  <c r="O82" i="21"/>
  <c r="K171" i="21"/>
  <c r="L89" i="21"/>
  <c r="K214" i="21"/>
  <c r="L178" i="21"/>
  <c r="AA193" i="21"/>
  <c r="I7" i="21"/>
  <c r="Z193" i="20"/>
  <c r="H7" i="20"/>
  <c r="I179" i="20"/>
  <c r="I42" i="20" s="1"/>
  <c r="J173" i="20"/>
  <c r="M94" i="20"/>
  <c r="L82" i="20"/>
  <c r="G65" i="20"/>
  <c r="J171" i="20"/>
  <c r="K89" i="20"/>
  <c r="K178" i="20"/>
  <c r="J214" i="20"/>
  <c r="J94" i="19"/>
  <c r="I82" i="19"/>
  <c r="Y193" i="19"/>
  <c r="G7" i="19"/>
  <c r="I173" i="19"/>
  <c r="H179" i="19"/>
  <c r="H42" i="19" s="1"/>
  <c r="H43" i="19" s="1"/>
  <c r="H65" i="19" s="1"/>
  <c r="F65" i="19"/>
  <c r="H171" i="19"/>
  <c r="I89" i="19"/>
  <c r="H214" i="19"/>
  <c r="I178" i="19"/>
  <c r="AC193" i="23"/>
  <c r="K7" i="23"/>
  <c r="Q94" i="23"/>
  <c r="P82" i="23"/>
  <c r="L214" i="23"/>
  <c r="M178" i="23"/>
  <c r="O171" i="23"/>
  <c r="P89" i="23"/>
  <c r="L179" i="23"/>
  <c r="L42" i="23" s="1"/>
  <c r="L43" i="23" s="1"/>
  <c r="L65" i="23" s="1"/>
  <c r="M173" i="23"/>
  <c r="P94" i="22"/>
  <c r="M179" i="22"/>
  <c r="M42" i="22" s="1"/>
  <c r="M43" i="22" s="1"/>
  <c r="M65" i="22" s="1"/>
  <c r="N173" i="22"/>
  <c r="M110" i="22"/>
  <c r="L82" i="22"/>
  <c r="L171" i="22"/>
  <c r="M89" i="22"/>
  <c r="N214" i="22"/>
  <c r="O178" i="22"/>
  <c r="AD193" i="22"/>
  <c r="L7" i="22"/>
  <c r="K65" i="22"/>
  <c r="L171" i="21"/>
  <c r="M89" i="21"/>
  <c r="L214" i="21"/>
  <c r="M178" i="21"/>
  <c r="L179" i="21"/>
  <c r="L42" i="21" s="1"/>
  <c r="L43" i="21" s="1"/>
  <c r="L65" i="21" s="1"/>
  <c r="M173" i="21"/>
  <c r="Q94" i="21"/>
  <c r="P82" i="21"/>
  <c r="AC193" i="21"/>
  <c r="K7" i="21"/>
  <c r="M82" i="20"/>
  <c r="N94" i="20"/>
  <c r="L178" i="20"/>
  <c r="K214" i="20"/>
  <c r="K171" i="20"/>
  <c r="L89" i="20"/>
  <c r="J179" i="20"/>
  <c r="J42" i="20" s="1"/>
  <c r="J43" i="20" s="1"/>
  <c r="J65" i="20" s="1"/>
  <c r="K173" i="20"/>
  <c r="I43" i="20"/>
  <c r="Y193" i="20"/>
  <c r="G7" i="20"/>
  <c r="Z193" i="19"/>
  <c r="H7" i="19"/>
  <c r="J178" i="19"/>
  <c r="I214" i="19"/>
  <c r="J173" i="19"/>
  <c r="I179" i="19"/>
  <c r="I42" i="19" s="1"/>
  <c r="I43" i="19" s="1"/>
  <c r="I65" i="19" s="1"/>
  <c r="I171" i="19"/>
  <c r="J89" i="19"/>
  <c r="X193" i="19"/>
  <c r="F7" i="19"/>
  <c r="J82" i="19"/>
  <c r="K94" i="19"/>
  <c r="R94" i="23"/>
  <c r="Q82" i="23"/>
  <c r="M214" i="23"/>
  <c r="N178" i="23"/>
  <c r="M179" i="23"/>
  <c r="M42" i="23" s="1"/>
  <c r="M43" i="23" s="1"/>
  <c r="M65" i="23" s="1"/>
  <c r="C188" i="23" s="1"/>
  <c r="N173" i="23"/>
  <c r="AD193" i="23"/>
  <c r="L7" i="23"/>
  <c r="P171" i="23"/>
  <c r="Q89" i="23"/>
  <c r="M171" i="22"/>
  <c r="N89" i="22"/>
  <c r="AE193" i="22"/>
  <c r="M7" i="22"/>
  <c r="AC193" i="22"/>
  <c r="K7" i="22"/>
  <c r="C188" i="22"/>
  <c r="B188" i="22"/>
  <c r="N110" i="22"/>
  <c r="M82" i="22"/>
  <c r="O173" i="22"/>
  <c r="N179" i="22"/>
  <c r="N42" i="22" s="1"/>
  <c r="N43" i="22" s="1"/>
  <c r="N65" i="22" s="1"/>
  <c r="P178" i="22"/>
  <c r="O214" i="22"/>
  <c r="Q94" i="22"/>
  <c r="AD193" i="21"/>
  <c r="L7" i="21"/>
  <c r="M171" i="21"/>
  <c r="N89" i="21"/>
  <c r="R94" i="21"/>
  <c r="Q82" i="21"/>
  <c r="M179" i="21"/>
  <c r="M42" i="21" s="1"/>
  <c r="M43" i="21" s="1"/>
  <c r="M65" i="21" s="1"/>
  <c r="B188" i="21" s="1"/>
  <c r="N173" i="21"/>
  <c r="M214" i="21"/>
  <c r="N178" i="21"/>
  <c r="AB193" i="20"/>
  <c r="J7" i="20"/>
  <c r="L171" i="20"/>
  <c r="M89" i="20"/>
  <c r="L214" i="20"/>
  <c r="M178" i="20"/>
  <c r="K179" i="20"/>
  <c r="K42" i="20" s="1"/>
  <c r="K43" i="20" s="1"/>
  <c r="K65" i="20" s="1"/>
  <c r="L173" i="20"/>
  <c r="N82" i="20"/>
  <c r="O94" i="20"/>
  <c r="I65" i="20"/>
  <c r="J171" i="19"/>
  <c r="K89" i="19"/>
  <c r="AA193" i="19"/>
  <c r="I7" i="19"/>
  <c r="J179" i="19"/>
  <c r="J42" i="19" s="1"/>
  <c r="J43" i="19" s="1"/>
  <c r="J65" i="19" s="1"/>
  <c r="K173" i="19"/>
  <c r="J214" i="19"/>
  <c r="K178" i="19"/>
  <c r="L94" i="19"/>
  <c r="K82" i="19"/>
  <c r="O173" i="23"/>
  <c r="N179" i="23"/>
  <c r="N42" i="23" s="1"/>
  <c r="N43" i="23" s="1"/>
  <c r="N65" i="23" s="1"/>
  <c r="Q171" i="23"/>
  <c r="R89" i="23"/>
  <c r="R82" i="23"/>
  <c r="S94" i="23"/>
  <c r="AE193" i="23"/>
  <c r="M7" i="23"/>
  <c r="N214" i="23"/>
  <c r="O178" i="23"/>
  <c r="B188" i="23"/>
  <c r="K6" i="23" s="1"/>
  <c r="O179" i="22"/>
  <c r="O42" i="22" s="1"/>
  <c r="O43" i="22" s="1"/>
  <c r="O65" i="22" s="1"/>
  <c r="P173" i="22"/>
  <c r="Q178" i="22"/>
  <c r="P214" i="22"/>
  <c r="O110" i="22"/>
  <c r="N82" i="22"/>
  <c r="AF193" i="22"/>
  <c r="N7" i="22"/>
  <c r="R94" i="22"/>
  <c r="N171" i="22"/>
  <c r="O89" i="22"/>
  <c r="K6" i="22"/>
  <c r="C188" i="21"/>
  <c r="K6" i="21" s="1"/>
  <c r="N171" i="21"/>
  <c r="O89" i="21"/>
  <c r="S94" i="21"/>
  <c r="R82" i="21"/>
  <c r="O173" i="21"/>
  <c r="N179" i="21"/>
  <c r="N42" i="21" s="1"/>
  <c r="N43" i="21" s="1"/>
  <c r="N65" i="21" s="1"/>
  <c r="N214" i="21"/>
  <c r="O178" i="21"/>
  <c r="AE193" i="21"/>
  <c r="M7" i="21"/>
  <c r="M214" i="20"/>
  <c r="N178" i="20"/>
  <c r="AC193" i="20"/>
  <c r="K7" i="20"/>
  <c r="AA193" i="20"/>
  <c r="I7" i="20"/>
  <c r="M171" i="20"/>
  <c r="N89" i="20"/>
  <c r="O82" i="20"/>
  <c r="P94" i="20"/>
  <c r="L179" i="20"/>
  <c r="L42" i="20" s="1"/>
  <c r="L43" i="20" s="1"/>
  <c r="L65" i="20" s="1"/>
  <c r="M173" i="20"/>
  <c r="AB193" i="19"/>
  <c r="J7" i="19"/>
  <c r="L82" i="19"/>
  <c r="M94" i="19"/>
  <c r="K214" i="19"/>
  <c r="L178" i="19"/>
  <c r="K179" i="19"/>
  <c r="K42" i="19" s="1"/>
  <c r="K43" i="19" s="1"/>
  <c r="K65" i="19" s="1"/>
  <c r="L173" i="19"/>
  <c r="K171" i="19"/>
  <c r="L89" i="19"/>
  <c r="R171" i="23"/>
  <c r="S89" i="23"/>
  <c r="S82" i="23"/>
  <c r="T94" i="23"/>
  <c r="AF193" i="23"/>
  <c r="N7" i="23"/>
  <c r="O214" i="23"/>
  <c r="P178" i="23"/>
  <c r="O179" i="23"/>
  <c r="O42" i="23" s="1"/>
  <c r="O43" i="23" s="1"/>
  <c r="O65" i="23" s="1"/>
  <c r="P173" i="23"/>
  <c r="P110" i="22"/>
  <c r="P82" i="22" s="1"/>
  <c r="O82" i="22"/>
  <c r="Q214" i="22"/>
  <c r="R178" i="22"/>
  <c r="S94" i="22"/>
  <c r="P179" i="22"/>
  <c r="P42" i="22" s="1"/>
  <c r="P43" i="22" s="1"/>
  <c r="P65" i="22" s="1"/>
  <c r="Q173" i="22"/>
  <c r="O171" i="22"/>
  <c r="P89" i="22"/>
  <c r="AG193" i="22"/>
  <c r="O7" i="22"/>
  <c r="P173" i="21"/>
  <c r="O179" i="21"/>
  <c r="O42" i="21" s="1"/>
  <c r="O43" i="21" s="1"/>
  <c r="O65" i="21" s="1"/>
  <c r="T94" i="21"/>
  <c r="S82" i="21"/>
  <c r="O171" i="21"/>
  <c r="P89" i="21"/>
  <c r="AF193" i="21"/>
  <c r="N7" i="21"/>
  <c r="O214" i="21"/>
  <c r="P178" i="21"/>
  <c r="AD193" i="20"/>
  <c r="L7" i="20"/>
  <c r="N173" i="20"/>
  <c r="M179" i="20"/>
  <c r="M42" i="20" s="1"/>
  <c r="M43" i="20" s="1"/>
  <c r="M65" i="20" s="1"/>
  <c r="P82" i="20"/>
  <c r="Q94" i="20"/>
  <c r="N171" i="20"/>
  <c r="O89" i="20"/>
  <c r="N214" i="20"/>
  <c r="O178" i="20"/>
  <c r="N94" i="19"/>
  <c r="M82" i="19"/>
  <c r="L171" i="19"/>
  <c r="M89" i="19"/>
  <c r="M173" i="19"/>
  <c r="L179" i="19"/>
  <c r="L42" i="19" s="1"/>
  <c r="L43" i="19" s="1"/>
  <c r="L65" i="19" s="1"/>
  <c r="L214" i="19"/>
  <c r="M178" i="19"/>
  <c r="AC193" i="19"/>
  <c r="K7" i="19"/>
  <c r="U94" i="23"/>
  <c r="T82" i="23"/>
  <c r="P214" i="23"/>
  <c r="Q178" i="23"/>
  <c r="Q173" i="23"/>
  <c r="P179" i="23"/>
  <c r="P42" i="23" s="1"/>
  <c r="P43" i="23" s="1"/>
  <c r="P65" i="23" s="1"/>
  <c r="S171" i="23"/>
  <c r="T89" i="23"/>
  <c r="AG193" i="23"/>
  <c r="O7" i="23"/>
  <c r="R173" i="22"/>
  <c r="Q179" i="22"/>
  <c r="Q42" i="22" s="1"/>
  <c r="Q43" i="22" s="1"/>
  <c r="Q65" i="22" s="1"/>
  <c r="AH193" i="22"/>
  <c r="P7" i="22"/>
  <c r="T94" i="22"/>
  <c r="P171" i="22"/>
  <c r="Q89" i="22"/>
  <c r="S178" i="22"/>
  <c r="R214" i="22"/>
  <c r="Q110" i="22"/>
  <c r="T82" i="21"/>
  <c r="U94" i="21"/>
  <c r="P171" i="21"/>
  <c r="Q89" i="21"/>
  <c r="AG193" i="21"/>
  <c r="O7" i="21"/>
  <c r="P214" i="21"/>
  <c r="Q178" i="21"/>
  <c r="P179" i="21"/>
  <c r="P42" i="21" s="1"/>
  <c r="P43" i="21" s="1"/>
  <c r="P65" i="21" s="1"/>
  <c r="Q173" i="21"/>
  <c r="Q82" i="20"/>
  <c r="R94" i="20"/>
  <c r="AE193" i="20"/>
  <c r="M7" i="20"/>
  <c r="C188" i="20"/>
  <c r="O214" i="20"/>
  <c r="P178" i="20"/>
  <c r="O173" i="20"/>
  <c r="N179" i="20"/>
  <c r="N42" i="20" s="1"/>
  <c r="N43" i="20" s="1"/>
  <c r="N65" i="20" s="1"/>
  <c r="B188" i="20"/>
  <c r="O171" i="20"/>
  <c r="P89" i="20"/>
  <c r="AD193" i="19"/>
  <c r="L7" i="19"/>
  <c r="M179" i="19"/>
  <c r="M42" i="19" s="1"/>
  <c r="M43" i="19" s="1"/>
  <c r="M65" i="19" s="1"/>
  <c r="N173" i="19"/>
  <c r="M171" i="19"/>
  <c r="N89" i="19"/>
  <c r="M214" i="19"/>
  <c r="N178" i="19"/>
  <c r="O94" i="19"/>
  <c r="N82" i="19"/>
  <c r="T171" i="23"/>
  <c r="U89" i="23"/>
  <c r="Q214" i="23"/>
  <c r="R178" i="23"/>
  <c r="AH193" i="23"/>
  <c r="P7" i="23"/>
  <c r="R173" i="23"/>
  <c r="Q179" i="23"/>
  <c r="Q42" i="23" s="1"/>
  <c r="Q43" i="23" s="1"/>
  <c r="Q65" i="23" s="1"/>
  <c r="V94" i="23"/>
  <c r="U82" i="23"/>
  <c r="Q171" i="22"/>
  <c r="R89" i="22"/>
  <c r="U94" i="22"/>
  <c r="AI193" i="22"/>
  <c r="Q7" i="22"/>
  <c r="R110" i="22"/>
  <c r="Q82" i="22"/>
  <c r="T178" i="22"/>
  <c r="S214" i="22"/>
  <c r="R179" i="22"/>
  <c r="R42" i="22" s="1"/>
  <c r="R43" i="22" s="1"/>
  <c r="R65" i="22" s="1"/>
  <c r="S173" i="22"/>
  <c r="Q171" i="21"/>
  <c r="R89" i="21"/>
  <c r="R178" i="21"/>
  <c r="Q214" i="21"/>
  <c r="R173" i="21"/>
  <c r="Q179" i="21"/>
  <c r="Q42" i="21" s="1"/>
  <c r="Q43" i="21" s="1"/>
  <c r="Q65" i="21" s="1"/>
  <c r="U82" i="21"/>
  <c r="V94" i="21"/>
  <c r="AH193" i="21"/>
  <c r="P7" i="21"/>
  <c r="P171" i="20"/>
  <c r="Q89" i="20"/>
  <c r="P214" i="20"/>
  <c r="Q178" i="20"/>
  <c r="K6" i="20"/>
  <c r="AF193" i="20"/>
  <c r="N7" i="20"/>
  <c r="R82" i="20"/>
  <c r="S94" i="20"/>
  <c r="P173" i="20"/>
  <c r="O179" i="20"/>
  <c r="O42" i="20" s="1"/>
  <c r="O43" i="20" s="1"/>
  <c r="O65" i="20" s="1"/>
  <c r="O173" i="19"/>
  <c r="N179" i="19"/>
  <c r="N42" i="19" s="1"/>
  <c r="N43" i="19" s="1"/>
  <c r="N65" i="19" s="1"/>
  <c r="AE193" i="19"/>
  <c r="M7" i="19"/>
  <c r="O82" i="19"/>
  <c r="P94" i="19"/>
  <c r="C188" i="19"/>
  <c r="B188" i="19"/>
  <c r="N214" i="19"/>
  <c r="O178" i="19"/>
  <c r="N171" i="19"/>
  <c r="O89" i="19"/>
  <c r="S178" i="23"/>
  <c r="R214" i="23"/>
  <c r="AI193" i="23"/>
  <c r="Q7" i="23"/>
  <c r="U171" i="23"/>
  <c r="V89" i="23"/>
  <c r="S173" i="23"/>
  <c r="R179" i="23"/>
  <c r="R42" i="23" s="1"/>
  <c r="R43" i="23" s="1"/>
  <c r="R65" i="23" s="1"/>
  <c r="W94" i="23"/>
  <c r="V82" i="23"/>
  <c r="V94" i="22"/>
  <c r="S110" i="22"/>
  <c r="R82" i="22"/>
  <c r="AJ193" i="22"/>
  <c r="R7" i="22"/>
  <c r="T173" i="22"/>
  <c r="S179" i="22"/>
  <c r="S42" i="22" s="1"/>
  <c r="S43" i="22" s="1"/>
  <c r="S65" i="22" s="1"/>
  <c r="R171" i="22"/>
  <c r="S89" i="22"/>
  <c r="U178" i="22"/>
  <c r="T214" i="22"/>
  <c r="V82" i="21"/>
  <c r="W94" i="21"/>
  <c r="AI193" i="21"/>
  <c r="Q7" i="21"/>
  <c r="R214" i="21"/>
  <c r="S178" i="21"/>
  <c r="R179" i="21"/>
  <c r="R42" i="21" s="1"/>
  <c r="R43" i="21" s="1"/>
  <c r="R65" i="21" s="1"/>
  <c r="S173" i="21"/>
  <c r="R171" i="21"/>
  <c r="S89" i="21"/>
  <c r="R178" i="20"/>
  <c r="Q214" i="20"/>
  <c r="AG193" i="20"/>
  <c r="O7" i="20"/>
  <c r="P179" i="20"/>
  <c r="P42" i="20" s="1"/>
  <c r="P43" i="20" s="1"/>
  <c r="P65" i="20" s="1"/>
  <c r="Q173" i="20"/>
  <c r="Q171" i="20"/>
  <c r="R89" i="20"/>
  <c r="S82" i="20"/>
  <c r="T94" i="20"/>
  <c r="K6" i="19"/>
  <c r="P82" i="19"/>
  <c r="Q94" i="19"/>
  <c r="O171" i="19"/>
  <c r="P89" i="19"/>
  <c r="O214" i="19"/>
  <c r="P178" i="19"/>
  <c r="AF193" i="19"/>
  <c r="N7" i="19"/>
  <c r="P173" i="19"/>
  <c r="O179" i="19"/>
  <c r="O42" i="19" s="1"/>
  <c r="O43" i="19" s="1"/>
  <c r="O65" i="19" s="1"/>
  <c r="AJ193" i="23"/>
  <c r="R7" i="23"/>
  <c r="T173" i="23"/>
  <c r="S179" i="23"/>
  <c r="S42" i="23" s="1"/>
  <c r="S43" i="23" s="1"/>
  <c r="S65" i="23" s="1"/>
  <c r="V171" i="23"/>
  <c r="W89" i="23"/>
  <c r="W82" i="23"/>
  <c r="X94" i="23"/>
  <c r="S214" i="23"/>
  <c r="T178" i="23"/>
  <c r="AK193" i="22"/>
  <c r="S7" i="22"/>
  <c r="U173" i="22"/>
  <c r="T179" i="22"/>
  <c r="T42" i="22" s="1"/>
  <c r="T43" i="22" s="1"/>
  <c r="T65" i="22" s="1"/>
  <c r="V178" i="22"/>
  <c r="U214" i="22"/>
  <c r="T110" i="22"/>
  <c r="S82" i="22"/>
  <c r="S171" i="22"/>
  <c r="T89" i="22"/>
  <c r="W94" i="22"/>
  <c r="S179" i="21"/>
  <c r="S42" i="21" s="1"/>
  <c r="S43" i="21" s="1"/>
  <c r="S65" i="21" s="1"/>
  <c r="T173" i="21"/>
  <c r="AJ193" i="21"/>
  <c r="R7" i="21"/>
  <c r="S214" i="21"/>
  <c r="T178" i="21"/>
  <c r="S171" i="21"/>
  <c r="T89" i="21"/>
  <c r="W82" i="21"/>
  <c r="X94" i="21"/>
  <c r="R171" i="20"/>
  <c r="S89" i="20"/>
  <c r="R173" i="20"/>
  <c r="Q179" i="20"/>
  <c r="Q42" i="20" s="1"/>
  <c r="Q43" i="20" s="1"/>
  <c r="Q65" i="20" s="1"/>
  <c r="AH193" i="20"/>
  <c r="P7" i="20"/>
  <c r="U94" i="20"/>
  <c r="T82" i="20"/>
  <c r="R214" i="20"/>
  <c r="S178" i="20"/>
  <c r="P214" i="19"/>
  <c r="Q178" i="19"/>
  <c r="P171" i="19"/>
  <c r="Q89" i="19"/>
  <c r="AG193" i="19"/>
  <c r="O7" i="19"/>
  <c r="R94" i="19"/>
  <c r="Q82" i="19"/>
  <c r="Q173" i="19"/>
  <c r="P179" i="19"/>
  <c r="P42" i="19" s="1"/>
  <c r="P43" i="19" s="1"/>
  <c r="P65" i="19" s="1"/>
  <c r="T179" i="23"/>
  <c r="T42" i="23" s="1"/>
  <c r="T43" i="23" s="1"/>
  <c r="T65" i="23" s="1"/>
  <c r="U173" i="23"/>
  <c r="Y94" i="23"/>
  <c r="X82" i="23"/>
  <c r="W171" i="23"/>
  <c r="X89" i="23"/>
  <c r="T214" i="23"/>
  <c r="U178" i="23"/>
  <c r="AK193" i="23"/>
  <c r="S7" i="23"/>
  <c r="U110" i="22"/>
  <c r="T82" i="22"/>
  <c r="V214" i="22"/>
  <c r="W178" i="22"/>
  <c r="U179" i="22"/>
  <c r="U42" i="22" s="1"/>
  <c r="U43" i="22" s="1"/>
  <c r="U65" i="22" s="1"/>
  <c r="V173" i="22"/>
  <c r="AL193" i="22"/>
  <c r="T7" i="22"/>
  <c r="T171" i="22"/>
  <c r="U89" i="22"/>
  <c r="X94" i="22"/>
  <c r="T171" i="21"/>
  <c r="U89" i="21"/>
  <c r="T214" i="21"/>
  <c r="U178" i="21"/>
  <c r="X82" i="21"/>
  <c r="Y94" i="21"/>
  <c r="T179" i="21"/>
  <c r="T42" i="21" s="1"/>
  <c r="T43" i="21" s="1"/>
  <c r="T65" i="21" s="1"/>
  <c r="U173" i="21"/>
  <c r="AK193" i="21"/>
  <c r="S7" i="21"/>
  <c r="U82" i="20"/>
  <c r="V94" i="20"/>
  <c r="AI193" i="20"/>
  <c r="Q7" i="20"/>
  <c r="R179" i="20"/>
  <c r="R42" i="20" s="1"/>
  <c r="R43" i="20" s="1"/>
  <c r="R65" i="20" s="1"/>
  <c r="S173" i="20"/>
  <c r="T178" i="20"/>
  <c r="S214" i="20"/>
  <c r="S171" i="20"/>
  <c r="T89" i="20"/>
  <c r="S94" i="19"/>
  <c r="R82" i="19"/>
  <c r="Q171" i="19"/>
  <c r="R89" i="19"/>
  <c r="AH193" i="19"/>
  <c r="P7" i="19"/>
  <c r="R178" i="19"/>
  <c r="Q214" i="19"/>
  <c r="R173" i="19"/>
  <c r="Q179" i="19"/>
  <c r="Q42" i="19" s="1"/>
  <c r="Q43" i="19" s="1"/>
  <c r="Q65" i="19" s="1"/>
  <c r="U214" i="23"/>
  <c r="V178" i="23"/>
  <c r="Z94" i="23"/>
  <c r="Y82" i="23"/>
  <c r="X171" i="23"/>
  <c r="Y89" i="23"/>
  <c r="U179" i="23"/>
  <c r="U42" i="23" s="1"/>
  <c r="U43" i="23" s="1"/>
  <c r="U65" i="23" s="1"/>
  <c r="V173" i="23"/>
  <c r="AL193" i="23"/>
  <c r="T7" i="23"/>
  <c r="Y94" i="22"/>
  <c r="AM193" i="22"/>
  <c r="U7" i="22"/>
  <c r="W173" i="22"/>
  <c r="V179" i="22"/>
  <c r="V42" i="22" s="1"/>
  <c r="V43" i="22" s="1"/>
  <c r="V65" i="22" s="1"/>
  <c r="U171" i="22"/>
  <c r="V89" i="22"/>
  <c r="W214" i="22"/>
  <c r="X178" i="22"/>
  <c r="V110" i="22"/>
  <c r="U82" i="22"/>
  <c r="U179" i="21"/>
  <c r="U42" i="21" s="1"/>
  <c r="U43" i="21" s="1"/>
  <c r="U65" i="21" s="1"/>
  <c r="V173" i="21"/>
  <c r="AL193" i="21"/>
  <c r="T7" i="21"/>
  <c r="Z94" i="21"/>
  <c r="Y82" i="21"/>
  <c r="U171" i="21"/>
  <c r="V89" i="21"/>
  <c r="U214" i="21"/>
  <c r="V178" i="21"/>
  <c r="U178" i="20"/>
  <c r="T214" i="20"/>
  <c r="S179" i="20"/>
  <c r="S42" i="20" s="1"/>
  <c r="S43" i="20" s="1"/>
  <c r="S65" i="20" s="1"/>
  <c r="T173" i="20"/>
  <c r="AJ193" i="20"/>
  <c r="R7" i="20"/>
  <c r="T171" i="20"/>
  <c r="U89" i="20"/>
  <c r="V82" i="20"/>
  <c r="W94" i="20"/>
  <c r="R214" i="19"/>
  <c r="S178" i="19"/>
  <c r="R171" i="19"/>
  <c r="S89" i="19"/>
  <c r="AI193" i="19"/>
  <c r="Q7" i="19"/>
  <c r="R179" i="19"/>
  <c r="R42" i="19" s="1"/>
  <c r="R43" i="19" s="1"/>
  <c r="R65" i="19" s="1"/>
  <c r="S173" i="19"/>
  <c r="S82" i="19"/>
  <c r="T94" i="19"/>
  <c r="AM193" i="23"/>
  <c r="U7" i="23"/>
  <c r="Y171" i="23"/>
  <c r="Z89" i="23"/>
  <c r="AA94" i="23"/>
  <c r="Z82" i="23"/>
  <c r="W178" i="23"/>
  <c r="V214" i="23"/>
  <c r="V179" i="23"/>
  <c r="V42" i="23" s="1"/>
  <c r="V43" i="23" s="1"/>
  <c r="V65" i="23" s="1"/>
  <c r="W173" i="23"/>
  <c r="V171" i="22"/>
  <c r="W89" i="22"/>
  <c r="AN193" i="22"/>
  <c r="V7" i="22"/>
  <c r="W110" i="22"/>
  <c r="V82" i="22"/>
  <c r="Y178" i="22"/>
  <c r="X214" i="22"/>
  <c r="Z94" i="22"/>
  <c r="X173" i="22"/>
  <c r="W179" i="22"/>
  <c r="W42" i="22" s="1"/>
  <c r="W43" i="22" s="1"/>
  <c r="W65" i="22" s="1"/>
  <c r="V171" i="21"/>
  <c r="W89" i="21"/>
  <c r="AA94" i="21"/>
  <c r="Z82" i="21"/>
  <c r="V214" i="21"/>
  <c r="W178" i="21"/>
  <c r="W173" i="21"/>
  <c r="V179" i="21"/>
  <c r="V42" i="21" s="1"/>
  <c r="V43" i="21" s="1"/>
  <c r="V65" i="21" s="1"/>
  <c r="AM193" i="21"/>
  <c r="U7" i="21"/>
  <c r="U171" i="20"/>
  <c r="V89" i="20"/>
  <c r="T179" i="20"/>
  <c r="T42" i="20" s="1"/>
  <c r="T43" i="20" s="1"/>
  <c r="T65" i="20" s="1"/>
  <c r="U173" i="20"/>
  <c r="AK193" i="20"/>
  <c r="S7" i="20"/>
  <c r="W82" i="20"/>
  <c r="X94" i="20"/>
  <c r="U214" i="20"/>
  <c r="V178" i="20"/>
  <c r="AJ193" i="19"/>
  <c r="R7" i="19"/>
  <c r="S171" i="19"/>
  <c r="T89" i="19"/>
  <c r="S179" i="19"/>
  <c r="S42" i="19" s="1"/>
  <c r="S43" i="19" s="1"/>
  <c r="S65" i="19" s="1"/>
  <c r="T173" i="19"/>
  <c r="T82" i="19"/>
  <c r="U94" i="19"/>
  <c r="S214" i="19"/>
  <c r="T178" i="19"/>
  <c r="W214" i="23"/>
  <c r="X178" i="23"/>
  <c r="Z171" i="23"/>
  <c r="AA89" i="23"/>
  <c r="AA82" i="23"/>
  <c r="AB94" i="23"/>
  <c r="X173" i="23"/>
  <c r="W179" i="23"/>
  <c r="W42" i="23" s="1"/>
  <c r="W43" i="23" s="1"/>
  <c r="W65" i="23" s="1"/>
  <c r="AN193" i="23"/>
  <c r="V7" i="23"/>
  <c r="AO193" i="22"/>
  <c r="W7" i="22"/>
  <c r="Y214" i="22"/>
  <c r="Z178" i="22"/>
  <c r="X110" i="22"/>
  <c r="W82" i="22"/>
  <c r="X179" i="22"/>
  <c r="X42" i="22" s="1"/>
  <c r="X43" i="22" s="1"/>
  <c r="X65" i="22" s="1"/>
  <c r="Y173" i="22"/>
  <c r="AA94" i="22"/>
  <c r="W171" i="22"/>
  <c r="X89" i="22"/>
  <c r="AN193" i="21"/>
  <c r="V7" i="21"/>
  <c r="W214" i="21"/>
  <c r="X178" i="21"/>
  <c r="AB94" i="21"/>
  <c r="AA82" i="21"/>
  <c r="X173" i="21"/>
  <c r="W179" i="21"/>
  <c r="W42" i="21" s="1"/>
  <c r="W43" i="21" s="1"/>
  <c r="W65" i="21" s="1"/>
  <c r="W171" i="21"/>
  <c r="X89" i="21"/>
  <c r="X82" i="20"/>
  <c r="Y94" i="20"/>
  <c r="U179" i="20"/>
  <c r="U42" i="20" s="1"/>
  <c r="U43" i="20" s="1"/>
  <c r="U65" i="20" s="1"/>
  <c r="V173" i="20"/>
  <c r="AL193" i="20"/>
  <c r="T7" i="20"/>
  <c r="W178" i="20"/>
  <c r="V214" i="20"/>
  <c r="V171" i="20"/>
  <c r="W89" i="20"/>
  <c r="U173" i="19"/>
  <c r="T179" i="19"/>
  <c r="T42" i="19" s="1"/>
  <c r="T43" i="19" s="1"/>
  <c r="T65" i="19" s="1"/>
  <c r="AK193" i="19"/>
  <c r="S7" i="19"/>
  <c r="V94" i="19"/>
  <c r="U82" i="19"/>
  <c r="T171" i="19"/>
  <c r="U89" i="19"/>
  <c r="T214" i="19"/>
  <c r="U178" i="19"/>
  <c r="AO193" i="23"/>
  <c r="W7" i="23"/>
  <c r="X179" i="23"/>
  <c r="X42" i="23" s="1"/>
  <c r="X43" i="23" s="1"/>
  <c r="X65" i="23" s="1"/>
  <c r="Y173" i="23"/>
  <c r="AC94" i="23"/>
  <c r="AB82" i="23"/>
  <c r="X214" i="23"/>
  <c r="Y178" i="23"/>
  <c r="AA171" i="23"/>
  <c r="AB89" i="23"/>
  <c r="AA178" i="22"/>
  <c r="Z214" i="22"/>
  <c r="AP193" i="22"/>
  <c r="X7" i="22"/>
  <c r="Y110" i="22"/>
  <c r="X82" i="22"/>
  <c r="X171" i="22"/>
  <c r="Y89" i="22"/>
  <c r="AB94" i="22"/>
  <c r="Z173" i="22"/>
  <c r="Y179" i="22"/>
  <c r="Y42" i="22" s="1"/>
  <c r="Y43" i="22" s="1"/>
  <c r="Y65" i="22" s="1"/>
  <c r="AO193" i="21"/>
  <c r="W7" i="21"/>
  <c r="X179" i="21"/>
  <c r="X42" i="21" s="1"/>
  <c r="X43" i="21" s="1"/>
  <c r="X65" i="21" s="1"/>
  <c r="Y173" i="21"/>
  <c r="AC94" i="21"/>
  <c r="AB82" i="21"/>
  <c r="X171" i="21"/>
  <c r="Y89" i="21"/>
  <c r="X214" i="21"/>
  <c r="Y178" i="21"/>
  <c r="W214" i="20"/>
  <c r="X178" i="20"/>
  <c r="W173" i="20"/>
  <c r="V179" i="20"/>
  <c r="V42" i="20" s="1"/>
  <c r="V43" i="20" s="1"/>
  <c r="V65" i="20" s="1"/>
  <c r="AM193" i="20"/>
  <c r="U7" i="20"/>
  <c r="W171" i="20"/>
  <c r="X89" i="20"/>
  <c r="Y82" i="20"/>
  <c r="Z94" i="20"/>
  <c r="W94" i="19"/>
  <c r="V82" i="19"/>
  <c r="U214" i="19"/>
  <c r="V178" i="19"/>
  <c r="AL193" i="19"/>
  <c r="T7" i="19"/>
  <c r="U171" i="19"/>
  <c r="V89" i="19"/>
  <c r="U179" i="19"/>
  <c r="U42" i="19" s="1"/>
  <c r="U43" i="19" s="1"/>
  <c r="U65" i="19" s="1"/>
  <c r="V173" i="19"/>
  <c r="Z173" i="23"/>
  <c r="Y179" i="23"/>
  <c r="Y42" i="23" s="1"/>
  <c r="Y43" i="23" s="1"/>
  <c r="Y65" i="23" s="1"/>
  <c r="Y214" i="23"/>
  <c r="Z178" i="23"/>
  <c r="AP193" i="23"/>
  <c r="X7" i="23"/>
  <c r="AD94" i="23"/>
  <c r="AC82" i="23"/>
  <c r="AB171" i="23"/>
  <c r="AC89" i="23"/>
  <c r="Y171" i="22"/>
  <c r="Z89" i="22"/>
  <c r="Z179" i="22"/>
  <c r="Z42" i="22" s="1"/>
  <c r="Z43" i="22" s="1"/>
  <c r="Z65" i="22" s="1"/>
  <c r="AA173" i="22"/>
  <c r="Z110" i="22"/>
  <c r="Y82" i="22"/>
  <c r="AQ193" i="22"/>
  <c r="Y7" i="22"/>
  <c r="AC94" i="22"/>
  <c r="AB178" i="22"/>
  <c r="AA214" i="22"/>
  <c r="Y171" i="21"/>
  <c r="Z89" i="21"/>
  <c r="AD94" i="21"/>
  <c r="AC82" i="21"/>
  <c r="Y179" i="21"/>
  <c r="Y42" i="21" s="1"/>
  <c r="Y43" i="21" s="1"/>
  <c r="Y65" i="21" s="1"/>
  <c r="Z173" i="21"/>
  <c r="Z178" i="21"/>
  <c r="Y214" i="21"/>
  <c r="AP193" i="21"/>
  <c r="X7" i="21"/>
  <c r="AN193" i="20"/>
  <c r="V7" i="20"/>
  <c r="X173" i="20"/>
  <c r="W179" i="20"/>
  <c r="W42" i="20" s="1"/>
  <c r="W43" i="20" s="1"/>
  <c r="W65" i="20" s="1"/>
  <c r="X171" i="20"/>
  <c r="Y89" i="20"/>
  <c r="Z82" i="20"/>
  <c r="AA94" i="20"/>
  <c r="X214" i="20"/>
  <c r="Y178" i="20"/>
  <c r="V214" i="19"/>
  <c r="W178" i="19"/>
  <c r="V171" i="19"/>
  <c r="W89" i="19"/>
  <c r="W173" i="19"/>
  <c r="V179" i="19"/>
  <c r="V42" i="19" s="1"/>
  <c r="V43" i="19" s="1"/>
  <c r="V65" i="19" s="1"/>
  <c r="AM193" i="19"/>
  <c r="U7" i="19"/>
  <c r="X94" i="19"/>
  <c r="W82" i="19"/>
  <c r="AD82" i="23"/>
  <c r="AE94" i="23"/>
  <c r="Z214" i="23"/>
  <c r="AA178" i="23"/>
  <c r="AC171" i="23"/>
  <c r="AD89" i="23"/>
  <c r="AQ193" i="23"/>
  <c r="Y7" i="23"/>
  <c r="AA173" i="23"/>
  <c r="Z179" i="23"/>
  <c r="Z43" i="23" s="1"/>
  <c r="Z65" i="23" s="1"/>
  <c r="AR193" i="22"/>
  <c r="Z7" i="22"/>
  <c r="AA110" i="22"/>
  <c r="Z82" i="22"/>
  <c r="AA179" i="22"/>
  <c r="AA42" i="22" s="1"/>
  <c r="AA43" i="22" s="1"/>
  <c r="AA65" i="22" s="1"/>
  <c r="AB173" i="22"/>
  <c r="Z171" i="22"/>
  <c r="AA89" i="22"/>
  <c r="AC178" i="22"/>
  <c r="AB214" i="22"/>
  <c r="AD94" i="22"/>
  <c r="Z214" i="21"/>
  <c r="AA178" i="21"/>
  <c r="Z179" i="21"/>
  <c r="AA173" i="21"/>
  <c r="AE94" i="21"/>
  <c r="AD82" i="21"/>
  <c r="Z171" i="21"/>
  <c r="AA89" i="21"/>
  <c r="AQ193" i="21"/>
  <c r="Y7" i="21"/>
  <c r="AA82" i="20"/>
  <c r="AB94" i="20"/>
  <c r="Y171" i="20"/>
  <c r="Z89" i="20"/>
  <c r="AO193" i="20"/>
  <c r="W7" i="20"/>
  <c r="Y173" i="20"/>
  <c r="X179" i="20"/>
  <c r="X42" i="20" s="1"/>
  <c r="X43" i="20" s="1"/>
  <c r="X65" i="20" s="1"/>
  <c r="Z178" i="20"/>
  <c r="Y214" i="20"/>
  <c r="AN193" i="19"/>
  <c r="V7" i="19"/>
  <c r="X173" i="19"/>
  <c r="W179" i="19"/>
  <c r="W42" i="19" s="1"/>
  <c r="W43" i="19" s="1"/>
  <c r="W65" i="19" s="1"/>
  <c r="W171" i="19"/>
  <c r="X89" i="19"/>
  <c r="W214" i="19"/>
  <c r="X178" i="19"/>
  <c r="X82" i="19"/>
  <c r="Y94" i="19"/>
  <c r="AA214" i="23"/>
  <c r="AB178" i="23"/>
  <c r="AD171" i="23"/>
  <c r="AE89" i="23"/>
  <c r="AR193" i="23"/>
  <c r="Z7" i="23"/>
  <c r="AE82" i="23"/>
  <c r="AF94" i="23"/>
  <c r="AF82" i="23" s="1"/>
  <c r="AB173" i="23"/>
  <c r="AA179" i="23"/>
  <c r="AA42" i="23" s="1"/>
  <c r="AA43" i="23" s="1"/>
  <c r="AA65" i="23" s="1"/>
  <c r="AA171" i="22"/>
  <c r="AB89" i="22"/>
  <c r="AS193" i="22"/>
  <c r="AA7" i="22"/>
  <c r="AC173" i="22"/>
  <c r="AB179" i="22"/>
  <c r="AB42" i="22" s="1"/>
  <c r="AB43" i="22" s="1"/>
  <c r="AB65" i="22" s="1"/>
  <c r="AE94" i="22"/>
  <c r="AB110" i="22"/>
  <c r="AA82" i="22"/>
  <c r="AD178" i="22"/>
  <c r="AC214" i="22"/>
  <c r="AA214" i="21"/>
  <c r="AB178" i="21"/>
  <c r="AA171" i="21"/>
  <c r="AB89" i="21"/>
  <c r="AE82" i="21"/>
  <c r="AF94" i="21"/>
  <c r="AF82" i="21" s="1"/>
  <c r="AA179" i="21"/>
  <c r="AA42" i="21" s="1"/>
  <c r="AA43" i="21" s="1"/>
  <c r="AA65" i="21" s="1"/>
  <c r="AB173" i="21"/>
  <c r="AP193" i="20"/>
  <c r="X7" i="20"/>
  <c r="Y179" i="20"/>
  <c r="Y42" i="20" s="1"/>
  <c r="Y43" i="20" s="1"/>
  <c r="Y65" i="20" s="1"/>
  <c r="Z173" i="20"/>
  <c r="Z171" i="20"/>
  <c r="AA89" i="20"/>
  <c r="AC94" i="20"/>
  <c r="AB82" i="20"/>
  <c r="Z214" i="20"/>
  <c r="AA178" i="20"/>
  <c r="X171" i="19"/>
  <c r="Y89" i="19"/>
  <c r="AO193" i="19"/>
  <c r="W7" i="19"/>
  <c r="X214" i="19"/>
  <c r="Y178" i="19"/>
  <c r="Y173" i="19"/>
  <c r="X179" i="19"/>
  <c r="X42" i="19" s="1"/>
  <c r="X43" i="19" s="1"/>
  <c r="X65" i="19" s="1"/>
  <c r="Z94" i="19"/>
  <c r="Y82" i="19"/>
  <c r="AE171" i="23"/>
  <c r="AF89" i="23"/>
  <c r="AF171" i="23" s="1"/>
  <c r="AI82" i="23"/>
  <c r="AH82" i="23"/>
  <c r="AS193" i="23"/>
  <c r="AA7" i="23"/>
  <c r="AB214" i="23"/>
  <c r="AC178" i="23"/>
  <c r="AC173" i="23"/>
  <c r="AB179" i="23"/>
  <c r="AB42" i="23" s="1"/>
  <c r="AB43" i="23" s="1"/>
  <c r="AB65" i="23" s="1"/>
  <c r="AF94" i="22"/>
  <c r="AT193" i="22"/>
  <c r="AB7" i="22"/>
  <c r="AE178" i="22"/>
  <c r="AD214" i="22"/>
  <c r="AC179" i="22"/>
  <c r="AC42" i="22" s="1"/>
  <c r="AC43" i="22" s="1"/>
  <c r="AC65" i="22" s="1"/>
  <c r="AD173" i="22"/>
  <c r="AB171" i="22"/>
  <c r="AC89" i="22"/>
  <c r="AC110" i="22"/>
  <c r="AB82" i="22"/>
  <c r="AS193" i="21"/>
  <c r="AA7" i="21"/>
  <c r="AI82" i="21"/>
  <c r="AH82" i="21"/>
  <c r="AB179" i="21"/>
  <c r="AB42" i="21" s="1"/>
  <c r="AB43" i="21" s="1"/>
  <c r="AB65" i="21" s="1"/>
  <c r="AC173" i="21"/>
  <c r="AB171" i="21"/>
  <c r="AC89" i="21"/>
  <c r="AB214" i="21"/>
  <c r="AC178" i="21"/>
  <c r="AC82" i="20"/>
  <c r="AD94" i="20"/>
  <c r="AA171" i="20"/>
  <c r="AB89" i="20"/>
  <c r="AA173" i="20"/>
  <c r="Z179" i="20"/>
  <c r="Z43" i="20" s="1"/>
  <c r="Z65" i="20" s="1"/>
  <c r="AQ193" i="20"/>
  <c r="Y7" i="20"/>
  <c r="AA214" i="20"/>
  <c r="AB178" i="20"/>
  <c r="AP193" i="19"/>
  <c r="X7" i="19"/>
  <c r="Z173" i="19"/>
  <c r="Y179" i="19"/>
  <c r="Y42" i="19" s="1"/>
  <c r="Y43" i="19" s="1"/>
  <c r="Y65" i="19" s="1"/>
  <c r="Z178" i="19"/>
  <c r="Y214" i="19"/>
  <c r="Y171" i="19"/>
  <c r="Z89" i="19"/>
  <c r="Z82" i="19"/>
  <c r="AA94" i="19"/>
  <c r="AC214" i="23"/>
  <c r="AD178" i="23"/>
  <c r="AT193" i="23"/>
  <c r="AB7" i="23"/>
  <c r="AC179" i="23"/>
  <c r="AC42" i="23" s="1"/>
  <c r="AC43" i="23" s="1"/>
  <c r="AC65" i="23" s="1"/>
  <c r="AD173" i="23"/>
  <c r="AU193" i="22"/>
  <c r="AC7" i="22"/>
  <c r="AE214" i="22"/>
  <c r="AF178" i="22"/>
  <c r="AF214" i="22" s="1"/>
  <c r="AD110" i="22"/>
  <c r="AC82" i="22"/>
  <c r="AC171" i="22"/>
  <c r="AD89" i="22"/>
  <c r="AE173" i="22"/>
  <c r="AD179" i="22"/>
  <c r="AD42" i="22" s="1"/>
  <c r="AD43" i="22" s="1"/>
  <c r="AD65" i="22" s="1"/>
  <c r="AC171" i="21"/>
  <c r="AD89" i="21"/>
  <c r="AC179" i="21"/>
  <c r="AC42" i="21" s="1"/>
  <c r="AC43" i="21" s="1"/>
  <c r="AC65" i="21" s="1"/>
  <c r="AD173" i="21"/>
  <c r="AC214" i="21"/>
  <c r="AD178" i="21"/>
  <c r="AT193" i="21"/>
  <c r="AB7" i="21"/>
  <c r="AR193" i="20"/>
  <c r="Z7" i="20"/>
  <c r="AA179" i="20"/>
  <c r="AA42" i="20" s="1"/>
  <c r="AA43" i="20" s="1"/>
  <c r="AA65" i="20" s="1"/>
  <c r="AB173" i="20"/>
  <c r="AB171" i="20"/>
  <c r="AC89" i="20"/>
  <c r="AC178" i="20"/>
  <c r="AB214" i="20"/>
  <c r="AD82" i="20"/>
  <c r="AE94" i="20"/>
  <c r="Z214" i="19"/>
  <c r="AA178" i="19"/>
  <c r="AQ193" i="19"/>
  <c r="Y7" i="19"/>
  <c r="Z179" i="19"/>
  <c r="Z43" i="19" s="1"/>
  <c r="Z65" i="19" s="1"/>
  <c r="AA173" i="19"/>
  <c r="Z171" i="19"/>
  <c r="AA89" i="19"/>
  <c r="AB94" i="19"/>
  <c r="AA82" i="19"/>
  <c r="AD179" i="23"/>
  <c r="AD42" i="23" s="1"/>
  <c r="AD43" i="23" s="1"/>
  <c r="AD65" i="23" s="1"/>
  <c r="AE173" i="23"/>
  <c r="AU193" i="23"/>
  <c r="AC7" i="23"/>
  <c r="AD214" i="23"/>
  <c r="AE178" i="23"/>
  <c r="AE110" i="22"/>
  <c r="AD82" i="22"/>
  <c r="AF173" i="22"/>
  <c r="AF179" i="22" s="1"/>
  <c r="AF42" i="22" s="1"/>
  <c r="AE179" i="22"/>
  <c r="AE42" i="22" s="1"/>
  <c r="AE43" i="22" s="1"/>
  <c r="AE65" i="22" s="1"/>
  <c r="AD171" i="22"/>
  <c r="AE89" i="22"/>
  <c r="AV193" i="22"/>
  <c r="AD7" i="22"/>
  <c r="AD214" i="21"/>
  <c r="AE178" i="21"/>
  <c r="AE173" i="21"/>
  <c r="AD179" i="21"/>
  <c r="AD42" i="21" s="1"/>
  <c r="AD43" i="21" s="1"/>
  <c r="AD65" i="21" s="1"/>
  <c r="AD171" i="21"/>
  <c r="AE89" i="21"/>
  <c r="AU193" i="21"/>
  <c r="AC7" i="21"/>
  <c r="AC214" i="20"/>
  <c r="AD178" i="20"/>
  <c r="AC171" i="20"/>
  <c r="AD89" i="20"/>
  <c r="AB179" i="20"/>
  <c r="AB42" i="20" s="1"/>
  <c r="AB43" i="20" s="1"/>
  <c r="AB65" i="20" s="1"/>
  <c r="AC173" i="20"/>
  <c r="AS193" i="20"/>
  <c r="AA7" i="20"/>
  <c r="AE82" i="20"/>
  <c r="AF94" i="20"/>
  <c r="AF82" i="20" s="1"/>
  <c r="AA179" i="19"/>
  <c r="AA43" i="19" s="1"/>
  <c r="AA65" i="19" s="1"/>
  <c r="AB173" i="19"/>
  <c r="AR193" i="19"/>
  <c r="Z7" i="19"/>
  <c r="AA171" i="19"/>
  <c r="AB89" i="19"/>
  <c r="AA214" i="19"/>
  <c r="AB178" i="19"/>
  <c r="AB82" i="19"/>
  <c r="AC94" i="19"/>
  <c r="AE214" i="23"/>
  <c r="AF178" i="23"/>
  <c r="AF214" i="23" s="1"/>
  <c r="AE179" i="23"/>
  <c r="AE42" i="23" s="1"/>
  <c r="AE43" i="23" s="1"/>
  <c r="AE65" i="23" s="1"/>
  <c r="AF173" i="23"/>
  <c r="AV193" i="23"/>
  <c r="AD7" i="23"/>
  <c r="AE171" i="22"/>
  <c r="AF89" i="22"/>
  <c r="AW193" i="22"/>
  <c r="AE7" i="22"/>
  <c r="AF43" i="22"/>
  <c r="AH42" i="22"/>
  <c r="AI42" i="22"/>
  <c r="AF110" i="22"/>
  <c r="AF82" i="22" s="1"/>
  <c r="AE82" i="22"/>
  <c r="AE171" i="21"/>
  <c r="AF89" i="21"/>
  <c r="AF171" i="21" s="1"/>
  <c r="AV193" i="21"/>
  <c r="AD7" i="21"/>
  <c r="AF173" i="21"/>
  <c r="AE179" i="21"/>
  <c r="AE42" i="21" s="1"/>
  <c r="AE43" i="21" s="1"/>
  <c r="AE65" i="21" s="1"/>
  <c r="AE214" i="21"/>
  <c r="AF178" i="21"/>
  <c r="AF214" i="21" s="1"/>
  <c r="AC179" i="20"/>
  <c r="AC42" i="20" s="1"/>
  <c r="AC43" i="20" s="1"/>
  <c r="AC65" i="20" s="1"/>
  <c r="AD173" i="20"/>
  <c r="AT193" i="20"/>
  <c r="AB7" i="20"/>
  <c r="AD171" i="20"/>
  <c r="AE89" i="20"/>
  <c r="AI82" i="20"/>
  <c r="AH82" i="20"/>
  <c r="AD214" i="20"/>
  <c r="AE178" i="20"/>
  <c r="AB171" i="19"/>
  <c r="AC89" i="19"/>
  <c r="AD94" i="19"/>
  <c r="AC82" i="19"/>
  <c r="AC173" i="19"/>
  <c r="AB179" i="19"/>
  <c r="AB42" i="19" s="1"/>
  <c r="AB43" i="19" s="1"/>
  <c r="AB65" i="19" s="1"/>
  <c r="AB214" i="19"/>
  <c r="AC178" i="19"/>
  <c r="AS193" i="19"/>
  <c r="AA7" i="19"/>
  <c r="AF179" i="23"/>
  <c r="AF42" i="23" s="1"/>
  <c r="AF43" i="23" s="1"/>
  <c r="AW193" i="23"/>
  <c r="AE7" i="23"/>
  <c r="AI82" i="22"/>
  <c r="AH82" i="22"/>
  <c r="AF65" i="22"/>
  <c r="AI43" i="22"/>
  <c r="AH43" i="22"/>
  <c r="AF171" i="22"/>
  <c r="AW193" i="21"/>
  <c r="AE7" i="21"/>
  <c r="AF179" i="21"/>
  <c r="AF42" i="21" s="1"/>
  <c r="AE171" i="20"/>
  <c r="AF89" i="20"/>
  <c r="AF171" i="20" s="1"/>
  <c r="AE214" i="20"/>
  <c r="AF178" i="20"/>
  <c r="AF214" i="20" s="1"/>
  <c r="AD179" i="20"/>
  <c r="AD42" i="20" s="1"/>
  <c r="AD43" i="20" s="1"/>
  <c r="AD65" i="20" s="1"/>
  <c r="AE173" i="20"/>
  <c r="AU193" i="20"/>
  <c r="AC7" i="20"/>
  <c r="AC214" i="19"/>
  <c r="AD178" i="19"/>
  <c r="AT193" i="19"/>
  <c r="AB7" i="19"/>
  <c r="AC179" i="19"/>
  <c r="AC42" i="19" s="1"/>
  <c r="AC43" i="19" s="1"/>
  <c r="AC65" i="19" s="1"/>
  <c r="AD173" i="19"/>
  <c r="AD82" i="19"/>
  <c r="AE94" i="19"/>
  <c r="AC171" i="19"/>
  <c r="AD89" i="19"/>
  <c r="AI42" i="23"/>
  <c r="AH42" i="23"/>
  <c r="AF65" i="23"/>
  <c r="AH43" i="23"/>
  <c r="AI43" i="23"/>
  <c r="AX193" i="22"/>
  <c r="AF7" i="22"/>
  <c r="A7" i="22" s="1"/>
  <c r="AH65" i="22"/>
  <c r="AI65" i="22"/>
  <c r="AF43" i="21"/>
  <c r="AH42" i="21"/>
  <c r="AI42" i="21"/>
  <c r="AF173" i="20"/>
  <c r="AF179" i="20" s="1"/>
  <c r="AF42" i="20" s="1"/>
  <c r="AE179" i="20"/>
  <c r="AE42" i="20" s="1"/>
  <c r="AE43" i="20" s="1"/>
  <c r="AE65" i="20" s="1"/>
  <c r="AV193" i="20"/>
  <c r="AD7" i="20"/>
  <c r="AE173" i="19"/>
  <c r="AD179" i="19"/>
  <c r="AD42" i="19" s="1"/>
  <c r="AD43" i="19" s="1"/>
  <c r="AD65" i="19" s="1"/>
  <c r="AE82" i="19"/>
  <c r="AF94" i="19"/>
  <c r="AF82" i="19" s="1"/>
  <c r="AU193" i="19"/>
  <c r="AC7" i="19"/>
  <c r="AD171" i="19"/>
  <c r="AE89" i="19"/>
  <c r="AD214" i="19"/>
  <c r="AE178" i="19"/>
  <c r="AX193" i="23"/>
  <c r="AF7" i="23"/>
  <c r="A7" i="23" s="1"/>
  <c r="AH65" i="23"/>
  <c r="AI65" i="23"/>
  <c r="AF65" i="21"/>
  <c r="AH43" i="21"/>
  <c r="AI43" i="21"/>
  <c r="AW193" i="20"/>
  <c r="AE7" i="20"/>
  <c r="AF43" i="20"/>
  <c r="AH42" i="20"/>
  <c r="AI42" i="20"/>
  <c r="AE171" i="19"/>
  <c r="AF89" i="19"/>
  <c r="AF171" i="19" s="1"/>
  <c r="AI82" i="19"/>
  <c r="AH82" i="19"/>
  <c r="AE214" i="19"/>
  <c r="AF178" i="19"/>
  <c r="AF214" i="19" s="1"/>
  <c r="AV193" i="19"/>
  <c r="AD7" i="19"/>
  <c r="AF173" i="19"/>
  <c r="AE179" i="19"/>
  <c r="AE42" i="19" s="1"/>
  <c r="AE43" i="19" s="1"/>
  <c r="AE65" i="19" s="1"/>
  <c r="AX193" i="21"/>
  <c r="AF7" i="21"/>
  <c r="A7" i="21" s="1"/>
  <c r="AH65" i="21"/>
  <c r="AI65" i="21"/>
  <c r="AF65" i="20"/>
  <c r="AI43" i="20"/>
  <c r="AH43" i="20"/>
  <c r="AW193" i="19"/>
  <c r="AE7" i="19"/>
  <c r="AF179" i="19"/>
  <c r="AF42" i="19" s="1"/>
  <c r="AX193" i="20"/>
  <c r="AF7" i="20"/>
  <c r="A7" i="20" s="1"/>
  <c r="AH65" i="20"/>
  <c r="AI65" i="20"/>
  <c r="AF43" i="19"/>
  <c r="AH42" i="19"/>
  <c r="AI42" i="19"/>
  <c r="AF65" i="19"/>
  <c r="AI43" i="19"/>
  <c r="AH43" i="19"/>
  <c r="AX193" i="19"/>
  <c r="AF7" i="19"/>
  <c r="A7" i="19" s="1"/>
  <c r="AI65" i="19"/>
  <c r="AH65" i="19"/>
  <c r="AF218" i="18"/>
  <c r="AE218" i="18"/>
  <c r="AD218" i="18"/>
  <c r="AC218" i="18"/>
  <c r="AB218" i="18"/>
  <c r="AA218" i="18"/>
  <c r="Z218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A218" i="18"/>
  <c r="AF217" i="18"/>
  <c r="AE217" i="18"/>
  <c r="AD217" i="18"/>
  <c r="AC217" i="18"/>
  <c r="AB217" i="18"/>
  <c r="AA217" i="18"/>
  <c r="Z217" i="18"/>
  <c r="Y217" i="18"/>
  <c r="X217" i="18"/>
  <c r="W217" i="18"/>
  <c r="V217" i="18"/>
  <c r="U217" i="18"/>
  <c r="T217" i="18"/>
  <c r="S217" i="18"/>
  <c r="R217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E217" i="18"/>
  <c r="D217" i="18"/>
  <c r="C217" i="18"/>
  <c r="B217" i="18"/>
  <c r="A217" i="18"/>
  <c r="AF216" i="18"/>
  <c r="AE216" i="18"/>
  <c r="AD216" i="18"/>
  <c r="AC216" i="18"/>
  <c r="AB216" i="18"/>
  <c r="AA216" i="18"/>
  <c r="Z216" i="18"/>
  <c r="Y216" i="18"/>
  <c r="X216" i="18"/>
  <c r="W216" i="18"/>
  <c r="V216" i="18"/>
  <c r="U216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C216" i="18"/>
  <c r="B216" i="18"/>
  <c r="A216" i="18"/>
  <c r="AF215" i="18"/>
  <c r="AE215" i="18"/>
  <c r="AD215" i="18"/>
  <c r="AC215" i="18"/>
  <c r="AB215" i="18"/>
  <c r="AA215" i="18"/>
  <c r="Z215" i="18"/>
  <c r="Y215" i="18"/>
  <c r="X215" i="18"/>
  <c r="W215" i="18"/>
  <c r="V215" i="18"/>
  <c r="U215" i="18"/>
  <c r="T215" i="18"/>
  <c r="S215" i="18"/>
  <c r="R215" i="18"/>
  <c r="Q215" i="18"/>
  <c r="P215" i="18"/>
  <c r="O215" i="18"/>
  <c r="N215" i="18"/>
  <c r="M215" i="18"/>
  <c r="L215" i="18"/>
  <c r="K215" i="18"/>
  <c r="J215" i="18"/>
  <c r="I215" i="18"/>
  <c r="H215" i="18"/>
  <c r="G215" i="18"/>
  <c r="F215" i="18"/>
  <c r="E215" i="18"/>
  <c r="D215" i="18"/>
  <c r="C215" i="18"/>
  <c r="B215" i="18"/>
  <c r="A215" i="18"/>
  <c r="C214" i="18"/>
  <c r="B214" i="18"/>
  <c r="S189" i="18"/>
  <c r="AG179" i="18"/>
  <c r="B179" i="18"/>
  <c r="C178" i="18"/>
  <c r="D178" i="18" s="1"/>
  <c r="D177" i="18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C177" i="18"/>
  <c r="C176" i="18"/>
  <c r="D176" i="18" s="1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E175" i="18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C175" i="18"/>
  <c r="D175" i="18" s="1"/>
  <c r="D174" i="18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C174" i="18"/>
  <c r="D173" i="18"/>
  <c r="C173" i="18"/>
  <c r="AG171" i="18"/>
  <c r="B171" i="18"/>
  <c r="G170" i="18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D170" i="18"/>
  <c r="E170" i="18" s="1"/>
  <c r="F170" i="18" s="1"/>
  <c r="C170" i="18"/>
  <c r="E169" i="18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C169" i="18"/>
  <c r="D169" i="18" s="1"/>
  <c r="E168" i="18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D168" i="18"/>
  <c r="C168" i="18"/>
  <c r="C167" i="18"/>
  <c r="D167" i="18" s="1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W166" i="18"/>
  <c r="X166" i="18" s="1"/>
  <c r="Y166" i="18" s="1"/>
  <c r="Z166" i="18" s="1"/>
  <c r="AA166" i="18" s="1"/>
  <c r="AB166" i="18" s="1"/>
  <c r="AC166" i="18" s="1"/>
  <c r="AD166" i="18" s="1"/>
  <c r="AE166" i="18" s="1"/>
  <c r="AF166" i="18" s="1"/>
  <c r="C166" i="18"/>
  <c r="D166" i="18" s="1"/>
  <c r="E166" i="18" s="1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E165" i="18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C165" i="18"/>
  <c r="D165" i="18" s="1"/>
  <c r="D164" i="18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C164" i="18"/>
  <c r="R163" i="18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D163" i="18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C163" i="18"/>
  <c r="D162" i="18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C162" i="18"/>
  <c r="C161" i="18"/>
  <c r="D161" i="18" s="1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K160" i="18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F160" i="18"/>
  <c r="G160" i="18" s="1"/>
  <c r="H160" i="18" s="1"/>
  <c r="I160" i="18" s="1"/>
  <c r="J160" i="18" s="1"/>
  <c r="C160" i="18"/>
  <c r="D160" i="18" s="1"/>
  <c r="E160" i="18" s="1"/>
  <c r="E159" i="18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D159" i="18"/>
  <c r="C159" i="18"/>
  <c r="X158" i="18"/>
  <c r="Y158" i="18" s="1"/>
  <c r="Z158" i="18" s="1"/>
  <c r="AA158" i="18" s="1"/>
  <c r="AB158" i="18" s="1"/>
  <c r="AC158" i="18" s="1"/>
  <c r="AD158" i="18" s="1"/>
  <c r="AE158" i="18" s="1"/>
  <c r="AF158" i="18" s="1"/>
  <c r="D158" i="18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C158" i="18"/>
  <c r="P157" i="18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F157" i="18"/>
  <c r="G157" i="18" s="1"/>
  <c r="H157" i="18" s="1"/>
  <c r="I157" i="18" s="1"/>
  <c r="J157" i="18" s="1"/>
  <c r="K157" i="18" s="1"/>
  <c r="L157" i="18" s="1"/>
  <c r="M157" i="18" s="1"/>
  <c r="N157" i="18" s="1"/>
  <c r="O157" i="18" s="1"/>
  <c r="D157" i="18"/>
  <c r="E157" i="18" s="1"/>
  <c r="C157" i="18"/>
  <c r="K156" i="18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F156" i="18"/>
  <c r="G156" i="18" s="1"/>
  <c r="H156" i="18" s="1"/>
  <c r="I156" i="18" s="1"/>
  <c r="J156" i="18" s="1"/>
  <c r="C156" i="18"/>
  <c r="D156" i="18" s="1"/>
  <c r="E156" i="18" s="1"/>
  <c r="C155" i="18"/>
  <c r="D155" i="18" s="1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D154" i="18"/>
  <c r="E154" i="18" s="1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C154" i="18"/>
  <c r="I153" i="18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F153" i="18"/>
  <c r="G153" i="18" s="1"/>
  <c r="H153" i="18" s="1"/>
  <c r="E153" i="18"/>
  <c r="D153" i="18"/>
  <c r="C153" i="18"/>
  <c r="C152" i="18"/>
  <c r="D152" i="18" s="1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F151" i="18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E151" i="18"/>
  <c r="D151" i="18"/>
  <c r="C151" i="18"/>
  <c r="C150" i="18"/>
  <c r="D150" i="18" s="1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I149" i="18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C149" i="18"/>
  <c r="D149" i="18" s="1"/>
  <c r="E149" i="18" s="1"/>
  <c r="F149" i="18" s="1"/>
  <c r="G149" i="18" s="1"/>
  <c r="H149" i="18" s="1"/>
  <c r="AA148" i="18"/>
  <c r="AB148" i="18" s="1"/>
  <c r="AC148" i="18" s="1"/>
  <c r="AD148" i="18" s="1"/>
  <c r="AE148" i="18" s="1"/>
  <c r="AF148" i="18" s="1"/>
  <c r="G148" i="18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D148" i="18"/>
  <c r="E148" i="18" s="1"/>
  <c r="F148" i="18" s="1"/>
  <c r="C148" i="18"/>
  <c r="O147" i="18"/>
  <c r="P147" i="18" s="1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E147" i="18"/>
  <c r="F147" i="18" s="1"/>
  <c r="G147" i="18" s="1"/>
  <c r="H147" i="18" s="1"/>
  <c r="I147" i="18" s="1"/>
  <c r="J147" i="18" s="1"/>
  <c r="K147" i="18" s="1"/>
  <c r="L147" i="18" s="1"/>
  <c r="M147" i="18" s="1"/>
  <c r="N147" i="18" s="1"/>
  <c r="C147" i="18"/>
  <c r="D147" i="18" s="1"/>
  <c r="D146" i="18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C146" i="18"/>
  <c r="L145" i="18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C145" i="18"/>
  <c r="D145" i="18" s="1"/>
  <c r="E145" i="18" s="1"/>
  <c r="F145" i="18" s="1"/>
  <c r="G145" i="18" s="1"/>
  <c r="H145" i="18" s="1"/>
  <c r="I145" i="18" s="1"/>
  <c r="J145" i="18" s="1"/>
  <c r="K145" i="18" s="1"/>
  <c r="D144" i="18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C144" i="18"/>
  <c r="H143" i="18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C143" i="18"/>
  <c r="D143" i="18" s="1"/>
  <c r="E143" i="18" s="1"/>
  <c r="F143" i="18" s="1"/>
  <c r="G143" i="18" s="1"/>
  <c r="C142" i="18"/>
  <c r="D142" i="18" s="1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I141" i="18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E141" i="18"/>
  <c r="F141" i="18" s="1"/>
  <c r="G141" i="18" s="1"/>
  <c r="H141" i="18" s="1"/>
  <c r="D141" i="18"/>
  <c r="C141" i="18"/>
  <c r="G140" i="18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C140" i="18"/>
  <c r="D140" i="18" s="1"/>
  <c r="E140" i="18" s="1"/>
  <c r="F140" i="18" s="1"/>
  <c r="E139" i="18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D139" i="18"/>
  <c r="C139" i="18"/>
  <c r="C138" i="18"/>
  <c r="D138" i="18" s="1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E137" i="18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D137" i="18"/>
  <c r="C137" i="18"/>
  <c r="C136" i="18"/>
  <c r="D136" i="18" s="1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D135" i="18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C135" i="18"/>
  <c r="C134" i="18"/>
  <c r="D134" i="18" s="1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E133" i="18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D133" i="18"/>
  <c r="C133" i="18"/>
  <c r="D132" i="18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C132" i="18"/>
  <c r="E131" i="18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D131" i="18"/>
  <c r="C131" i="18"/>
  <c r="D130" i="18"/>
  <c r="E130" i="18" s="1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C130" i="18"/>
  <c r="C129" i="18"/>
  <c r="D129" i="18" s="1"/>
  <c r="E129" i="18" s="1"/>
  <c r="F129" i="18" s="1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I128" i="18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C128" i="18"/>
  <c r="D128" i="18" s="1"/>
  <c r="E128" i="18" s="1"/>
  <c r="F128" i="18" s="1"/>
  <c r="G128" i="18" s="1"/>
  <c r="H128" i="18" s="1"/>
  <c r="F127" i="18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E127" i="18"/>
  <c r="D127" i="18"/>
  <c r="C127" i="18"/>
  <c r="F126" i="18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6" i="18"/>
  <c r="D126" i="18" s="1"/>
  <c r="E126" i="18" s="1"/>
  <c r="C125" i="18"/>
  <c r="D125" i="18" s="1"/>
  <c r="E125" i="18" s="1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K124" i="18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F124" i="18"/>
  <c r="G124" i="18" s="1"/>
  <c r="H124" i="18" s="1"/>
  <c r="I124" i="18" s="1"/>
  <c r="J124" i="18" s="1"/>
  <c r="D124" i="18"/>
  <c r="E124" i="18" s="1"/>
  <c r="C124" i="18"/>
  <c r="E123" i="18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D123" i="18"/>
  <c r="C123" i="18"/>
  <c r="E122" i="18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D122" i="18"/>
  <c r="C122" i="18"/>
  <c r="E121" i="18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1" i="18"/>
  <c r="D121" i="18" s="1"/>
  <c r="J120" i="18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C120" i="18"/>
  <c r="D120" i="18" s="1"/>
  <c r="E120" i="18" s="1"/>
  <c r="F120" i="18" s="1"/>
  <c r="G120" i="18" s="1"/>
  <c r="H120" i="18" s="1"/>
  <c r="I120" i="18" s="1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C119" i="18"/>
  <c r="E118" i="18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D118" i="18"/>
  <c r="C118" i="18"/>
  <c r="M117" i="18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C117" i="18"/>
  <c r="D117" i="18" s="1"/>
  <c r="E117" i="18" s="1"/>
  <c r="F117" i="18" s="1"/>
  <c r="G117" i="18" s="1"/>
  <c r="H117" i="18" s="1"/>
  <c r="I117" i="18" s="1"/>
  <c r="J117" i="18" s="1"/>
  <c r="K117" i="18" s="1"/>
  <c r="L117" i="18" s="1"/>
  <c r="F116" i="18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C116" i="18"/>
  <c r="D116" i="18" s="1"/>
  <c r="E116" i="18" s="1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C115" i="18"/>
  <c r="D114" i="18"/>
  <c r="E114" i="18" s="1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4" i="18"/>
  <c r="C113" i="18"/>
  <c r="D113" i="18" s="1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F112" i="18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D112" i="18"/>
  <c r="E112" i="18" s="1"/>
  <c r="C112" i="18"/>
  <c r="T111" i="18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L111" i="18"/>
  <c r="M111" i="18" s="1"/>
  <c r="N111" i="18" s="1"/>
  <c r="O111" i="18" s="1"/>
  <c r="P111" i="18" s="1"/>
  <c r="Q111" i="18" s="1"/>
  <c r="R111" i="18" s="1"/>
  <c r="S111" i="18" s="1"/>
  <c r="D111" i="18"/>
  <c r="E111" i="18" s="1"/>
  <c r="F111" i="18" s="1"/>
  <c r="G111" i="18" s="1"/>
  <c r="H111" i="18" s="1"/>
  <c r="I111" i="18" s="1"/>
  <c r="J111" i="18" s="1"/>
  <c r="K111" i="18" s="1"/>
  <c r="C111" i="18"/>
  <c r="C110" i="18"/>
  <c r="D110" i="18" s="1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C109" i="18"/>
  <c r="D109" i="18" s="1"/>
  <c r="E109" i="18" s="1"/>
  <c r="F109" i="18" s="1"/>
  <c r="G109" i="18" s="1"/>
  <c r="H109" i="18" s="1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F108" i="18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D108" i="18"/>
  <c r="E108" i="18" s="1"/>
  <c r="C108" i="18"/>
  <c r="T107" i="18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L107" i="18"/>
  <c r="M107" i="18" s="1"/>
  <c r="N107" i="18" s="1"/>
  <c r="O107" i="18" s="1"/>
  <c r="P107" i="18" s="1"/>
  <c r="Q107" i="18" s="1"/>
  <c r="R107" i="18" s="1"/>
  <c r="S107" i="18" s="1"/>
  <c r="D107" i="18"/>
  <c r="E107" i="18" s="1"/>
  <c r="F107" i="18" s="1"/>
  <c r="G107" i="18" s="1"/>
  <c r="H107" i="18" s="1"/>
  <c r="I107" i="18" s="1"/>
  <c r="J107" i="18" s="1"/>
  <c r="K107" i="18" s="1"/>
  <c r="C107" i="18"/>
  <c r="C106" i="18"/>
  <c r="D106" i="18" s="1"/>
  <c r="E106" i="18" s="1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C105" i="18"/>
  <c r="D105" i="18" s="1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F104" i="18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D104" i="18"/>
  <c r="E104" i="18" s="1"/>
  <c r="C104" i="18"/>
  <c r="T103" i="18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L103" i="18"/>
  <c r="M103" i="18" s="1"/>
  <c r="N103" i="18" s="1"/>
  <c r="O103" i="18" s="1"/>
  <c r="P103" i="18" s="1"/>
  <c r="Q103" i="18" s="1"/>
  <c r="R103" i="18" s="1"/>
  <c r="S103" i="18" s="1"/>
  <c r="D103" i="18"/>
  <c r="E103" i="18" s="1"/>
  <c r="F103" i="18" s="1"/>
  <c r="G103" i="18" s="1"/>
  <c r="H103" i="18" s="1"/>
  <c r="I103" i="18" s="1"/>
  <c r="J103" i="18" s="1"/>
  <c r="K103" i="18" s="1"/>
  <c r="C103" i="18"/>
  <c r="C102" i="18"/>
  <c r="D102" i="18" s="1"/>
  <c r="E102" i="18" s="1"/>
  <c r="F102" i="18" s="1"/>
  <c r="G102" i="18" s="1"/>
  <c r="H102" i="18" s="1"/>
  <c r="I102" i="18" s="1"/>
  <c r="J102" i="18" s="1"/>
  <c r="K102" i="18" s="1"/>
  <c r="L102" i="18" s="1"/>
  <c r="M102" i="18" s="1"/>
  <c r="N102" i="18" s="1"/>
  <c r="O102" i="18" s="1"/>
  <c r="P102" i="18" s="1"/>
  <c r="Q102" i="18" s="1"/>
  <c r="R102" i="18" s="1"/>
  <c r="S102" i="18" s="1"/>
  <c r="T102" i="18" s="1"/>
  <c r="U102" i="18" s="1"/>
  <c r="V102" i="18" s="1"/>
  <c r="W102" i="18" s="1"/>
  <c r="X102" i="18" s="1"/>
  <c r="Y102" i="18" s="1"/>
  <c r="Z102" i="18" s="1"/>
  <c r="AA102" i="18" s="1"/>
  <c r="AB102" i="18" s="1"/>
  <c r="AC102" i="18" s="1"/>
  <c r="AD102" i="18" s="1"/>
  <c r="AE102" i="18" s="1"/>
  <c r="AF102" i="18" s="1"/>
  <c r="I101" i="18"/>
  <c r="J101" i="18" s="1"/>
  <c r="K101" i="18" s="1"/>
  <c r="L101" i="18" s="1"/>
  <c r="M101" i="18" s="1"/>
  <c r="N101" i="18" s="1"/>
  <c r="O101" i="18" s="1"/>
  <c r="P101" i="18" s="1"/>
  <c r="Q101" i="18" s="1"/>
  <c r="R101" i="18" s="1"/>
  <c r="S101" i="18" s="1"/>
  <c r="T101" i="18" s="1"/>
  <c r="U101" i="18" s="1"/>
  <c r="V101" i="18" s="1"/>
  <c r="W101" i="18" s="1"/>
  <c r="X101" i="18" s="1"/>
  <c r="Y101" i="18" s="1"/>
  <c r="Z101" i="18" s="1"/>
  <c r="AA101" i="18" s="1"/>
  <c r="AB101" i="18" s="1"/>
  <c r="AC101" i="18" s="1"/>
  <c r="AD101" i="18" s="1"/>
  <c r="AE101" i="18" s="1"/>
  <c r="AF101" i="18" s="1"/>
  <c r="H101" i="18"/>
  <c r="C101" i="18"/>
  <c r="D101" i="18" s="1"/>
  <c r="E101" i="18" s="1"/>
  <c r="F101" i="18" s="1"/>
  <c r="G101" i="18" s="1"/>
  <c r="D100" i="18"/>
  <c r="E100" i="18" s="1"/>
  <c r="F100" i="18" s="1"/>
  <c r="G100" i="18" s="1"/>
  <c r="H100" i="18" s="1"/>
  <c r="I100" i="18" s="1"/>
  <c r="J100" i="18" s="1"/>
  <c r="K100" i="18" s="1"/>
  <c r="L100" i="18" s="1"/>
  <c r="M100" i="18" s="1"/>
  <c r="N100" i="18" s="1"/>
  <c r="O100" i="18" s="1"/>
  <c r="P100" i="18" s="1"/>
  <c r="Q100" i="18" s="1"/>
  <c r="R100" i="18" s="1"/>
  <c r="S100" i="18" s="1"/>
  <c r="T100" i="18" s="1"/>
  <c r="U100" i="18" s="1"/>
  <c r="V100" i="18" s="1"/>
  <c r="W100" i="18" s="1"/>
  <c r="X100" i="18" s="1"/>
  <c r="Y100" i="18" s="1"/>
  <c r="Z100" i="18" s="1"/>
  <c r="AA100" i="18" s="1"/>
  <c r="AB100" i="18" s="1"/>
  <c r="AC100" i="18" s="1"/>
  <c r="AD100" i="18" s="1"/>
  <c r="AE100" i="18" s="1"/>
  <c r="AF100" i="18" s="1"/>
  <c r="C100" i="18"/>
  <c r="J99" i="18"/>
  <c r="K99" i="18" s="1"/>
  <c r="L99" i="18" s="1"/>
  <c r="M99" i="18" s="1"/>
  <c r="N99" i="18" s="1"/>
  <c r="O99" i="18" s="1"/>
  <c r="P99" i="18" s="1"/>
  <c r="Q99" i="18" s="1"/>
  <c r="R99" i="18" s="1"/>
  <c r="S99" i="18" s="1"/>
  <c r="T99" i="18" s="1"/>
  <c r="U99" i="18" s="1"/>
  <c r="V99" i="18" s="1"/>
  <c r="W99" i="18" s="1"/>
  <c r="X99" i="18" s="1"/>
  <c r="Y99" i="18" s="1"/>
  <c r="Z99" i="18" s="1"/>
  <c r="AA99" i="18" s="1"/>
  <c r="AB99" i="18" s="1"/>
  <c r="AC99" i="18" s="1"/>
  <c r="AD99" i="18" s="1"/>
  <c r="AE99" i="18" s="1"/>
  <c r="AF99" i="18" s="1"/>
  <c r="D99" i="18"/>
  <c r="E99" i="18" s="1"/>
  <c r="F99" i="18" s="1"/>
  <c r="G99" i="18" s="1"/>
  <c r="H99" i="18" s="1"/>
  <c r="C99" i="18"/>
  <c r="C82" i="18" s="1"/>
  <c r="D98" i="18"/>
  <c r="E98" i="18" s="1"/>
  <c r="F98" i="18" s="1"/>
  <c r="G98" i="18" s="1"/>
  <c r="H98" i="18" s="1"/>
  <c r="I98" i="18" s="1"/>
  <c r="J98" i="18" s="1"/>
  <c r="K98" i="18" s="1"/>
  <c r="L98" i="18" s="1"/>
  <c r="M98" i="18" s="1"/>
  <c r="N98" i="18" s="1"/>
  <c r="O98" i="18" s="1"/>
  <c r="P98" i="18" s="1"/>
  <c r="Q98" i="18" s="1"/>
  <c r="R98" i="18" s="1"/>
  <c r="S98" i="18" s="1"/>
  <c r="T98" i="18" s="1"/>
  <c r="U98" i="18" s="1"/>
  <c r="V98" i="18" s="1"/>
  <c r="W98" i="18" s="1"/>
  <c r="X98" i="18" s="1"/>
  <c r="Y98" i="18" s="1"/>
  <c r="Z98" i="18" s="1"/>
  <c r="AA98" i="18" s="1"/>
  <c r="AB98" i="18" s="1"/>
  <c r="AC98" i="18" s="1"/>
  <c r="AD98" i="18" s="1"/>
  <c r="AE98" i="18" s="1"/>
  <c r="AF98" i="18" s="1"/>
  <c r="C98" i="18"/>
  <c r="C97" i="18"/>
  <c r="D97" i="18" s="1"/>
  <c r="E97" i="18" s="1"/>
  <c r="F97" i="18" s="1"/>
  <c r="G97" i="18" s="1"/>
  <c r="H97" i="18" s="1"/>
  <c r="I97" i="18" s="1"/>
  <c r="J97" i="18" s="1"/>
  <c r="K97" i="18" s="1"/>
  <c r="L97" i="18" s="1"/>
  <c r="M97" i="18" s="1"/>
  <c r="N97" i="18" s="1"/>
  <c r="O97" i="18" s="1"/>
  <c r="P97" i="18" s="1"/>
  <c r="Q97" i="18" s="1"/>
  <c r="R97" i="18" s="1"/>
  <c r="S97" i="18" s="1"/>
  <c r="T97" i="18" s="1"/>
  <c r="U97" i="18" s="1"/>
  <c r="V97" i="18" s="1"/>
  <c r="W97" i="18" s="1"/>
  <c r="X97" i="18" s="1"/>
  <c r="Y97" i="18" s="1"/>
  <c r="Z97" i="18" s="1"/>
  <c r="AA97" i="18" s="1"/>
  <c r="AB97" i="18" s="1"/>
  <c r="AC97" i="18" s="1"/>
  <c r="AD97" i="18" s="1"/>
  <c r="AE97" i="18" s="1"/>
  <c r="AF97" i="18" s="1"/>
  <c r="F96" i="18"/>
  <c r="G96" i="18" s="1"/>
  <c r="H96" i="18" s="1"/>
  <c r="I96" i="18" s="1"/>
  <c r="J96" i="18" s="1"/>
  <c r="K96" i="18" s="1"/>
  <c r="L96" i="18" s="1"/>
  <c r="M96" i="18" s="1"/>
  <c r="N96" i="18" s="1"/>
  <c r="O96" i="18" s="1"/>
  <c r="P96" i="18" s="1"/>
  <c r="Q96" i="18" s="1"/>
  <c r="R96" i="18" s="1"/>
  <c r="S96" i="18" s="1"/>
  <c r="T96" i="18" s="1"/>
  <c r="U96" i="18" s="1"/>
  <c r="V96" i="18" s="1"/>
  <c r="W96" i="18" s="1"/>
  <c r="X96" i="18" s="1"/>
  <c r="Y96" i="18" s="1"/>
  <c r="Z96" i="18" s="1"/>
  <c r="AA96" i="18" s="1"/>
  <c r="AB96" i="18" s="1"/>
  <c r="AC96" i="18" s="1"/>
  <c r="AD96" i="18" s="1"/>
  <c r="AE96" i="18" s="1"/>
  <c r="AF96" i="18" s="1"/>
  <c r="E96" i="18"/>
  <c r="D96" i="18"/>
  <c r="C96" i="18"/>
  <c r="C95" i="18"/>
  <c r="D95" i="18" s="1"/>
  <c r="E95" i="18" s="1"/>
  <c r="F95" i="18" s="1"/>
  <c r="G95" i="18" s="1"/>
  <c r="H95" i="18" s="1"/>
  <c r="I95" i="18" s="1"/>
  <c r="J95" i="18" s="1"/>
  <c r="K95" i="18" s="1"/>
  <c r="L95" i="18" s="1"/>
  <c r="M95" i="18" s="1"/>
  <c r="N95" i="18" s="1"/>
  <c r="O95" i="18" s="1"/>
  <c r="P95" i="18" s="1"/>
  <c r="Q95" i="18" s="1"/>
  <c r="R95" i="18" s="1"/>
  <c r="S95" i="18" s="1"/>
  <c r="T95" i="18" s="1"/>
  <c r="U95" i="18" s="1"/>
  <c r="V95" i="18" s="1"/>
  <c r="W95" i="18" s="1"/>
  <c r="X95" i="18" s="1"/>
  <c r="Y95" i="18" s="1"/>
  <c r="Z95" i="18" s="1"/>
  <c r="AA95" i="18" s="1"/>
  <c r="AB95" i="18" s="1"/>
  <c r="AC95" i="18" s="1"/>
  <c r="AD95" i="18" s="1"/>
  <c r="AE95" i="18" s="1"/>
  <c r="AF95" i="18" s="1"/>
  <c r="E94" i="18"/>
  <c r="F94" i="18" s="1"/>
  <c r="D94" i="18"/>
  <c r="C94" i="18"/>
  <c r="G93" i="18"/>
  <c r="H93" i="18" s="1"/>
  <c r="I93" i="18" s="1"/>
  <c r="J93" i="18" s="1"/>
  <c r="K93" i="18" s="1"/>
  <c r="L93" i="18" s="1"/>
  <c r="M93" i="18" s="1"/>
  <c r="N93" i="18" s="1"/>
  <c r="O93" i="18" s="1"/>
  <c r="P93" i="18" s="1"/>
  <c r="Q93" i="18" s="1"/>
  <c r="R93" i="18" s="1"/>
  <c r="S93" i="18" s="1"/>
  <c r="T93" i="18" s="1"/>
  <c r="U93" i="18" s="1"/>
  <c r="V93" i="18" s="1"/>
  <c r="W93" i="18" s="1"/>
  <c r="X93" i="18" s="1"/>
  <c r="Y93" i="18" s="1"/>
  <c r="Z93" i="18" s="1"/>
  <c r="AA93" i="18" s="1"/>
  <c r="AB93" i="18" s="1"/>
  <c r="AC93" i="18" s="1"/>
  <c r="AD93" i="18" s="1"/>
  <c r="AE93" i="18" s="1"/>
  <c r="AF93" i="18" s="1"/>
  <c r="C93" i="18"/>
  <c r="D93" i="18" s="1"/>
  <c r="E93" i="18" s="1"/>
  <c r="F93" i="18" s="1"/>
  <c r="E92" i="18"/>
  <c r="F92" i="18" s="1"/>
  <c r="G92" i="18" s="1"/>
  <c r="H92" i="18" s="1"/>
  <c r="I92" i="18" s="1"/>
  <c r="J92" i="18" s="1"/>
  <c r="K92" i="18" s="1"/>
  <c r="L92" i="18" s="1"/>
  <c r="M92" i="18" s="1"/>
  <c r="N92" i="18" s="1"/>
  <c r="O92" i="18" s="1"/>
  <c r="P92" i="18" s="1"/>
  <c r="Q92" i="18" s="1"/>
  <c r="R92" i="18" s="1"/>
  <c r="S92" i="18" s="1"/>
  <c r="T92" i="18" s="1"/>
  <c r="U92" i="18" s="1"/>
  <c r="V92" i="18" s="1"/>
  <c r="W92" i="18" s="1"/>
  <c r="X92" i="18" s="1"/>
  <c r="Y92" i="18" s="1"/>
  <c r="Z92" i="18" s="1"/>
  <c r="AA92" i="18" s="1"/>
  <c r="AB92" i="18" s="1"/>
  <c r="AC92" i="18" s="1"/>
  <c r="AD92" i="18" s="1"/>
  <c r="AE92" i="18" s="1"/>
  <c r="AF92" i="18" s="1"/>
  <c r="D92" i="18"/>
  <c r="C92" i="18"/>
  <c r="F91" i="18"/>
  <c r="G91" i="18" s="1"/>
  <c r="H91" i="18" s="1"/>
  <c r="I91" i="18" s="1"/>
  <c r="J91" i="18" s="1"/>
  <c r="K91" i="18" s="1"/>
  <c r="L91" i="18" s="1"/>
  <c r="M91" i="18" s="1"/>
  <c r="N91" i="18" s="1"/>
  <c r="O91" i="18" s="1"/>
  <c r="P91" i="18" s="1"/>
  <c r="Q91" i="18" s="1"/>
  <c r="R91" i="18" s="1"/>
  <c r="S91" i="18" s="1"/>
  <c r="T91" i="18" s="1"/>
  <c r="U91" i="18" s="1"/>
  <c r="V91" i="18" s="1"/>
  <c r="W91" i="18" s="1"/>
  <c r="X91" i="18" s="1"/>
  <c r="Y91" i="18" s="1"/>
  <c r="Z91" i="18" s="1"/>
  <c r="AA91" i="18" s="1"/>
  <c r="AB91" i="18" s="1"/>
  <c r="AC91" i="18" s="1"/>
  <c r="AD91" i="18" s="1"/>
  <c r="AE91" i="18" s="1"/>
  <c r="AF91" i="18" s="1"/>
  <c r="D91" i="18"/>
  <c r="E91" i="18" s="1"/>
  <c r="C91" i="18"/>
  <c r="D90" i="18"/>
  <c r="E90" i="18" s="1"/>
  <c r="F90" i="18" s="1"/>
  <c r="G90" i="18" s="1"/>
  <c r="H90" i="18" s="1"/>
  <c r="I90" i="18" s="1"/>
  <c r="J90" i="18" s="1"/>
  <c r="K90" i="18" s="1"/>
  <c r="L90" i="18" s="1"/>
  <c r="M90" i="18" s="1"/>
  <c r="N90" i="18" s="1"/>
  <c r="O90" i="18" s="1"/>
  <c r="P90" i="18" s="1"/>
  <c r="Q90" i="18" s="1"/>
  <c r="R90" i="18" s="1"/>
  <c r="S90" i="18" s="1"/>
  <c r="T90" i="18" s="1"/>
  <c r="U90" i="18" s="1"/>
  <c r="V90" i="18" s="1"/>
  <c r="W90" i="18" s="1"/>
  <c r="X90" i="18" s="1"/>
  <c r="Y90" i="18" s="1"/>
  <c r="Z90" i="18" s="1"/>
  <c r="AA90" i="18" s="1"/>
  <c r="AB90" i="18" s="1"/>
  <c r="AC90" i="18" s="1"/>
  <c r="AD90" i="18" s="1"/>
  <c r="AE90" i="18" s="1"/>
  <c r="AF90" i="18" s="1"/>
  <c r="C90" i="18"/>
  <c r="C89" i="18"/>
  <c r="AH86" i="18"/>
  <c r="AI86" i="18" s="1"/>
  <c r="AH85" i="18"/>
  <c r="AI85" i="18" s="1"/>
  <c r="AH84" i="18"/>
  <c r="AI84" i="18" s="1"/>
  <c r="AH83" i="18"/>
  <c r="AI83" i="18" s="1"/>
  <c r="B82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B80" i="18"/>
  <c r="AI79" i="18"/>
  <c r="AH79" i="18"/>
  <c r="AI78" i="18"/>
  <c r="AH78" i="18"/>
  <c r="AI77" i="18"/>
  <c r="AH77" i="18"/>
  <c r="AI76" i="18"/>
  <c r="AH76" i="18"/>
  <c r="AI75" i="18"/>
  <c r="AH75" i="18"/>
  <c r="AI74" i="18"/>
  <c r="AH74" i="18"/>
  <c r="AI73" i="18"/>
  <c r="AH73" i="18"/>
  <c r="AI72" i="18"/>
  <c r="AH72" i="18"/>
  <c r="AG71" i="18"/>
  <c r="AI70" i="18"/>
  <c r="AH70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AF67" i="18"/>
  <c r="AF71" i="18" s="1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AF66" i="18"/>
  <c r="AE66" i="18"/>
  <c r="AE71" i="18" s="1"/>
  <c r="AD66" i="18"/>
  <c r="AD71" i="18" s="1"/>
  <c r="AC66" i="18"/>
  <c r="AB66" i="18"/>
  <c r="AA66" i="18"/>
  <c r="Z66" i="18"/>
  <c r="Y66" i="18"/>
  <c r="Y71" i="18" s="1"/>
  <c r="X66" i="18"/>
  <c r="W66" i="18"/>
  <c r="W71" i="18" s="1"/>
  <c r="V66" i="18"/>
  <c r="V71" i="18" s="1"/>
  <c r="U66" i="18"/>
  <c r="U71" i="18" s="1"/>
  <c r="T66" i="18"/>
  <c r="S66" i="18"/>
  <c r="R66" i="18"/>
  <c r="Q66" i="18"/>
  <c r="Q71" i="18" s="1"/>
  <c r="P66" i="18"/>
  <c r="O66" i="18"/>
  <c r="O71" i="18" s="1"/>
  <c r="N66" i="18"/>
  <c r="N71" i="18" s="1"/>
  <c r="M66" i="18"/>
  <c r="L66" i="18"/>
  <c r="K66" i="18"/>
  <c r="J66" i="18"/>
  <c r="I66" i="18"/>
  <c r="I71" i="18" s="1"/>
  <c r="H66" i="18"/>
  <c r="H71" i="18" s="1"/>
  <c r="G66" i="18"/>
  <c r="F66" i="18"/>
  <c r="F71" i="18" s="1"/>
  <c r="E66" i="18"/>
  <c r="D66" i="18"/>
  <c r="C66" i="18"/>
  <c r="B66" i="18"/>
  <c r="AI64" i="18"/>
  <c r="AH64" i="18"/>
  <c r="AG63" i="18"/>
  <c r="AG65" i="18" s="1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AI63" i="18" s="1"/>
  <c r="B63" i="18"/>
  <c r="AH63" i="18" s="1"/>
  <c r="AI62" i="18"/>
  <c r="AH62" i="18"/>
  <c r="AI61" i="18"/>
  <c r="AH61" i="18"/>
  <c r="AI60" i="18"/>
  <c r="AH60" i="18"/>
  <c r="AG59" i="18"/>
  <c r="AF59" i="18"/>
  <c r="AE59" i="18"/>
  <c r="AE5" i="18" s="1"/>
  <c r="AD59" i="18"/>
  <c r="AC59" i="18"/>
  <c r="AB59" i="18"/>
  <c r="AB5" i="18" s="1"/>
  <c r="AA59" i="18"/>
  <c r="AA5" i="18" s="1"/>
  <c r="Z59" i="18"/>
  <c r="Y59" i="18"/>
  <c r="Y5" i="18" s="1"/>
  <c r="X59" i="18"/>
  <c r="X5" i="18" s="1"/>
  <c r="W59" i="18"/>
  <c r="W5" i="18" s="1"/>
  <c r="V59" i="18"/>
  <c r="V5" i="18" s="1"/>
  <c r="U59" i="18"/>
  <c r="U5" i="18" s="1"/>
  <c r="T59" i="18"/>
  <c r="T5" i="18" s="1"/>
  <c r="S59" i="18"/>
  <c r="S5" i="18" s="1"/>
  <c r="R59" i="18"/>
  <c r="R5" i="18" s="1"/>
  <c r="Q59" i="18"/>
  <c r="Q5" i="18" s="1"/>
  <c r="P59" i="18"/>
  <c r="O59" i="18"/>
  <c r="O5" i="18" s="1"/>
  <c r="N59" i="18"/>
  <c r="M59" i="18"/>
  <c r="M5" i="18" s="1"/>
  <c r="L59" i="18"/>
  <c r="L5" i="18" s="1"/>
  <c r="K59" i="18"/>
  <c r="K5" i="18" s="1"/>
  <c r="J59" i="18"/>
  <c r="J5" i="18" s="1"/>
  <c r="I59" i="18"/>
  <c r="I5" i="18" s="1"/>
  <c r="H59" i="18"/>
  <c r="G59" i="18"/>
  <c r="G5" i="18" s="1"/>
  <c r="F59" i="18"/>
  <c r="E59" i="18"/>
  <c r="D59" i="18"/>
  <c r="D5" i="18" s="1"/>
  <c r="C59" i="18"/>
  <c r="B59" i="18"/>
  <c r="AI58" i="18"/>
  <c r="AH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AI46" i="18"/>
  <c r="AH46" i="18"/>
  <c r="AI45" i="18"/>
  <c r="AH45" i="18"/>
  <c r="AI44" i="18"/>
  <c r="AH44" i="18"/>
  <c r="AG42" i="18"/>
  <c r="AG43" i="18" s="1"/>
  <c r="AG3" i="18" s="1"/>
  <c r="B42" i="18"/>
  <c r="B43" i="18" s="1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G30" i="18"/>
  <c r="AG2" i="18" s="1"/>
  <c r="AG6" i="18" s="1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F5" i="18"/>
  <c r="AD5" i="18"/>
  <c r="AC5" i="18"/>
  <c r="Z5" i="18"/>
  <c r="P5" i="18"/>
  <c r="N5" i="18"/>
  <c r="H5" i="18"/>
  <c r="F5" i="18"/>
  <c r="E5" i="18"/>
  <c r="C5" i="18"/>
  <c r="B5" i="18"/>
  <c r="AG4" i="18"/>
  <c r="K4" i="18"/>
  <c r="C4" i="18"/>
  <c r="D190" i="18" s="1"/>
  <c r="V59" i="17"/>
  <c r="T59" i="17"/>
  <c r="U47" i="17"/>
  <c r="U43" i="17"/>
  <c r="T30" i="17"/>
  <c r="AH87" i="17"/>
  <c r="AI87" i="17" s="1"/>
  <c r="M59" i="17"/>
  <c r="K49" i="17"/>
  <c r="I84" i="17"/>
  <c r="H84" i="17"/>
  <c r="F49" i="17"/>
  <c r="G49" i="17"/>
  <c r="E49" i="17"/>
  <c r="B80" i="17"/>
  <c r="B82" i="17"/>
  <c r="B71" i="17"/>
  <c r="B63" i="17"/>
  <c r="B59" i="17"/>
  <c r="B47" i="17"/>
  <c r="B43" i="17"/>
  <c r="B30" i="17"/>
  <c r="AF218" i="17"/>
  <c r="AE218" i="17"/>
  <c r="AD218" i="17"/>
  <c r="AC218" i="17"/>
  <c r="AB218" i="17"/>
  <c r="AA218" i="17"/>
  <c r="Z218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A218" i="17"/>
  <c r="AF217" i="17"/>
  <c r="AE217" i="17"/>
  <c r="AD217" i="17"/>
  <c r="AC217" i="17"/>
  <c r="AB217" i="17"/>
  <c r="AA217" i="17"/>
  <c r="Z217" i="17"/>
  <c r="Y217" i="17"/>
  <c r="X217" i="17"/>
  <c r="W217" i="17"/>
  <c r="V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B217" i="17"/>
  <c r="A217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216" i="17"/>
  <c r="AF215" i="17"/>
  <c r="AE215" i="17"/>
  <c r="AD215" i="17"/>
  <c r="AC215" i="17"/>
  <c r="AB215" i="17"/>
  <c r="AA215" i="17"/>
  <c r="Z215" i="17"/>
  <c r="Y215" i="17"/>
  <c r="X215" i="17"/>
  <c r="W215" i="17"/>
  <c r="V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D215" i="17"/>
  <c r="C215" i="17"/>
  <c r="B215" i="17"/>
  <c r="A215" i="17"/>
  <c r="E214" i="17"/>
  <c r="B214" i="17"/>
  <c r="S189" i="17"/>
  <c r="AG179" i="17"/>
  <c r="B179" i="17"/>
  <c r="F178" i="17"/>
  <c r="F214" i="17" s="1"/>
  <c r="C178" i="17"/>
  <c r="D178" i="17" s="1"/>
  <c r="E178" i="17" s="1"/>
  <c r="L177" i="17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C177" i="17"/>
  <c r="D177" i="17" s="1"/>
  <c r="E177" i="17" s="1"/>
  <c r="F177" i="17" s="1"/>
  <c r="G177" i="17" s="1"/>
  <c r="H177" i="17" s="1"/>
  <c r="I177" i="17" s="1"/>
  <c r="J177" i="17" s="1"/>
  <c r="K177" i="17" s="1"/>
  <c r="C176" i="17"/>
  <c r="D176" i="17" s="1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H175" i="17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E175" i="17"/>
  <c r="F175" i="17" s="1"/>
  <c r="G175" i="17" s="1"/>
  <c r="D175" i="17"/>
  <c r="C175" i="17"/>
  <c r="C174" i="17"/>
  <c r="D174" i="17" s="1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F173" i="17"/>
  <c r="D173" i="17"/>
  <c r="E173" i="17" s="1"/>
  <c r="C173" i="17"/>
  <c r="AG171" i="17"/>
  <c r="B171" i="17"/>
  <c r="G170" i="17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C170" i="17"/>
  <c r="D170" i="17" s="1"/>
  <c r="E170" i="17" s="1"/>
  <c r="F170" i="17" s="1"/>
  <c r="X169" i="17"/>
  <c r="Y169" i="17" s="1"/>
  <c r="Z169" i="17" s="1"/>
  <c r="AA169" i="17" s="1"/>
  <c r="AB169" i="17" s="1"/>
  <c r="AC169" i="17" s="1"/>
  <c r="AD169" i="17" s="1"/>
  <c r="AE169" i="17" s="1"/>
  <c r="AF169" i="17" s="1"/>
  <c r="J169" i="17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E169" i="17"/>
  <c r="F169" i="17" s="1"/>
  <c r="G169" i="17" s="1"/>
  <c r="H169" i="17" s="1"/>
  <c r="I169" i="17" s="1"/>
  <c r="D169" i="17"/>
  <c r="C169" i="17"/>
  <c r="C168" i="17"/>
  <c r="D168" i="17" s="1"/>
  <c r="E168" i="17" s="1"/>
  <c r="F168" i="17" s="1"/>
  <c r="G168" i="17" s="1"/>
  <c r="H168" i="17" s="1"/>
  <c r="I168" i="17" s="1"/>
  <c r="J168" i="17" s="1"/>
  <c r="K168" i="17" s="1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D167" i="17"/>
  <c r="E167" i="17" s="1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C167" i="17"/>
  <c r="AE166" i="17"/>
  <c r="AF166" i="17" s="1"/>
  <c r="D166" i="17"/>
  <c r="E166" i="17" s="1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C166" i="17"/>
  <c r="G165" i="17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E165" i="17"/>
  <c r="F165" i="17" s="1"/>
  <c r="D165" i="17"/>
  <c r="C165" i="17"/>
  <c r="P164" i="17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E164" i="17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C164" i="17"/>
  <c r="D164" i="17" s="1"/>
  <c r="E163" i="17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C163" i="17"/>
  <c r="D163" i="17" s="1"/>
  <c r="C162" i="17"/>
  <c r="D162" i="17" s="1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AB161" i="17"/>
  <c r="AC161" i="17" s="1"/>
  <c r="AD161" i="17" s="1"/>
  <c r="AE161" i="17" s="1"/>
  <c r="AF161" i="17" s="1"/>
  <c r="G161" i="17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D161" i="17"/>
  <c r="E161" i="17" s="1"/>
  <c r="F161" i="17" s="1"/>
  <c r="C161" i="17"/>
  <c r="C160" i="17"/>
  <c r="D160" i="17" s="1"/>
  <c r="E160" i="17" s="1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C159" i="17"/>
  <c r="D159" i="17" s="1"/>
  <c r="E159" i="17" s="1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V158" i="17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C158" i="17"/>
  <c r="D158" i="17" s="1"/>
  <c r="E158" i="17" s="1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AE157" i="17"/>
  <c r="AF157" i="17" s="1"/>
  <c r="F157" i="17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C157" i="17"/>
  <c r="D157" i="17" s="1"/>
  <c r="E157" i="17" s="1"/>
  <c r="S156" i="17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C156" i="17"/>
  <c r="D156" i="17" s="1"/>
  <c r="E156" i="17" s="1"/>
  <c r="F156" i="17" s="1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C155" i="17"/>
  <c r="D155" i="17" s="1"/>
  <c r="E155" i="17" s="1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D154" i="17"/>
  <c r="E154" i="17" s="1"/>
  <c r="F154" i="17" s="1"/>
  <c r="G154" i="17" s="1"/>
  <c r="H154" i="17" s="1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C154" i="17"/>
  <c r="F153" i="17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C153" i="17"/>
  <c r="D153" i="17" s="1"/>
  <c r="E153" i="17" s="1"/>
  <c r="C152" i="17"/>
  <c r="D152" i="17" s="1"/>
  <c r="E152" i="17" s="1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I151" i="17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D151" i="17"/>
  <c r="E151" i="17" s="1"/>
  <c r="F151" i="17" s="1"/>
  <c r="G151" i="17" s="1"/>
  <c r="H151" i="17" s="1"/>
  <c r="C151" i="17"/>
  <c r="D150" i="17"/>
  <c r="E150" i="17" s="1"/>
  <c r="F150" i="17" s="1"/>
  <c r="G150" i="17" s="1"/>
  <c r="H150" i="17" s="1"/>
  <c r="I150" i="17" s="1"/>
  <c r="J150" i="17" s="1"/>
  <c r="K150" i="17" s="1"/>
  <c r="L150" i="17" s="1"/>
  <c r="M150" i="17" s="1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C150" i="17"/>
  <c r="C149" i="17"/>
  <c r="D149" i="17" s="1"/>
  <c r="E149" i="17" s="1"/>
  <c r="F149" i="17" s="1"/>
  <c r="G149" i="17" s="1"/>
  <c r="H149" i="17" s="1"/>
  <c r="I149" i="17" s="1"/>
  <c r="J149" i="17" s="1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C148" i="17"/>
  <c r="D148" i="17" s="1"/>
  <c r="E148" i="17" s="1"/>
  <c r="F148" i="17" s="1"/>
  <c r="G148" i="17" s="1"/>
  <c r="H148" i="17" s="1"/>
  <c r="I148" i="17" s="1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C147" i="17"/>
  <c r="D147" i="17" s="1"/>
  <c r="E147" i="17" s="1"/>
  <c r="F147" i="17" s="1"/>
  <c r="G147" i="17" s="1"/>
  <c r="H147" i="17" s="1"/>
  <c r="I147" i="17" s="1"/>
  <c r="J147" i="17" s="1"/>
  <c r="K147" i="17" s="1"/>
  <c r="L147" i="17" s="1"/>
  <c r="M147" i="17" s="1"/>
  <c r="N147" i="17" s="1"/>
  <c r="O147" i="17" s="1"/>
  <c r="P147" i="17" s="1"/>
  <c r="Q147" i="17" s="1"/>
  <c r="R147" i="17" s="1"/>
  <c r="S147" i="17" s="1"/>
  <c r="T147" i="17" s="1"/>
  <c r="U147" i="17" s="1"/>
  <c r="V147" i="17" s="1"/>
  <c r="W147" i="17" s="1"/>
  <c r="X147" i="17" s="1"/>
  <c r="Y147" i="17" s="1"/>
  <c r="Z147" i="17" s="1"/>
  <c r="AA147" i="17" s="1"/>
  <c r="AB147" i="17" s="1"/>
  <c r="AC147" i="17" s="1"/>
  <c r="AD147" i="17" s="1"/>
  <c r="AE147" i="17" s="1"/>
  <c r="AF147" i="17" s="1"/>
  <c r="C146" i="17"/>
  <c r="D146" i="17" s="1"/>
  <c r="E146" i="17" s="1"/>
  <c r="F146" i="17" s="1"/>
  <c r="G146" i="17" s="1"/>
  <c r="H146" i="17" s="1"/>
  <c r="I146" i="17" s="1"/>
  <c r="J146" i="17" s="1"/>
  <c r="K146" i="17" s="1"/>
  <c r="L146" i="17" s="1"/>
  <c r="M146" i="17" s="1"/>
  <c r="N146" i="17" s="1"/>
  <c r="O146" i="17" s="1"/>
  <c r="P146" i="17" s="1"/>
  <c r="Q146" i="17" s="1"/>
  <c r="R146" i="17" s="1"/>
  <c r="S146" i="17" s="1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C145" i="17"/>
  <c r="D145" i="17" s="1"/>
  <c r="E145" i="17" s="1"/>
  <c r="F145" i="17" s="1"/>
  <c r="G145" i="17" s="1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C144" i="17"/>
  <c r="D144" i="17" s="1"/>
  <c r="E144" i="17" s="1"/>
  <c r="F144" i="17" s="1"/>
  <c r="G144" i="17" s="1"/>
  <c r="H144" i="17" s="1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C143" i="17"/>
  <c r="D143" i="17" s="1"/>
  <c r="E143" i="17" s="1"/>
  <c r="F143" i="17" s="1"/>
  <c r="G143" i="17" s="1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C142" i="17"/>
  <c r="D142" i="17" s="1"/>
  <c r="E142" i="17" s="1"/>
  <c r="F142" i="17" s="1"/>
  <c r="G142" i="17" s="1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C141" i="17"/>
  <c r="D141" i="17" s="1"/>
  <c r="E141" i="17" s="1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C140" i="17"/>
  <c r="D140" i="17" s="1"/>
  <c r="E140" i="17" s="1"/>
  <c r="F140" i="17" s="1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C139" i="17"/>
  <c r="D139" i="17" s="1"/>
  <c r="E139" i="17" s="1"/>
  <c r="F139" i="17" s="1"/>
  <c r="G139" i="17" s="1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C138" i="17"/>
  <c r="D138" i="17" s="1"/>
  <c r="E138" i="17" s="1"/>
  <c r="F138" i="17" s="1"/>
  <c r="G138" i="17" s="1"/>
  <c r="H138" i="17" s="1"/>
  <c r="I138" i="17" s="1"/>
  <c r="J138" i="17" s="1"/>
  <c r="K138" i="17" s="1"/>
  <c r="L138" i="17" s="1"/>
  <c r="M138" i="17" s="1"/>
  <c r="N138" i="17" s="1"/>
  <c r="O138" i="17" s="1"/>
  <c r="P138" i="17" s="1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G137" i="17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C137" i="17"/>
  <c r="D137" i="17" s="1"/>
  <c r="E137" i="17" s="1"/>
  <c r="F137" i="17" s="1"/>
  <c r="U136" i="17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E136" i="17"/>
  <c r="F136" i="17" s="1"/>
  <c r="G136" i="17" s="1"/>
  <c r="H136" i="17" s="1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C136" i="17"/>
  <c r="D136" i="17" s="1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C135" i="17"/>
  <c r="R134" i="17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C134" i="17"/>
  <c r="D134" i="17" s="1"/>
  <c r="E134" i="17" s="1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C133" i="17"/>
  <c r="D133" i="17" s="1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D132" i="17"/>
  <c r="E132" i="17" s="1"/>
  <c r="F132" i="17" s="1"/>
  <c r="G132" i="17" s="1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C132" i="17"/>
  <c r="E131" i="17"/>
  <c r="F131" i="17" s="1"/>
  <c r="G131" i="17" s="1"/>
  <c r="H131" i="17" s="1"/>
  <c r="I131" i="17" s="1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D131" i="17"/>
  <c r="C131" i="17"/>
  <c r="E130" i="17"/>
  <c r="F130" i="17" s="1"/>
  <c r="G130" i="17" s="1"/>
  <c r="H130" i="17" s="1"/>
  <c r="I130" i="17" s="1"/>
  <c r="J130" i="17" s="1"/>
  <c r="K130" i="17" s="1"/>
  <c r="L130" i="17" s="1"/>
  <c r="M130" i="17" s="1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C130" i="17"/>
  <c r="D130" i="17" s="1"/>
  <c r="D129" i="17"/>
  <c r="E129" i="17" s="1"/>
  <c r="F129" i="17" s="1"/>
  <c r="G129" i="17" s="1"/>
  <c r="H129" i="17" s="1"/>
  <c r="I129" i="17" s="1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C129" i="17"/>
  <c r="D128" i="17"/>
  <c r="E128" i="17" s="1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C128" i="17"/>
  <c r="E127" i="17"/>
  <c r="F127" i="17" s="1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D127" i="17"/>
  <c r="C127" i="17"/>
  <c r="E126" i="17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C126" i="17"/>
  <c r="D126" i="17" s="1"/>
  <c r="C125" i="17"/>
  <c r="D125" i="17" s="1"/>
  <c r="E125" i="17" s="1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C124" i="17"/>
  <c r="D124" i="17" s="1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E123" i="17"/>
  <c r="F123" i="17" s="1"/>
  <c r="G123" i="17" s="1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D123" i="17"/>
  <c r="C123" i="17"/>
  <c r="C122" i="17"/>
  <c r="D122" i="17" s="1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C121" i="17"/>
  <c r="D121" i="17" s="1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C120" i="17"/>
  <c r="D120" i="17" s="1"/>
  <c r="E120" i="17" s="1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E119" i="17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D119" i="17"/>
  <c r="C119" i="17"/>
  <c r="D118" i="17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C118" i="17"/>
  <c r="Y117" i="17"/>
  <c r="Z117" i="17" s="1"/>
  <c r="AA117" i="17" s="1"/>
  <c r="AB117" i="17" s="1"/>
  <c r="AC117" i="17" s="1"/>
  <c r="AD117" i="17" s="1"/>
  <c r="AE117" i="17" s="1"/>
  <c r="AF117" i="17" s="1"/>
  <c r="F117" i="17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D117" i="17"/>
  <c r="E117" i="17" s="1"/>
  <c r="C117" i="17"/>
  <c r="D116" i="17"/>
  <c r="E116" i="17" s="1"/>
  <c r="F116" i="17" s="1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C116" i="17"/>
  <c r="C115" i="17"/>
  <c r="D115" i="17" s="1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C114" i="17"/>
  <c r="D114" i="17" s="1"/>
  <c r="E114" i="17" s="1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C113" i="17"/>
  <c r="D113" i="17" s="1"/>
  <c r="E113" i="17" s="1"/>
  <c r="F113" i="17" s="1"/>
  <c r="G113" i="17" s="1"/>
  <c r="H113" i="17" s="1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E112" i="17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C112" i="17"/>
  <c r="D112" i="17" s="1"/>
  <c r="M111" i="17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E111" i="17"/>
  <c r="F111" i="17" s="1"/>
  <c r="G111" i="17" s="1"/>
  <c r="H111" i="17" s="1"/>
  <c r="I111" i="17" s="1"/>
  <c r="J111" i="17" s="1"/>
  <c r="K111" i="17" s="1"/>
  <c r="L111" i="17" s="1"/>
  <c r="C111" i="17"/>
  <c r="D111" i="17" s="1"/>
  <c r="C110" i="17"/>
  <c r="D110" i="17" s="1"/>
  <c r="E110" i="17" s="1"/>
  <c r="F110" i="17" s="1"/>
  <c r="G110" i="17" s="1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C109" i="17"/>
  <c r="D109" i="17" s="1"/>
  <c r="E109" i="17" s="1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G108" i="17"/>
  <c r="H108" i="17" s="1"/>
  <c r="I108" i="17" s="1"/>
  <c r="J108" i="17" s="1"/>
  <c r="K108" i="17" s="1"/>
  <c r="L108" i="17" s="1"/>
  <c r="M108" i="17" s="1"/>
  <c r="N108" i="17" s="1"/>
  <c r="O108" i="17" s="1"/>
  <c r="P108" i="17" s="1"/>
  <c r="Q108" i="17" s="1"/>
  <c r="R108" i="17" s="1"/>
  <c r="S108" i="17" s="1"/>
  <c r="T108" i="17" s="1"/>
  <c r="U108" i="17" s="1"/>
  <c r="V108" i="17" s="1"/>
  <c r="W108" i="17" s="1"/>
  <c r="X108" i="17" s="1"/>
  <c r="Y108" i="17" s="1"/>
  <c r="Z108" i="17" s="1"/>
  <c r="AA108" i="17" s="1"/>
  <c r="AB108" i="17" s="1"/>
  <c r="AC108" i="17" s="1"/>
  <c r="AD108" i="17" s="1"/>
  <c r="AE108" i="17" s="1"/>
  <c r="AF108" i="17" s="1"/>
  <c r="E108" i="17"/>
  <c r="F108" i="17" s="1"/>
  <c r="C108" i="17"/>
  <c r="D108" i="17" s="1"/>
  <c r="D107" i="17"/>
  <c r="E107" i="17" s="1"/>
  <c r="F107" i="17" s="1"/>
  <c r="G107" i="17" s="1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C107" i="17"/>
  <c r="I106" i="17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C106" i="17"/>
  <c r="D106" i="17" s="1"/>
  <c r="E106" i="17" s="1"/>
  <c r="F106" i="17" s="1"/>
  <c r="G106" i="17" s="1"/>
  <c r="H106" i="17" s="1"/>
  <c r="C105" i="17"/>
  <c r="D105" i="17" s="1"/>
  <c r="E105" i="17" s="1"/>
  <c r="F105" i="17" s="1"/>
  <c r="G105" i="17" s="1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F104" i="17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C104" i="17"/>
  <c r="D104" i="17" s="1"/>
  <c r="E104" i="17" s="1"/>
  <c r="C103" i="17"/>
  <c r="D103" i="17" s="1"/>
  <c r="E103" i="17" s="1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Z102" i="17"/>
  <c r="AA102" i="17" s="1"/>
  <c r="AB102" i="17" s="1"/>
  <c r="AC102" i="17" s="1"/>
  <c r="AD102" i="17" s="1"/>
  <c r="AE102" i="17" s="1"/>
  <c r="AF102" i="17" s="1"/>
  <c r="C102" i="17"/>
  <c r="D102" i="17" s="1"/>
  <c r="E102" i="17" s="1"/>
  <c r="F102" i="17" s="1"/>
  <c r="G102" i="17" s="1"/>
  <c r="H102" i="17" s="1"/>
  <c r="I102" i="17" s="1"/>
  <c r="J102" i="17" s="1"/>
  <c r="K102" i="17" s="1"/>
  <c r="L102" i="17" s="1"/>
  <c r="M102" i="17" s="1"/>
  <c r="N102" i="17" s="1"/>
  <c r="O102" i="17" s="1"/>
  <c r="P102" i="17" s="1"/>
  <c r="Q102" i="17" s="1"/>
  <c r="R102" i="17" s="1"/>
  <c r="S102" i="17" s="1"/>
  <c r="T102" i="17" s="1"/>
  <c r="U102" i="17" s="1"/>
  <c r="V102" i="17" s="1"/>
  <c r="W102" i="17" s="1"/>
  <c r="X102" i="17" s="1"/>
  <c r="Y102" i="17" s="1"/>
  <c r="P101" i="17"/>
  <c r="Q101" i="17" s="1"/>
  <c r="R101" i="17" s="1"/>
  <c r="S101" i="17" s="1"/>
  <c r="T101" i="17" s="1"/>
  <c r="U101" i="17" s="1"/>
  <c r="V101" i="17" s="1"/>
  <c r="W101" i="17" s="1"/>
  <c r="X101" i="17" s="1"/>
  <c r="Y101" i="17" s="1"/>
  <c r="Z101" i="17" s="1"/>
  <c r="AA101" i="17" s="1"/>
  <c r="AB101" i="17" s="1"/>
  <c r="AC101" i="17" s="1"/>
  <c r="AD101" i="17" s="1"/>
  <c r="AE101" i="17" s="1"/>
  <c r="AF101" i="17" s="1"/>
  <c r="E101" i="17"/>
  <c r="F101" i="17" s="1"/>
  <c r="G101" i="17" s="1"/>
  <c r="H101" i="17" s="1"/>
  <c r="I101" i="17" s="1"/>
  <c r="J101" i="17" s="1"/>
  <c r="K101" i="17" s="1"/>
  <c r="L101" i="17" s="1"/>
  <c r="M101" i="17" s="1"/>
  <c r="N101" i="17" s="1"/>
  <c r="O101" i="17" s="1"/>
  <c r="C101" i="17"/>
  <c r="D101" i="17" s="1"/>
  <c r="C100" i="17"/>
  <c r="D100" i="17" s="1"/>
  <c r="E100" i="17" s="1"/>
  <c r="F100" i="17" s="1"/>
  <c r="G100" i="17" s="1"/>
  <c r="H100" i="17" s="1"/>
  <c r="I100" i="17" s="1"/>
  <c r="J100" i="17" s="1"/>
  <c r="K100" i="17" s="1"/>
  <c r="L100" i="17" s="1"/>
  <c r="M100" i="17" s="1"/>
  <c r="N100" i="17" s="1"/>
  <c r="O100" i="17" s="1"/>
  <c r="P100" i="17" s="1"/>
  <c r="Q100" i="17" s="1"/>
  <c r="R100" i="17" s="1"/>
  <c r="S100" i="17" s="1"/>
  <c r="T100" i="17" s="1"/>
  <c r="U100" i="17" s="1"/>
  <c r="V100" i="17" s="1"/>
  <c r="W100" i="17" s="1"/>
  <c r="X100" i="17" s="1"/>
  <c r="Y100" i="17" s="1"/>
  <c r="Z100" i="17" s="1"/>
  <c r="AA100" i="17" s="1"/>
  <c r="AB100" i="17" s="1"/>
  <c r="AC100" i="17" s="1"/>
  <c r="AD100" i="17" s="1"/>
  <c r="AE100" i="17" s="1"/>
  <c r="AF100" i="17" s="1"/>
  <c r="L99" i="17"/>
  <c r="M99" i="17" s="1"/>
  <c r="N99" i="17" s="1"/>
  <c r="O99" i="17" s="1"/>
  <c r="P99" i="17" s="1"/>
  <c r="Q99" i="17" s="1"/>
  <c r="R99" i="17" s="1"/>
  <c r="S99" i="17" s="1"/>
  <c r="T99" i="17" s="1"/>
  <c r="U99" i="17" s="1"/>
  <c r="V99" i="17" s="1"/>
  <c r="W99" i="17" s="1"/>
  <c r="X99" i="17" s="1"/>
  <c r="Y99" i="17" s="1"/>
  <c r="Z99" i="17" s="1"/>
  <c r="AA99" i="17" s="1"/>
  <c r="AB99" i="17" s="1"/>
  <c r="AC99" i="17" s="1"/>
  <c r="AD99" i="17" s="1"/>
  <c r="AE99" i="17" s="1"/>
  <c r="AF99" i="17" s="1"/>
  <c r="J99" i="17"/>
  <c r="K99" i="17" s="1"/>
  <c r="C99" i="17"/>
  <c r="D99" i="17" s="1"/>
  <c r="E99" i="17" s="1"/>
  <c r="F99" i="17" s="1"/>
  <c r="G99" i="17" s="1"/>
  <c r="H99" i="17" s="1"/>
  <c r="D98" i="17"/>
  <c r="E98" i="17" s="1"/>
  <c r="F98" i="17" s="1"/>
  <c r="G98" i="17" s="1"/>
  <c r="H98" i="17" s="1"/>
  <c r="I98" i="17" s="1"/>
  <c r="J98" i="17" s="1"/>
  <c r="K98" i="17" s="1"/>
  <c r="L98" i="17" s="1"/>
  <c r="M98" i="17" s="1"/>
  <c r="N98" i="17" s="1"/>
  <c r="O98" i="17" s="1"/>
  <c r="P98" i="17" s="1"/>
  <c r="Q98" i="17" s="1"/>
  <c r="R98" i="17" s="1"/>
  <c r="S98" i="17" s="1"/>
  <c r="T98" i="17" s="1"/>
  <c r="U98" i="17" s="1"/>
  <c r="V98" i="17" s="1"/>
  <c r="W98" i="17" s="1"/>
  <c r="X98" i="17" s="1"/>
  <c r="Y98" i="17" s="1"/>
  <c r="Z98" i="17" s="1"/>
  <c r="AA98" i="17" s="1"/>
  <c r="AB98" i="17" s="1"/>
  <c r="AC98" i="17" s="1"/>
  <c r="AD98" i="17" s="1"/>
  <c r="AE98" i="17" s="1"/>
  <c r="AF98" i="17" s="1"/>
  <c r="C98" i="17"/>
  <c r="H97" i="17"/>
  <c r="I97" i="17" s="1"/>
  <c r="J97" i="17" s="1"/>
  <c r="K97" i="17" s="1"/>
  <c r="L97" i="17" s="1"/>
  <c r="M97" i="17" s="1"/>
  <c r="N97" i="17" s="1"/>
  <c r="O97" i="17" s="1"/>
  <c r="P97" i="17" s="1"/>
  <c r="Q97" i="17" s="1"/>
  <c r="R97" i="17" s="1"/>
  <c r="S97" i="17" s="1"/>
  <c r="T97" i="17" s="1"/>
  <c r="U97" i="17" s="1"/>
  <c r="V97" i="17" s="1"/>
  <c r="W97" i="17" s="1"/>
  <c r="X97" i="17" s="1"/>
  <c r="Y97" i="17" s="1"/>
  <c r="Z97" i="17" s="1"/>
  <c r="AA97" i="17" s="1"/>
  <c r="AB97" i="17" s="1"/>
  <c r="AC97" i="17" s="1"/>
  <c r="AD97" i="17" s="1"/>
  <c r="AE97" i="17" s="1"/>
  <c r="AF97" i="17" s="1"/>
  <c r="D97" i="17"/>
  <c r="E97" i="17" s="1"/>
  <c r="F97" i="17" s="1"/>
  <c r="G97" i="17" s="1"/>
  <c r="C97" i="17"/>
  <c r="C96" i="17"/>
  <c r="D96" i="17" s="1"/>
  <c r="E96" i="17" s="1"/>
  <c r="F96" i="17" s="1"/>
  <c r="G96" i="17" s="1"/>
  <c r="H96" i="17" s="1"/>
  <c r="I96" i="17" s="1"/>
  <c r="J96" i="17" s="1"/>
  <c r="K96" i="17" s="1"/>
  <c r="L96" i="17" s="1"/>
  <c r="M96" i="17" s="1"/>
  <c r="N96" i="17" s="1"/>
  <c r="O96" i="17" s="1"/>
  <c r="P96" i="17" s="1"/>
  <c r="Q96" i="17" s="1"/>
  <c r="R96" i="17" s="1"/>
  <c r="S96" i="17" s="1"/>
  <c r="T96" i="17" s="1"/>
  <c r="U96" i="17" s="1"/>
  <c r="V96" i="17" s="1"/>
  <c r="W96" i="17" s="1"/>
  <c r="X96" i="17" s="1"/>
  <c r="Y96" i="17" s="1"/>
  <c r="Z96" i="17" s="1"/>
  <c r="AA96" i="17" s="1"/>
  <c r="AB96" i="17" s="1"/>
  <c r="AC96" i="17" s="1"/>
  <c r="AD96" i="17" s="1"/>
  <c r="AE96" i="17" s="1"/>
  <c r="AF96" i="17" s="1"/>
  <c r="C95" i="17"/>
  <c r="D95" i="17" s="1"/>
  <c r="E95" i="17" s="1"/>
  <c r="F95" i="17" s="1"/>
  <c r="G95" i="17" s="1"/>
  <c r="H95" i="17" s="1"/>
  <c r="I95" i="17" s="1"/>
  <c r="J95" i="17" s="1"/>
  <c r="K95" i="17" s="1"/>
  <c r="L95" i="17" s="1"/>
  <c r="M95" i="17" s="1"/>
  <c r="N95" i="17" s="1"/>
  <c r="O95" i="17" s="1"/>
  <c r="P95" i="17" s="1"/>
  <c r="Q95" i="17" s="1"/>
  <c r="R95" i="17" s="1"/>
  <c r="S95" i="17" s="1"/>
  <c r="T95" i="17" s="1"/>
  <c r="U95" i="17" s="1"/>
  <c r="V95" i="17" s="1"/>
  <c r="W95" i="17" s="1"/>
  <c r="X95" i="17" s="1"/>
  <c r="Y95" i="17" s="1"/>
  <c r="Z95" i="17" s="1"/>
  <c r="AA95" i="17" s="1"/>
  <c r="AB95" i="17" s="1"/>
  <c r="AC95" i="17" s="1"/>
  <c r="AD95" i="17" s="1"/>
  <c r="AE95" i="17" s="1"/>
  <c r="AF95" i="17" s="1"/>
  <c r="C94" i="17"/>
  <c r="D94" i="17" s="1"/>
  <c r="D93" i="17"/>
  <c r="E93" i="17" s="1"/>
  <c r="F93" i="17" s="1"/>
  <c r="G93" i="17" s="1"/>
  <c r="H93" i="17" s="1"/>
  <c r="I93" i="17" s="1"/>
  <c r="J93" i="17" s="1"/>
  <c r="K93" i="17" s="1"/>
  <c r="L93" i="17" s="1"/>
  <c r="M93" i="17" s="1"/>
  <c r="N93" i="17" s="1"/>
  <c r="O93" i="17" s="1"/>
  <c r="P93" i="17" s="1"/>
  <c r="Q93" i="17" s="1"/>
  <c r="R93" i="17" s="1"/>
  <c r="S93" i="17" s="1"/>
  <c r="T93" i="17" s="1"/>
  <c r="U93" i="17" s="1"/>
  <c r="V93" i="17" s="1"/>
  <c r="W93" i="17" s="1"/>
  <c r="X93" i="17" s="1"/>
  <c r="Y93" i="17" s="1"/>
  <c r="Z93" i="17" s="1"/>
  <c r="AA93" i="17" s="1"/>
  <c r="AB93" i="17" s="1"/>
  <c r="AC93" i="17" s="1"/>
  <c r="AD93" i="17" s="1"/>
  <c r="AE93" i="17" s="1"/>
  <c r="AF93" i="17" s="1"/>
  <c r="C93" i="17"/>
  <c r="C92" i="17"/>
  <c r="D92" i="17" s="1"/>
  <c r="E92" i="17" s="1"/>
  <c r="F92" i="17" s="1"/>
  <c r="G92" i="17" s="1"/>
  <c r="H92" i="17" s="1"/>
  <c r="I92" i="17" s="1"/>
  <c r="J92" i="17" s="1"/>
  <c r="K92" i="17" s="1"/>
  <c r="L92" i="17" s="1"/>
  <c r="M92" i="17" s="1"/>
  <c r="N92" i="17" s="1"/>
  <c r="O92" i="17" s="1"/>
  <c r="P92" i="17" s="1"/>
  <c r="Q92" i="17" s="1"/>
  <c r="R92" i="17" s="1"/>
  <c r="S92" i="17" s="1"/>
  <c r="T92" i="17" s="1"/>
  <c r="U92" i="17" s="1"/>
  <c r="V92" i="17" s="1"/>
  <c r="W92" i="17" s="1"/>
  <c r="X92" i="17" s="1"/>
  <c r="Y92" i="17" s="1"/>
  <c r="Z92" i="17" s="1"/>
  <c r="AA92" i="17" s="1"/>
  <c r="AB92" i="17" s="1"/>
  <c r="AC92" i="17" s="1"/>
  <c r="AD92" i="17" s="1"/>
  <c r="AE92" i="17" s="1"/>
  <c r="AF92" i="17" s="1"/>
  <c r="F91" i="17"/>
  <c r="G91" i="17" s="1"/>
  <c r="H91" i="17" s="1"/>
  <c r="I91" i="17" s="1"/>
  <c r="J91" i="17" s="1"/>
  <c r="K91" i="17" s="1"/>
  <c r="L91" i="17" s="1"/>
  <c r="M91" i="17" s="1"/>
  <c r="N91" i="17" s="1"/>
  <c r="O91" i="17" s="1"/>
  <c r="P91" i="17" s="1"/>
  <c r="Q91" i="17" s="1"/>
  <c r="R91" i="17" s="1"/>
  <c r="S91" i="17" s="1"/>
  <c r="T91" i="17" s="1"/>
  <c r="U91" i="17" s="1"/>
  <c r="V91" i="17" s="1"/>
  <c r="W91" i="17" s="1"/>
  <c r="X91" i="17" s="1"/>
  <c r="Y91" i="17" s="1"/>
  <c r="Z91" i="17" s="1"/>
  <c r="AA91" i="17" s="1"/>
  <c r="AB91" i="17" s="1"/>
  <c r="AC91" i="17" s="1"/>
  <c r="AD91" i="17" s="1"/>
  <c r="AE91" i="17" s="1"/>
  <c r="AF91" i="17" s="1"/>
  <c r="D91" i="17"/>
  <c r="E91" i="17" s="1"/>
  <c r="C91" i="17"/>
  <c r="D90" i="17"/>
  <c r="E90" i="17" s="1"/>
  <c r="F90" i="17" s="1"/>
  <c r="G90" i="17" s="1"/>
  <c r="H90" i="17" s="1"/>
  <c r="I90" i="17" s="1"/>
  <c r="J90" i="17" s="1"/>
  <c r="K90" i="17" s="1"/>
  <c r="L90" i="17" s="1"/>
  <c r="M90" i="17" s="1"/>
  <c r="N90" i="17" s="1"/>
  <c r="O90" i="17" s="1"/>
  <c r="P90" i="17" s="1"/>
  <c r="Q90" i="17" s="1"/>
  <c r="R90" i="17" s="1"/>
  <c r="S90" i="17" s="1"/>
  <c r="T90" i="17" s="1"/>
  <c r="U90" i="17" s="1"/>
  <c r="V90" i="17" s="1"/>
  <c r="W90" i="17" s="1"/>
  <c r="X90" i="17" s="1"/>
  <c r="Y90" i="17" s="1"/>
  <c r="Z90" i="17" s="1"/>
  <c r="AA90" i="17" s="1"/>
  <c r="AB90" i="17" s="1"/>
  <c r="AC90" i="17" s="1"/>
  <c r="AD90" i="17" s="1"/>
  <c r="AE90" i="17" s="1"/>
  <c r="AF90" i="17" s="1"/>
  <c r="C90" i="17"/>
  <c r="D89" i="17"/>
  <c r="C89" i="17"/>
  <c r="AH86" i="17"/>
  <c r="AI86" i="17" s="1"/>
  <c r="AH85" i="17"/>
  <c r="AI85" i="17" s="1"/>
  <c r="AH84" i="17"/>
  <c r="AI84" i="17" s="1"/>
  <c r="AH83" i="17"/>
  <c r="AI83" i="17" s="1"/>
  <c r="C82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I72" i="17"/>
  <c r="AH72" i="17"/>
  <c r="AG71" i="17"/>
  <c r="AI70" i="17"/>
  <c r="AH70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AF66" i="17"/>
  <c r="AE66" i="17"/>
  <c r="AD66" i="17"/>
  <c r="AC66" i="17"/>
  <c r="AB66" i="17"/>
  <c r="AA66" i="17"/>
  <c r="AA71" i="17" s="1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N71" i="17" s="1"/>
  <c r="M66" i="17"/>
  <c r="L66" i="17"/>
  <c r="K66" i="17"/>
  <c r="J66" i="17"/>
  <c r="I66" i="17"/>
  <c r="I71" i="17" s="1"/>
  <c r="H66" i="17"/>
  <c r="G66" i="17"/>
  <c r="F66" i="17"/>
  <c r="E66" i="17"/>
  <c r="D66" i="17"/>
  <c r="C66" i="17"/>
  <c r="AI64" i="17"/>
  <c r="AH64" i="17"/>
  <c r="AI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AI62" i="17"/>
  <c r="AH62" i="17"/>
  <c r="AI61" i="17"/>
  <c r="AH61" i="17"/>
  <c r="AI60" i="17"/>
  <c r="AH60" i="17"/>
  <c r="AG59" i="17"/>
  <c r="AF59" i="17"/>
  <c r="AE59" i="17"/>
  <c r="AE5" i="17" s="1"/>
  <c r="AD59" i="17"/>
  <c r="AD5" i="17" s="1"/>
  <c r="AC59" i="17"/>
  <c r="AB59" i="17"/>
  <c r="AA59" i="17"/>
  <c r="AA5" i="17" s="1"/>
  <c r="Z59" i="17"/>
  <c r="Y59" i="17"/>
  <c r="Y5" i="17" s="1"/>
  <c r="X59" i="17"/>
  <c r="W59" i="17"/>
  <c r="U59" i="17"/>
  <c r="U5" i="17" s="1"/>
  <c r="S59" i="17"/>
  <c r="S5" i="17" s="1"/>
  <c r="R59" i="17"/>
  <c r="R5" i="17" s="1"/>
  <c r="Q59" i="17"/>
  <c r="Q5" i="17" s="1"/>
  <c r="P59" i="17"/>
  <c r="P5" i="17" s="1"/>
  <c r="O59" i="17"/>
  <c r="O5" i="17" s="1"/>
  <c r="N59" i="17"/>
  <c r="N5" i="17" s="1"/>
  <c r="M5" i="17"/>
  <c r="L59" i="17"/>
  <c r="L5" i="17" s="1"/>
  <c r="K59" i="17"/>
  <c r="K5" i="17" s="1"/>
  <c r="J59" i="17"/>
  <c r="J5" i="17" s="1"/>
  <c r="I59" i="17"/>
  <c r="I5" i="17" s="1"/>
  <c r="H59" i="17"/>
  <c r="H5" i="17" s="1"/>
  <c r="G59" i="17"/>
  <c r="G5" i="17" s="1"/>
  <c r="F59" i="17"/>
  <c r="F5" i="17" s="1"/>
  <c r="E59" i="17"/>
  <c r="E5" i="17" s="1"/>
  <c r="D59" i="17"/>
  <c r="D5" i="17" s="1"/>
  <c r="C59" i="17"/>
  <c r="C5" i="17" s="1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AI46" i="17"/>
  <c r="AH46" i="17"/>
  <c r="AI45" i="17"/>
  <c r="AH45" i="17"/>
  <c r="AI44" i="17"/>
  <c r="AH44" i="17"/>
  <c r="AG43" i="17"/>
  <c r="AG3" i="17" s="1"/>
  <c r="AG6" i="17" s="1"/>
  <c r="AG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AC5" i="17"/>
  <c r="AB5" i="17"/>
  <c r="Z5" i="17"/>
  <c r="X5" i="17"/>
  <c r="W5" i="17"/>
  <c r="V5" i="17"/>
  <c r="T5" i="17"/>
  <c r="B5" i="17"/>
  <c r="AG4" i="17"/>
  <c r="K4" i="17"/>
  <c r="C4" i="17"/>
  <c r="D4" i="17" s="1"/>
  <c r="AG2" i="17"/>
  <c r="X59" i="16"/>
  <c r="Z66" i="16"/>
  <c r="AB71" i="18"/>
  <c r="AC71" i="18"/>
  <c r="AA71" i="18"/>
  <c r="Z71" i="18"/>
  <c r="X71" i="18"/>
  <c r="T71" i="18"/>
  <c r="S71" i="18"/>
  <c r="R71" i="18"/>
  <c r="AI68" i="18"/>
  <c r="P71" i="18"/>
  <c r="M71" i="18"/>
  <c r="L71" i="18"/>
  <c r="K71" i="18"/>
  <c r="J71" i="18"/>
  <c r="G71" i="18"/>
  <c r="AI69" i="18"/>
  <c r="E71" i="18"/>
  <c r="AI66" i="18"/>
  <c r="AI67" i="18"/>
  <c r="D71" i="18"/>
  <c r="AH67" i="18"/>
  <c r="C71" i="18"/>
  <c r="AH59" i="18"/>
  <c r="AI80" i="18"/>
  <c r="AH47" i="18"/>
  <c r="AI30" i="18"/>
  <c r="AI59" i="18"/>
  <c r="AH80" i="18"/>
  <c r="AI47" i="18"/>
  <c r="B65" i="18"/>
  <c r="B71" i="18"/>
  <c r="D82" i="18"/>
  <c r="AH66" i="18"/>
  <c r="AH30" i="18"/>
  <c r="C171" i="18"/>
  <c r="D89" i="18"/>
  <c r="F82" i="18"/>
  <c r="G94" i="18"/>
  <c r="AH68" i="18"/>
  <c r="AH69" i="18"/>
  <c r="E82" i="18"/>
  <c r="E178" i="18"/>
  <c r="D214" i="18"/>
  <c r="D179" i="18"/>
  <c r="D42" i="18" s="1"/>
  <c r="D43" i="18" s="1"/>
  <c r="D65" i="18" s="1"/>
  <c r="E173" i="18"/>
  <c r="C179" i="18"/>
  <c r="C42" i="18" s="1"/>
  <c r="C43" i="18" s="1"/>
  <c r="C65" i="18" s="1"/>
  <c r="AE71" i="17"/>
  <c r="AD71" i="17"/>
  <c r="AB71" i="17"/>
  <c r="AC71" i="17"/>
  <c r="Y71" i="17"/>
  <c r="W71" i="17"/>
  <c r="V71" i="17"/>
  <c r="U71" i="17"/>
  <c r="T71" i="17"/>
  <c r="S71" i="17"/>
  <c r="Q71" i="17"/>
  <c r="O71" i="17"/>
  <c r="M71" i="17"/>
  <c r="B65" i="17"/>
  <c r="B7" i="17" s="1"/>
  <c r="L71" i="17"/>
  <c r="K71" i="17"/>
  <c r="G71" i="17"/>
  <c r="AH67" i="17"/>
  <c r="F71" i="17"/>
  <c r="AI69" i="17"/>
  <c r="E71" i="17"/>
  <c r="AI68" i="17"/>
  <c r="D71" i="17"/>
  <c r="AI80" i="17"/>
  <c r="AH68" i="17"/>
  <c r="C71" i="17"/>
  <c r="AI47" i="17"/>
  <c r="AI30" i="17"/>
  <c r="E94" i="17"/>
  <c r="D82" i="17"/>
  <c r="AH59" i="17"/>
  <c r="AI59" i="17"/>
  <c r="J71" i="17"/>
  <c r="R71" i="17"/>
  <c r="Z71" i="17"/>
  <c r="AH47" i="17"/>
  <c r="AH30" i="17"/>
  <c r="AG65" i="17"/>
  <c r="H71" i="17"/>
  <c r="P71" i="17"/>
  <c r="X71" i="17"/>
  <c r="AF71" i="17"/>
  <c r="AI67" i="17"/>
  <c r="AH66" i="17"/>
  <c r="AH80" i="17"/>
  <c r="AI66" i="17"/>
  <c r="AH63" i="17"/>
  <c r="AH69" i="17"/>
  <c r="C171" i="17"/>
  <c r="D171" i="17"/>
  <c r="E89" i="17"/>
  <c r="G173" i="17"/>
  <c r="F179" i="17"/>
  <c r="F42" i="17" s="1"/>
  <c r="F43" i="17" s="1"/>
  <c r="F65" i="17" s="1"/>
  <c r="E179" i="17"/>
  <c r="E42" i="17" s="1"/>
  <c r="E43" i="17" s="1"/>
  <c r="E65" i="17" s="1"/>
  <c r="D179" i="17"/>
  <c r="D42" i="17" s="1"/>
  <c r="D43" i="17" s="1"/>
  <c r="D65" i="17" s="1"/>
  <c r="G178" i="17"/>
  <c r="C214" i="17"/>
  <c r="C179" i="17"/>
  <c r="C42" i="17" s="1"/>
  <c r="C43" i="17" s="1"/>
  <c r="D214" i="17"/>
  <c r="T193" i="17"/>
  <c r="V193" i="18"/>
  <c r="D7" i="18"/>
  <c r="U193" i="18"/>
  <c r="C7" i="18"/>
  <c r="E179" i="18"/>
  <c r="E42" i="18" s="1"/>
  <c r="E43" i="18" s="1"/>
  <c r="E65" i="18" s="1"/>
  <c r="F173" i="18"/>
  <c r="H94" i="18"/>
  <c r="G82" i="18"/>
  <c r="AI71" i="18"/>
  <c r="AH71" i="18"/>
  <c r="T193" i="18"/>
  <c r="B7" i="18"/>
  <c r="E214" i="18"/>
  <c r="F178" i="18"/>
  <c r="D171" i="18"/>
  <c r="E89" i="18"/>
  <c r="X193" i="17"/>
  <c r="F7" i="17"/>
  <c r="V193" i="17"/>
  <c r="D7" i="17"/>
  <c r="W193" i="17"/>
  <c r="E7" i="17"/>
  <c r="C65" i="17"/>
  <c r="AH71" i="17"/>
  <c r="AI71" i="17"/>
  <c r="E82" i="17"/>
  <c r="F94" i="17"/>
  <c r="G214" i="17"/>
  <c r="H178" i="17"/>
  <c r="H173" i="17"/>
  <c r="G179" i="17"/>
  <c r="G42" i="17" s="1"/>
  <c r="G43" i="17" s="1"/>
  <c r="G65" i="17" s="1"/>
  <c r="E171" i="17"/>
  <c r="F89" i="17"/>
  <c r="E171" i="18"/>
  <c r="F89" i="18"/>
  <c r="W193" i="18"/>
  <c r="E7" i="18"/>
  <c r="F214" i="18"/>
  <c r="G178" i="18"/>
  <c r="G173" i="18"/>
  <c r="F179" i="18"/>
  <c r="F42" i="18" s="1"/>
  <c r="F43" i="18" s="1"/>
  <c r="I94" i="18"/>
  <c r="H82" i="18"/>
  <c r="Y193" i="17"/>
  <c r="G7" i="17"/>
  <c r="U193" i="17"/>
  <c r="C7" i="17"/>
  <c r="H214" i="17"/>
  <c r="I178" i="17"/>
  <c r="I173" i="17"/>
  <c r="H179" i="17"/>
  <c r="H42" i="17" s="1"/>
  <c r="H43" i="17" s="1"/>
  <c r="F171" i="17"/>
  <c r="G89" i="17"/>
  <c r="F82" i="17"/>
  <c r="G94" i="17"/>
  <c r="F65" i="18"/>
  <c r="H173" i="18"/>
  <c r="G179" i="18"/>
  <c r="G42" i="18" s="1"/>
  <c r="F171" i="18"/>
  <c r="G89" i="18"/>
  <c r="J94" i="18"/>
  <c r="I82" i="18"/>
  <c r="G214" i="18"/>
  <c r="H178" i="18"/>
  <c r="G82" i="17"/>
  <c r="H94" i="17"/>
  <c r="J178" i="17"/>
  <c r="I214" i="17"/>
  <c r="G171" i="17"/>
  <c r="H89" i="17"/>
  <c r="H65" i="17"/>
  <c r="J173" i="17"/>
  <c r="I179" i="17"/>
  <c r="I42" i="17" s="1"/>
  <c r="I43" i="17" s="1"/>
  <c r="I65" i="17" s="1"/>
  <c r="K94" i="18"/>
  <c r="J82" i="18"/>
  <c r="G171" i="18"/>
  <c r="H89" i="18"/>
  <c r="G43" i="18"/>
  <c r="H179" i="18"/>
  <c r="H42" i="18" s="1"/>
  <c r="I173" i="18"/>
  <c r="H214" i="18"/>
  <c r="I178" i="18"/>
  <c r="X193" i="18"/>
  <c r="F7" i="18"/>
  <c r="J214" i="17"/>
  <c r="K178" i="17"/>
  <c r="Z193" i="17"/>
  <c r="H7" i="17"/>
  <c r="I94" i="17"/>
  <c r="H82" i="17"/>
  <c r="AA193" i="17"/>
  <c r="I7" i="17"/>
  <c r="J179" i="17"/>
  <c r="J42" i="17" s="1"/>
  <c r="J43" i="17" s="1"/>
  <c r="J65" i="17" s="1"/>
  <c r="K173" i="17"/>
  <c r="H171" i="17"/>
  <c r="I89" i="17"/>
  <c r="H171" i="18"/>
  <c r="I89" i="18"/>
  <c r="H43" i="18"/>
  <c r="H65" i="18" s="1"/>
  <c r="G65" i="18"/>
  <c r="I179" i="18"/>
  <c r="I42" i="18" s="1"/>
  <c r="I43" i="18" s="1"/>
  <c r="I65" i="18" s="1"/>
  <c r="J173" i="18"/>
  <c r="J178" i="18"/>
  <c r="I214" i="18"/>
  <c r="L94" i="18"/>
  <c r="K82" i="18"/>
  <c r="K179" i="17"/>
  <c r="K42" i="17" s="1"/>
  <c r="K43" i="17" s="1"/>
  <c r="K65" i="17" s="1"/>
  <c r="L173" i="17"/>
  <c r="AB193" i="17"/>
  <c r="J7" i="17"/>
  <c r="I171" i="17"/>
  <c r="J89" i="17"/>
  <c r="J94" i="17"/>
  <c r="I82" i="17"/>
  <c r="L178" i="17"/>
  <c r="K214" i="17"/>
  <c r="N50" i="16"/>
  <c r="AF218" i="16"/>
  <c r="AE218" i="16"/>
  <c r="AD218" i="16"/>
  <c r="AC218" i="16"/>
  <c r="AB218" i="16"/>
  <c r="AA218" i="16"/>
  <c r="Z218" i="16"/>
  <c r="Y218" i="16"/>
  <c r="X218" i="16"/>
  <c r="W218" i="16"/>
  <c r="V218" i="16"/>
  <c r="U218" i="16"/>
  <c r="T218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B218" i="16"/>
  <c r="A218" i="16"/>
  <c r="AF217" i="16"/>
  <c r="AE217" i="16"/>
  <c r="AD217" i="16"/>
  <c r="AC217" i="16"/>
  <c r="AB217" i="16"/>
  <c r="AA217" i="16"/>
  <c r="Z217" i="16"/>
  <c r="Y217" i="16"/>
  <c r="X217" i="16"/>
  <c r="W217" i="16"/>
  <c r="V217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A217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A216" i="16"/>
  <c r="AF215" i="16"/>
  <c r="AE215" i="16"/>
  <c r="AD215" i="16"/>
  <c r="AC215" i="16"/>
  <c r="AB215" i="16"/>
  <c r="AA215" i="16"/>
  <c r="Z215" i="16"/>
  <c r="Y215" i="16"/>
  <c r="X215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A215" i="16"/>
  <c r="B214" i="16"/>
  <c r="S189" i="16"/>
  <c r="AG179" i="16"/>
  <c r="B179" i="16"/>
  <c r="C178" i="16"/>
  <c r="C177" i="16"/>
  <c r="D177" i="16" s="1"/>
  <c r="E177" i="16" s="1"/>
  <c r="F177" i="16" s="1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AD177" i="16" s="1"/>
  <c r="AE177" i="16" s="1"/>
  <c r="AF177" i="16" s="1"/>
  <c r="G176" i="16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C176" i="16"/>
  <c r="D176" i="16" s="1"/>
  <c r="E176" i="16" s="1"/>
  <c r="F176" i="16" s="1"/>
  <c r="C175" i="16"/>
  <c r="D175" i="16" s="1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E174" i="16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C174" i="16"/>
  <c r="D174" i="16" s="1"/>
  <c r="C173" i="16"/>
  <c r="AG171" i="16"/>
  <c r="B171" i="16"/>
  <c r="E170" i="16"/>
  <c r="F170" i="16" s="1"/>
  <c r="G170" i="16" s="1"/>
  <c r="H170" i="16" s="1"/>
  <c r="I170" i="16" s="1"/>
  <c r="J170" i="16" s="1"/>
  <c r="K170" i="16" s="1"/>
  <c r="L170" i="16" s="1"/>
  <c r="M170" i="16" s="1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C170" i="16"/>
  <c r="D170" i="16" s="1"/>
  <c r="D169" i="16"/>
  <c r="E169" i="16" s="1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C169" i="16"/>
  <c r="E168" i="16"/>
  <c r="F168" i="16" s="1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C168" i="16"/>
  <c r="D168" i="16" s="1"/>
  <c r="C167" i="16"/>
  <c r="D167" i="16" s="1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C166" i="16"/>
  <c r="D166" i="16" s="1"/>
  <c r="E166" i="16" s="1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C165" i="16"/>
  <c r="D165" i="16" s="1"/>
  <c r="E165" i="16" s="1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E164" i="16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C164" i="16"/>
  <c r="D164" i="16" s="1"/>
  <c r="M163" i="16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C163" i="16"/>
  <c r="D163" i="16" s="1"/>
  <c r="E163" i="16" s="1"/>
  <c r="F163" i="16" s="1"/>
  <c r="G163" i="16" s="1"/>
  <c r="H163" i="16" s="1"/>
  <c r="I163" i="16" s="1"/>
  <c r="J163" i="16" s="1"/>
  <c r="K163" i="16" s="1"/>
  <c r="L163" i="16" s="1"/>
  <c r="C162" i="16"/>
  <c r="D162" i="16" s="1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D161" i="16"/>
  <c r="E161" i="16" s="1"/>
  <c r="F161" i="16" s="1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C161" i="16"/>
  <c r="C160" i="16"/>
  <c r="D160" i="16" s="1"/>
  <c r="E160" i="16" s="1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C159" i="16"/>
  <c r="D159" i="16" s="1"/>
  <c r="E159" i="16" s="1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C158" i="16"/>
  <c r="D158" i="16" s="1"/>
  <c r="E158" i="16" s="1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C157" i="16"/>
  <c r="D157" i="16" s="1"/>
  <c r="E157" i="16" s="1"/>
  <c r="F157" i="16" s="1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F156" i="16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C156" i="16"/>
  <c r="D156" i="16" s="1"/>
  <c r="E156" i="16" s="1"/>
  <c r="C155" i="16"/>
  <c r="D155" i="16" s="1"/>
  <c r="E155" i="16" s="1"/>
  <c r="F155" i="16" s="1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C154" i="16"/>
  <c r="D154" i="16" s="1"/>
  <c r="E154" i="16" s="1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D153" i="16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C153" i="16"/>
  <c r="J152" i="16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C152" i="16"/>
  <c r="D152" i="16" s="1"/>
  <c r="E152" i="16" s="1"/>
  <c r="F152" i="16" s="1"/>
  <c r="G152" i="16" s="1"/>
  <c r="H152" i="16" s="1"/>
  <c r="I152" i="16" s="1"/>
  <c r="C151" i="16"/>
  <c r="D151" i="16" s="1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C150" i="16"/>
  <c r="D150" i="16" s="1"/>
  <c r="E150" i="16" s="1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C149" i="16"/>
  <c r="D149" i="16" s="1"/>
  <c r="E149" i="16" s="1"/>
  <c r="F149" i="16" s="1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E148" i="16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C148" i="16"/>
  <c r="D148" i="16" s="1"/>
  <c r="C147" i="16"/>
  <c r="D147" i="16" s="1"/>
  <c r="E147" i="16" s="1"/>
  <c r="F147" i="16" s="1"/>
  <c r="G147" i="16" s="1"/>
  <c r="H147" i="16" s="1"/>
  <c r="I147" i="16" s="1"/>
  <c r="J147" i="16" s="1"/>
  <c r="K147" i="16" s="1"/>
  <c r="L147" i="16" s="1"/>
  <c r="M147" i="16" s="1"/>
  <c r="N147" i="16" s="1"/>
  <c r="O147" i="16" s="1"/>
  <c r="P147" i="16" s="1"/>
  <c r="Q147" i="16" s="1"/>
  <c r="R147" i="16" s="1"/>
  <c r="S147" i="16" s="1"/>
  <c r="T147" i="16" s="1"/>
  <c r="U147" i="16" s="1"/>
  <c r="V147" i="16" s="1"/>
  <c r="W147" i="16" s="1"/>
  <c r="X147" i="16" s="1"/>
  <c r="Y147" i="16" s="1"/>
  <c r="Z147" i="16" s="1"/>
  <c r="AA147" i="16" s="1"/>
  <c r="AB147" i="16" s="1"/>
  <c r="AC147" i="16" s="1"/>
  <c r="AD147" i="16" s="1"/>
  <c r="AE147" i="16" s="1"/>
  <c r="AF147" i="16" s="1"/>
  <c r="E146" i="16"/>
  <c r="F146" i="16" s="1"/>
  <c r="G146" i="16" s="1"/>
  <c r="H146" i="16" s="1"/>
  <c r="I146" i="16" s="1"/>
  <c r="J146" i="16" s="1"/>
  <c r="K146" i="16" s="1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D146" i="16"/>
  <c r="C146" i="16"/>
  <c r="E145" i="16"/>
  <c r="F145" i="16" s="1"/>
  <c r="G145" i="16" s="1"/>
  <c r="H145" i="16" s="1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C145" i="16"/>
  <c r="D145" i="16" s="1"/>
  <c r="C144" i="16"/>
  <c r="D144" i="16" s="1"/>
  <c r="E144" i="16" s="1"/>
  <c r="F144" i="16" s="1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C143" i="16"/>
  <c r="D143" i="16" s="1"/>
  <c r="E143" i="16" s="1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D142" i="16"/>
  <c r="E142" i="16" s="1"/>
  <c r="F142" i="16" s="1"/>
  <c r="G142" i="16" s="1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C142" i="16"/>
  <c r="M141" i="16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C141" i="16"/>
  <c r="D141" i="16" s="1"/>
  <c r="E141" i="16" s="1"/>
  <c r="F141" i="16" s="1"/>
  <c r="G141" i="16" s="1"/>
  <c r="H141" i="16" s="1"/>
  <c r="I141" i="16" s="1"/>
  <c r="J141" i="16" s="1"/>
  <c r="K141" i="16" s="1"/>
  <c r="L141" i="16" s="1"/>
  <c r="D140" i="16"/>
  <c r="E140" i="16" s="1"/>
  <c r="F140" i="16" s="1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C140" i="16"/>
  <c r="I139" i="16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C139" i="16"/>
  <c r="D139" i="16" s="1"/>
  <c r="E139" i="16" s="1"/>
  <c r="F139" i="16" s="1"/>
  <c r="G139" i="16" s="1"/>
  <c r="H139" i="16" s="1"/>
  <c r="C138" i="16"/>
  <c r="D138" i="16" s="1"/>
  <c r="E138" i="16" s="1"/>
  <c r="F138" i="16" s="1"/>
  <c r="G138" i="16" s="1"/>
  <c r="H138" i="16" s="1"/>
  <c r="I138" i="16" s="1"/>
  <c r="J138" i="16" s="1"/>
  <c r="K138" i="16" s="1"/>
  <c r="L138" i="16" s="1"/>
  <c r="M138" i="16" s="1"/>
  <c r="N138" i="16" s="1"/>
  <c r="O138" i="16" s="1"/>
  <c r="P138" i="16" s="1"/>
  <c r="Q138" i="16" s="1"/>
  <c r="R138" i="16" s="1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C137" i="16"/>
  <c r="D137" i="16" s="1"/>
  <c r="E137" i="16" s="1"/>
  <c r="F137" i="16" s="1"/>
  <c r="G137" i="16" s="1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C136" i="16"/>
  <c r="D136" i="16" s="1"/>
  <c r="E136" i="16" s="1"/>
  <c r="F136" i="16" s="1"/>
  <c r="G136" i="16" s="1"/>
  <c r="H136" i="16" s="1"/>
  <c r="I136" i="16" s="1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T135" i="16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C135" i="16"/>
  <c r="D135" i="16" s="1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K134" i="16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C134" i="16"/>
  <c r="D134" i="16" s="1"/>
  <c r="E134" i="16" s="1"/>
  <c r="F134" i="16" s="1"/>
  <c r="G134" i="16" s="1"/>
  <c r="H134" i="16" s="1"/>
  <c r="I134" i="16" s="1"/>
  <c r="J134" i="16" s="1"/>
  <c r="C133" i="16"/>
  <c r="D133" i="16" s="1"/>
  <c r="E133" i="16" s="1"/>
  <c r="F133" i="16" s="1"/>
  <c r="G133" i="16" s="1"/>
  <c r="H133" i="16" s="1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G132" i="16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C132" i="16"/>
  <c r="D132" i="16" s="1"/>
  <c r="E132" i="16" s="1"/>
  <c r="F132" i="16" s="1"/>
  <c r="C131" i="16"/>
  <c r="D131" i="16" s="1"/>
  <c r="E131" i="16" s="1"/>
  <c r="F131" i="16" s="1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C130" i="16"/>
  <c r="D130" i="16" s="1"/>
  <c r="E130" i="16" s="1"/>
  <c r="F130" i="16" s="1"/>
  <c r="G130" i="16" s="1"/>
  <c r="H130" i="16" s="1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C129" i="16"/>
  <c r="D129" i="16" s="1"/>
  <c r="E129" i="16" s="1"/>
  <c r="F129" i="16" s="1"/>
  <c r="G129" i="16" s="1"/>
  <c r="H129" i="16" s="1"/>
  <c r="I129" i="16" s="1"/>
  <c r="J129" i="16" s="1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C128" i="16"/>
  <c r="D128" i="16" s="1"/>
  <c r="E128" i="16" s="1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C127" i="16"/>
  <c r="D127" i="16" s="1"/>
  <c r="E127" i="16" s="1"/>
  <c r="F127" i="16" s="1"/>
  <c r="G127" i="16" s="1"/>
  <c r="H127" i="16" s="1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C126" i="16"/>
  <c r="D126" i="16" s="1"/>
  <c r="E126" i="16" s="1"/>
  <c r="F126" i="16" s="1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S125" i="16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C125" i="16"/>
  <c r="D125" i="16" s="1"/>
  <c r="E125" i="16" s="1"/>
  <c r="F125" i="16" s="1"/>
  <c r="G125" i="16" s="1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J124" i="16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C124" i="16"/>
  <c r="D124" i="16" s="1"/>
  <c r="E124" i="16" s="1"/>
  <c r="F124" i="16" s="1"/>
  <c r="G124" i="16" s="1"/>
  <c r="H124" i="16" s="1"/>
  <c r="I124" i="16" s="1"/>
  <c r="C123" i="16"/>
  <c r="D123" i="16" s="1"/>
  <c r="E123" i="16" s="1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C122" i="16"/>
  <c r="D122" i="16" s="1"/>
  <c r="E122" i="16" s="1"/>
  <c r="F122" i="16" s="1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C121" i="16"/>
  <c r="D121" i="16" s="1"/>
  <c r="E121" i="16" s="1"/>
  <c r="F121" i="16" s="1"/>
  <c r="G121" i="16" s="1"/>
  <c r="H121" i="16" s="1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R120" i="16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C120" i="16"/>
  <c r="D120" i="16" s="1"/>
  <c r="E120" i="16" s="1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H119" i="16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D119" i="16"/>
  <c r="E119" i="16" s="1"/>
  <c r="F119" i="16" s="1"/>
  <c r="G119" i="16" s="1"/>
  <c r="C119" i="16"/>
  <c r="C118" i="16"/>
  <c r="D118" i="16" s="1"/>
  <c r="E118" i="16" s="1"/>
  <c r="F118" i="16" s="1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E117" i="16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D117" i="16"/>
  <c r="C117" i="16"/>
  <c r="C116" i="16"/>
  <c r="D116" i="16" s="1"/>
  <c r="E116" i="16" s="1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D115" i="16"/>
  <c r="E115" i="16" s="1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C115" i="16"/>
  <c r="C114" i="16"/>
  <c r="D114" i="16" s="1"/>
  <c r="E114" i="16" s="1"/>
  <c r="F114" i="16" s="1"/>
  <c r="G114" i="16" s="1"/>
  <c r="H114" i="16" s="1"/>
  <c r="I114" i="16" s="1"/>
  <c r="J114" i="16" s="1"/>
  <c r="K114" i="16" s="1"/>
  <c r="L114" i="16" s="1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C113" i="16"/>
  <c r="D113" i="16" s="1"/>
  <c r="E113" i="16" s="1"/>
  <c r="F113" i="16" s="1"/>
  <c r="G113" i="16" s="1"/>
  <c r="H113" i="16" s="1"/>
  <c r="I113" i="16" s="1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C112" i="16"/>
  <c r="D112" i="16" s="1"/>
  <c r="E112" i="16" s="1"/>
  <c r="F112" i="16" s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C111" i="16"/>
  <c r="D111" i="16" s="1"/>
  <c r="E111" i="16" s="1"/>
  <c r="F111" i="16" s="1"/>
  <c r="G111" i="16" s="1"/>
  <c r="H111" i="16" s="1"/>
  <c r="I111" i="16" s="1"/>
  <c r="J111" i="16" s="1"/>
  <c r="K111" i="16" s="1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C110" i="16"/>
  <c r="D110" i="16" s="1"/>
  <c r="E110" i="16" s="1"/>
  <c r="F110" i="16" s="1"/>
  <c r="G110" i="16" s="1"/>
  <c r="H110" i="16" s="1"/>
  <c r="I110" i="16" s="1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C109" i="16"/>
  <c r="D109" i="16" s="1"/>
  <c r="E109" i="16" s="1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C108" i="16"/>
  <c r="C107" i="16"/>
  <c r="D107" i="16" s="1"/>
  <c r="E107" i="16" s="1"/>
  <c r="F107" i="16" s="1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N106" i="16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E106" i="16"/>
  <c r="F106" i="16" s="1"/>
  <c r="G106" i="16" s="1"/>
  <c r="H106" i="16" s="1"/>
  <c r="I106" i="16" s="1"/>
  <c r="J106" i="16" s="1"/>
  <c r="K106" i="16" s="1"/>
  <c r="L106" i="16" s="1"/>
  <c r="M106" i="16" s="1"/>
  <c r="C106" i="16"/>
  <c r="D106" i="16" s="1"/>
  <c r="C105" i="16"/>
  <c r="D105" i="16" s="1"/>
  <c r="E105" i="16" s="1"/>
  <c r="F105" i="16" s="1"/>
  <c r="G105" i="16" s="1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C104" i="16"/>
  <c r="D104" i="16" s="1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G103" i="16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C103" i="16"/>
  <c r="D103" i="16" s="1"/>
  <c r="E103" i="16" s="1"/>
  <c r="F103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C102" i="16"/>
  <c r="D102" i="16" s="1"/>
  <c r="C101" i="16"/>
  <c r="D101" i="16" s="1"/>
  <c r="E101" i="16" s="1"/>
  <c r="F101" i="16" s="1"/>
  <c r="G101" i="16" s="1"/>
  <c r="H101" i="16" s="1"/>
  <c r="I101" i="16" s="1"/>
  <c r="J101" i="16" s="1"/>
  <c r="K101" i="16" s="1"/>
  <c r="L101" i="16" s="1"/>
  <c r="M101" i="16" s="1"/>
  <c r="N101" i="16" s="1"/>
  <c r="O101" i="16" s="1"/>
  <c r="P101" i="16" s="1"/>
  <c r="Q101" i="16" s="1"/>
  <c r="R101" i="16" s="1"/>
  <c r="S101" i="16" s="1"/>
  <c r="T101" i="16" s="1"/>
  <c r="U101" i="16" s="1"/>
  <c r="V101" i="16" s="1"/>
  <c r="W101" i="16" s="1"/>
  <c r="X101" i="16" s="1"/>
  <c r="Y101" i="16" s="1"/>
  <c r="Z101" i="16" s="1"/>
  <c r="AA101" i="16" s="1"/>
  <c r="AB101" i="16" s="1"/>
  <c r="AC101" i="16" s="1"/>
  <c r="AD101" i="16" s="1"/>
  <c r="AE101" i="16" s="1"/>
  <c r="AF101" i="16" s="1"/>
  <c r="C100" i="16"/>
  <c r="D100" i="16" s="1"/>
  <c r="E100" i="16" s="1"/>
  <c r="F100" i="16" s="1"/>
  <c r="G100" i="16" s="1"/>
  <c r="H100" i="16" s="1"/>
  <c r="I100" i="16" s="1"/>
  <c r="J100" i="16" s="1"/>
  <c r="K100" i="16" s="1"/>
  <c r="L100" i="16" s="1"/>
  <c r="M100" i="16" s="1"/>
  <c r="N100" i="16" s="1"/>
  <c r="O100" i="16" s="1"/>
  <c r="P100" i="16" s="1"/>
  <c r="Q100" i="16" s="1"/>
  <c r="R100" i="16" s="1"/>
  <c r="S100" i="16" s="1"/>
  <c r="T100" i="16" s="1"/>
  <c r="U100" i="16" s="1"/>
  <c r="V100" i="16" s="1"/>
  <c r="W100" i="16" s="1"/>
  <c r="X100" i="16" s="1"/>
  <c r="Y100" i="16" s="1"/>
  <c r="Z100" i="16" s="1"/>
  <c r="AA100" i="16" s="1"/>
  <c r="AB100" i="16" s="1"/>
  <c r="AC100" i="16" s="1"/>
  <c r="AD100" i="16" s="1"/>
  <c r="AE100" i="16" s="1"/>
  <c r="AF100" i="16" s="1"/>
  <c r="J99" i="16"/>
  <c r="K99" i="16" s="1"/>
  <c r="L99" i="16" s="1"/>
  <c r="M99" i="16" s="1"/>
  <c r="N99" i="16" s="1"/>
  <c r="O99" i="16" s="1"/>
  <c r="P99" i="16" s="1"/>
  <c r="Q99" i="16" s="1"/>
  <c r="R99" i="16" s="1"/>
  <c r="S99" i="16" s="1"/>
  <c r="T99" i="16" s="1"/>
  <c r="U99" i="16" s="1"/>
  <c r="V99" i="16" s="1"/>
  <c r="W99" i="16" s="1"/>
  <c r="X99" i="16" s="1"/>
  <c r="Y99" i="16" s="1"/>
  <c r="Z99" i="16" s="1"/>
  <c r="AA99" i="16" s="1"/>
  <c r="AB99" i="16" s="1"/>
  <c r="AC99" i="16" s="1"/>
  <c r="AD99" i="16" s="1"/>
  <c r="AE99" i="16" s="1"/>
  <c r="AF99" i="16" s="1"/>
  <c r="C99" i="16"/>
  <c r="D99" i="16" s="1"/>
  <c r="E99" i="16" s="1"/>
  <c r="F99" i="16" s="1"/>
  <c r="G99" i="16" s="1"/>
  <c r="H99" i="16" s="1"/>
  <c r="C98" i="16"/>
  <c r="D98" i="16" s="1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C97" i="16"/>
  <c r="D97" i="16" s="1"/>
  <c r="E97" i="16" s="1"/>
  <c r="F97" i="16" s="1"/>
  <c r="G97" i="16" s="1"/>
  <c r="H97" i="16" s="1"/>
  <c r="I97" i="16" s="1"/>
  <c r="J97" i="16" s="1"/>
  <c r="K97" i="16" s="1"/>
  <c r="L97" i="16" s="1"/>
  <c r="M97" i="16" s="1"/>
  <c r="N97" i="16" s="1"/>
  <c r="O97" i="16" s="1"/>
  <c r="P97" i="16" s="1"/>
  <c r="Q97" i="16" s="1"/>
  <c r="R97" i="16" s="1"/>
  <c r="S97" i="16" s="1"/>
  <c r="T97" i="16" s="1"/>
  <c r="U97" i="16" s="1"/>
  <c r="V97" i="16" s="1"/>
  <c r="W97" i="16" s="1"/>
  <c r="X97" i="16" s="1"/>
  <c r="Y97" i="16" s="1"/>
  <c r="Z97" i="16" s="1"/>
  <c r="AA97" i="16" s="1"/>
  <c r="AB97" i="16" s="1"/>
  <c r="AC97" i="16" s="1"/>
  <c r="AD97" i="16" s="1"/>
  <c r="AE97" i="16" s="1"/>
  <c r="AF97" i="16" s="1"/>
  <c r="D96" i="16"/>
  <c r="E96" i="16" s="1"/>
  <c r="F96" i="16" s="1"/>
  <c r="G96" i="16" s="1"/>
  <c r="H96" i="16" s="1"/>
  <c r="I96" i="16" s="1"/>
  <c r="J96" i="16" s="1"/>
  <c r="K96" i="16" s="1"/>
  <c r="L96" i="16" s="1"/>
  <c r="M96" i="16" s="1"/>
  <c r="N96" i="16" s="1"/>
  <c r="O96" i="16" s="1"/>
  <c r="P96" i="16" s="1"/>
  <c r="Q96" i="16" s="1"/>
  <c r="R96" i="16" s="1"/>
  <c r="S96" i="16" s="1"/>
  <c r="T96" i="16" s="1"/>
  <c r="U96" i="16" s="1"/>
  <c r="V96" i="16" s="1"/>
  <c r="W96" i="16" s="1"/>
  <c r="X96" i="16" s="1"/>
  <c r="Y96" i="16" s="1"/>
  <c r="Z96" i="16" s="1"/>
  <c r="AA96" i="16" s="1"/>
  <c r="AB96" i="16" s="1"/>
  <c r="AC96" i="16" s="1"/>
  <c r="AD96" i="16" s="1"/>
  <c r="AE96" i="16" s="1"/>
  <c r="AF96" i="16" s="1"/>
  <c r="C96" i="16"/>
  <c r="C95" i="16"/>
  <c r="D95" i="16" s="1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D94" i="16"/>
  <c r="E94" i="16" s="1"/>
  <c r="C94" i="16"/>
  <c r="F93" i="16"/>
  <c r="G93" i="16" s="1"/>
  <c r="H93" i="16" s="1"/>
  <c r="I93" i="16" s="1"/>
  <c r="J93" i="16" s="1"/>
  <c r="K93" i="16" s="1"/>
  <c r="L93" i="16" s="1"/>
  <c r="M93" i="16" s="1"/>
  <c r="N93" i="16" s="1"/>
  <c r="O93" i="16" s="1"/>
  <c r="P93" i="16" s="1"/>
  <c r="Q93" i="16" s="1"/>
  <c r="R93" i="16" s="1"/>
  <c r="S93" i="16" s="1"/>
  <c r="T93" i="16" s="1"/>
  <c r="U93" i="16" s="1"/>
  <c r="V93" i="16" s="1"/>
  <c r="W93" i="16" s="1"/>
  <c r="X93" i="16" s="1"/>
  <c r="Y93" i="16" s="1"/>
  <c r="Z93" i="16" s="1"/>
  <c r="AA93" i="16" s="1"/>
  <c r="AB93" i="16" s="1"/>
  <c r="AC93" i="16" s="1"/>
  <c r="AD93" i="16" s="1"/>
  <c r="AE93" i="16" s="1"/>
  <c r="AF93" i="16" s="1"/>
  <c r="C93" i="16"/>
  <c r="D93" i="16" s="1"/>
  <c r="E93" i="16" s="1"/>
  <c r="D92" i="16"/>
  <c r="E92" i="16" s="1"/>
  <c r="F92" i="16" s="1"/>
  <c r="G92" i="16" s="1"/>
  <c r="H92" i="16" s="1"/>
  <c r="I92" i="16" s="1"/>
  <c r="J92" i="16" s="1"/>
  <c r="K92" i="16" s="1"/>
  <c r="L92" i="16" s="1"/>
  <c r="M92" i="16" s="1"/>
  <c r="N92" i="16" s="1"/>
  <c r="O92" i="16" s="1"/>
  <c r="P92" i="16" s="1"/>
  <c r="Q92" i="16" s="1"/>
  <c r="R92" i="16" s="1"/>
  <c r="S92" i="16" s="1"/>
  <c r="T92" i="16" s="1"/>
  <c r="U92" i="16" s="1"/>
  <c r="V92" i="16" s="1"/>
  <c r="W92" i="16" s="1"/>
  <c r="X92" i="16" s="1"/>
  <c r="Y92" i="16" s="1"/>
  <c r="Z92" i="16" s="1"/>
  <c r="AA92" i="16" s="1"/>
  <c r="AB92" i="16" s="1"/>
  <c r="AC92" i="16" s="1"/>
  <c r="AD92" i="16" s="1"/>
  <c r="AE92" i="16" s="1"/>
  <c r="AF92" i="16" s="1"/>
  <c r="C92" i="16"/>
  <c r="F91" i="16"/>
  <c r="G91" i="16" s="1"/>
  <c r="H91" i="16" s="1"/>
  <c r="I91" i="16" s="1"/>
  <c r="J91" i="16" s="1"/>
  <c r="K91" i="16" s="1"/>
  <c r="L91" i="16" s="1"/>
  <c r="M91" i="16" s="1"/>
  <c r="N91" i="16" s="1"/>
  <c r="O91" i="16" s="1"/>
  <c r="P91" i="16" s="1"/>
  <c r="Q91" i="16" s="1"/>
  <c r="R91" i="16" s="1"/>
  <c r="S91" i="16" s="1"/>
  <c r="T91" i="16" s="1"/>
  <c r="U91" i="16" s="1"/>
  <c r="V91" i="16" s="1"/>
  <c r="W91" i="16" s="1"/>
  <c r="X91" i="16" s="1"/>
  <c r="Y91" i="16" s="1"/>
  <c r="Z91" i="16" s="1"/>
  <c r="AA91" i="16" s="1"/>
  <c r="AB91" i="16" s="1"/>
  <c r="AC91" i="16" s="1"/>
  <c r="AD91" i="16" s="1"/>
  <c r="AE91" i="16" s="1"/>
  <c r="AF91" i="16" s="1"/>
  <c r="C91" i="16"/>
  <c r="D91" i="16" s="1"/>
  <c r="E91" i="16" s="1"/>
  <c r="C90" i="16"/>
  <c r="D90" i="16" s="1"/>
  <c r="E90" i="16" s="1"/>
  <c r="F90" i="16" s="1"/>
  <c r="G90" i="16" s="1"/>
  <c r="H90" i="16" s="1"/>
  <c r="I90" i="16" s="1"/>
  <c r="J90" i="16" s="1"/>
  <c r="K90" i="16" s="1"/>
  <c r="L90" i="16" s="1"/>
  <c r="M90" i="16" s="1"/>
  <c r="N90" i="16" s="1"/>
  <c r="O90" i="16" s="1"/>
  <c r="P90" i="16" s="1"/>
  <c r="Q90" i="16" s="1"/>
  <c r="R90" i="16" s="1"/>
  <c r="S90" i="16" s="1"/>
  <c r="T90" i="16" s="1"/>
  <c r="U90" i="16" s="1"/>
  <c r="V90" i="16" s="1"/>
  <c r="W90" i="16" s="1"/>
  <c r="X90" i="16" s="1"/>
  <c r="Y90" i="16" s="1"/>
  <c r="Z90" i="16" s="1"/>
  <c r="AA90" i="16" s="1"/>
  <c r="AB90" i="16" s="1"/>
  <c r="AC90" i="16" s="1"/>
  <c r="AD90" i="16" s="1"/>
  <c r="AE90" i="16" s="1"/>
  <c r="AF90" i="16" s="1"/>
  <c r="D89" i="16"/>
  <c r="C89" i="16"/>
  <c r="AH87" i="16"/>
  <c r="AI87" i="16" s="1"/>
  <c r="AH86" i="16"/>
  <c r="AI86" i="16" s="1"/>
  <c r="AH85" i="16"/>
  <c r="AI85" i="16" s="1"/>
  <c r="AH84" i="16"/>
  <c r="AI84" i="16" s="1"/>
  <c r="AH83" i="16"/>
  <c r="AI83" i="16" s="1"/>
  <c r="B82" i="16"/>
  <c r="AF80" i="16"/>
  <c r="AE80" i="16"/>
  <c r="AD80" i="16"/>
  <c r="AC80" i="16"/>
  <c r="AB80" i="16"/>
  <c r="AA80" i="16"/>
  <c r="Z80" i="16"/>
  <c r="V80" i="16"/>
  <c r="R80" i="16"/>
  <c r="P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I79" i="16"/>
  <c r="AH79" i="16"/>
  <c r="AI78" i="16"/>
  <c r="AH78" i="16"/>
  <c r="AI77" i="16"/>
  <c r="AH77" i="16"/>
  <c r="AI76" i="16"/>
  <c r="AH76" i="16"/>
  <c r="AI75" i="16"/>
  <c r="AH75" i="16"/>
  <c r="AI74" i="16"/>
  <c r="AH74" i="16"/>
  <c r="AI73" i="16"/>
  <c r="AH73" i="16"/>
  <c r="AI72" i="16"/>
  <c r="AH72" i="16"/>
  <c r="AG71" i="16"/>
  <c r="AI70" i="16"/>
  <c r="AH70" i="16"/>
  <c r="AF69" i="16"/>
  <c r="AE69" i="16"/>
  <c r="AD69" i="16"/>
  <c r="AC69" i="16"/>
  <c r="AB69" i="16"/>
  <c r="AA69" i="16"/>
  <c r="Z69" i="16"/>
  <c r="X69" i="16"/>
  <c r="W69" i="16"/>
  <c r="V69" i="16"/>
  <c r="U69" i="16"/>
  <c r="T69" i="16"/>
  <c r="S69" i="16"/>
  <c r="R69" i="16"/>
  <c r="P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AF67" i="16"/>
  <c r="AE67" i="16"/>
  <c r="AD67" i="16"/>
  <c r="AC67" i="16"/>
  <c r="AB67" i="16"/>
  <c r="AA67" i="16"/>
  <c r="Z67" i="16"/>
  <c r="Z71" i="16" s="1"/>
  <c r="Y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F66" i="16"/>
  <c r="AE66" i="16"/>
  <c r="AD66" i="16"/>
  <c r="AC66" i="16"/>
  <c r="AB66" i="16"/>
  <c r="AA66" i="16"/>
  <c r="AA71" i="16" s="1"/>
  <c r="Y66" i="16"/>
  <c r="X66" i="16"/>
  <c r="W66" i="16"/>
  <c r="V66" i="16"/>
  <c r="U66" i="16"/>
  <c r="T66" i="16"/>
  <c r="S66" i="16"/>
  <c r="R66" i="16"/>
  <c r="R71" i="16" s="1"/>
  <c r="Q66" i="16"/>
  <c r="P66" i="16"/>
  <c r="O66" i="16"/>
  <c r="N66" i="16"/>
  <c r="M66" i="16"/>
  <c r="L66" i="16"/>
  <c r="K66" i="16"/>
  <c r="J66" i="16"/>
  <c r="J71" i="16" s="1"/>
  <c r="I66" i="16"/>
  <c r="H66" i="16"/>
  <c r="G66" i="16"/>
  <c r="G71" i="16" s="1"/>
  <c r="F66" i="16"/>
  <c r="E66" i="16"/>
  <c r="D66" i="16"/>
  <c r="C66" i="16"/>
  <c r="B66" i="16"/>
  <c r="AI64" i="16"/>
  <c r="AH64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AI62" i="16"/>
  <c r="AH62" i="16"/>
  <c r="AI61" i="16"/>
  <c r="AH61" i="16"/>
  <c r="AI60" i="16"/>
  <c r="AH60" i="16"/>
  <c r="AG59" i="16"/>
  <c r="AF59" i="16"/>
  <c r="AF5" i="16" s="1"/>
  <c r="AE59" i="16"/>
  <c r="AE5" i="16" s="1"/>
  <c r="AD59" i="16"/>
  <c r="AD5" i="16" s="1"/>
  <c r="AC59" i="16"/>
  <c r="AC5" i="16" s="1"/>
  <c r="AB59" i="16"/>
  <c r="AB5" i="16" s="1"/>
  <c r="AA59" i="16"/>
  <c r="AA5" i="16" s="1"/>
  <c r="Z59" i="16"/>
  <c r="Z5" i="16" s="1"/>
  <c r="V59" i="16"/>
  <c r="V5" i="16" s="1"/>
  <c r="U59" i="16"/>
  <c r="U5" i="16" s="1"/>
  <c r="R59" i="16"/>
  <c r="R5" i="16" s="1"/>
  <c r="P59" i="16"/>
  <c r="P5" i="16" s="1"/>
  <c r="O59" i="16"/>
  <c r="O5" i="16" s="1"/>
  <c r="N59" i="16"/>
  <c r="N5" i="16" s="1"/>
  <c r="M59" i="16"/>
  <c r="L59" i="16"/>
  <c r="L5" i="16" s="1"/>
  <c r="K59" i="16"/>
  <c r="K5" i="16" s="1"/>
  <c r="J59" i="16"/>
  <c r="J5" i="16" s="1"/>
  <c r="I59" i="16"/>
  <c r="H59" i="16"/>
  <c r="H5" i="16" s="1"/>
  <c r="G59" i="16"/>
  <c r="G5" i="16" s="1"/>
  <c r="F59" i="16"/>
  <c r="F5" i="16" s="1"/>
  <c r="E59" i="16"/>
  <c r="E5" i="16" s="1"/>
  <c r="D59" i="16"/>
  <c r="D5" i="16" s="1"/>
  <c r="C59" i="16"/>
  <c r="C5" i="16" s="1"/>
  <c r="B59" i="16"/>
  <c r="B5" i="16" s="1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Y69" i="16"/>
  <c r="Q80" i="16"/>
  <c r="N80" i="16"/>
  <c r="X80" i="16"/>
  <c r="W80" i="16"/>
  <c r="V67" i="16"/>
  <c r="U80" i="16"/>
  <c r="S59" i="16"/>
  <c r="S5" i="16" s="1"/>
  <c r="AI48" i="16"/>
  <c r="AH48" i="16"/>
  <c r="AG47" i="16"/>
  <c r="AG4" i="16" s="1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I46" i="16"/>
  <c r="AH46" i="16"/>
  <c r="AI45" i="16"/>
  <c r="AH45" i="16"/>
  <c r="AI44" i="16"/>
  <c r="AH44" i="16"/>
  <c r="AG43" i="16"/>
  <c r="AG42" i="16"/>
  <c r="B42" i="16"/>
  <c r="B43" i="16" s="1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M5" i="16"/>
  <c r="I5" i="16"/>
  <c r="K4" i="16"/>
  <c r="C4" i="16"/>
  <c r="S190" i="16" s="1"/>
  <c r="AG3" i="16"/>
  <c r="AG6" i="16" s="1"/>
  <c r="AG2" i="16"/>
  <c r="Y50" i="15"/>
  <c r="Y49" i="15"/>
  <c r="X49" i="15"/>
  <c r="V84" i="15"/>
  <c r="W49" i="15"/>
  <c r="V49" i="15"/>
  <c r="U49" i="15"/>
  <c r="T49" i="15"/>
  <c r="S49" i="15"/>
  <c r="Q50" i="15"/>
  <c r="O50" i="15"/>
  <c r="O49" i="15"/>
  <c r="N50" i="15"/>
  <c r="AH87" i="15"/>
  <c r="AI87" i="15" s="1"/>
  <c r="C84" i="15"/>
  <c r="B84" i="15"/>
  <c r="B82" i="15"/>
  <c r="B80" i="15"/>
  <c r="B69" i="15"/>
  <c r="B68" i="15"/>
  <c r="B67" i="15"/>
  <c r="B66" i="15"/>
  <c r="B63" i="15"/>
  <c r="B59" i="15"/>
  <c r="B47" i="15"/>
  <c r="B43" i="15"/>
  <c r="B42" i="15"/>
  <c r="B30" i="15"/>
  <c r="AF218" i="15"/>
  <c r="AE218" i="15"/>
  <c r="AD218" i="15"/>
  <c r="AC218" i="15"/>
  <c r="AB218" i="15"/>
  <c r="AA218" i="15"/>
  <c r="Z218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AF217" i="15"/>
  <c r="AE217" i="15"/>
  <c r="AD217" i="15"/>
  <c r="AC217" i="15"/>
  <c r="AB217" i="15"/>
  <c r="AA217" i="15"/>
  <c r="Z217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B214" i="15"/>
  <c r="S189" i="15"/>
  <c r="AG179" i="15"/>
  <c r="B179" i="15"/>
  <c r="C178" i="15"/>
  <c r="D178" i="15" s="1"/>
  <c r="E178" i="15" s="1"/>
  <c r="F178" i="15" s="1"/>
  <c r="F214" i="15" s="1"/>
  <c r="E177" i="15"/>
  <c r="F177" i="15" s="1"/>
  <c r="G177" i="15" s="1"/>
  <c r="H177" i="15" s="1"/>
  <c r="I177" i="15" s="1"/>
  <c r="J177" i="15" s="1"/>
  <c r="K177" i="15" s="1"/>
  <c r="L177" i="15" s="1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D177" i="15"/>
  <c r="C177" i="15"/>
  <c r="D176" i="15"/>
  <c r="E176" i="15" s="1"/>
  <c r="F176" i="15" s="1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C176" i="15"/>
  <c r="I175" i="15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E175" i="15"/>
  <c r="F175" i="15" s="1"/>
  <c r="G175" i="15" s="1"/>
  <c r="H175" i="15" s="1"/>
  <c r="C175" i="15"/>
  <c r="D175" i="15" s="1"/>
  <c r="D174" i="15"/>
  <c r="C174" i="15"/>
  <c r="E173" i="15"/>
  <c r="D173" i="15"/>
  <c r="C173" i="15"/>
  <c r="C179" i="15" s="1"/>
  <c r="AG171" i="15"/>
  <c r="B171" i="15"/>
  <c r="H170" i="15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C170" i="15"/>
  <c r="D170" i="15" s="1"/>
  <c r="E170" i="15" s="1"/>
  <c r="F170" i="15" s="1"/>
  <c r="G170" i="15" s="1"/>
  <c r="Q169" i="15"/>
  <c r="R169" i="15" s="1"/>
  <c r="S169" i="15" s="1"/>
  <c r="T169" i="15" s="1"/>
  <c r="U169" i="15" s="1"/>
  <c r="V169" i="15" s="1"/>
  <c r="W169" i="15" s="1"/>
  <c r="X169" i="15" s="1"/>
  <c r="Y169" i="15" s="1"/>
  <c r="Z169" i="15" s="1"/>
  <c r="AA169" i="15" s="1"/>
  <c r="AB169" i="15" s="1"/>
  <c r="AC169" i="15" s="1"/>
  <c r="AD169" i="15" s="1"/>
  <c r="AE169" i="15" s="1"/>
  <c r="AF169" i="15" s="1"/>
  <c r="C169" i="15"/>
  <c r="D169" i="15" s="1"/>
  <c r="E169" i="15" s="1"/>
  <c r="F169" i="15" s="1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D168" i="15"/>
  <c r="E168" i="15" s="1"/>
  <c r="F168" i="15" s="1"/>
  <c r="G168" i="15" s="1"/>
  <c r="H168" i="15" s="1"/>
  <c r="I168" i="15" s="1"/>
  <c r="J168" i="15" s="1"/>
  <c r="K168" i="15" s="1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C168" i="15"/>
  <c r="D167" i="15"/>
  <c r="E167" i="15" s="1"/>
  <c r="F167" i="15" s="1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C167" i="15"/>
  <c r="M166" i="15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D166" i="15"/>
  <c r="E166" i="15" s="1"/>
  <c r="F166" i="15" s="1"/>
  <c r="G166" i="15" s="1"/>
  <c r="H166" i="15" s="1"/>
  <c r="I166" i="15" s="1"/>
  <c r="J166" i="15" s="1"/>
  <c r="K166" i="15" s="1"/>
  <c r="L166" i="15" s="1"/>
  <c r="C166" i="15"/>
  <c r="E165" i="15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C165" i="15"/>
  <c r="D165" i="15" s="1"/>
  <c r="E164" i="15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C164" i="15"/>
  <c r="D164" i="15" s="1"/>
  <c r="E163" i="15"/>
  <c r="F163" i="15" s="1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C163" i="15"/>
  <c r="D163" i="15" s="1"/>
  <c r="J162" i="15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E162" i="15"/>
  <c r="F162" i="15" s="1"/>
  <c r="G162" i="15" s="1"/>
  <c r="H162" i="15" s="1"/>
  <c r="I162" i="15" s="1"/>
  <c r="C162" i="15"/>
  <c r="D162" i="15" s="1"/>
  <c r="C161" i="15"/>
  <c r="D161" i="15" s="1"/>
  <c r="E161" i="15" s="1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O160" i="15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D160" i="15"/>
  <c r="E160" i="15" s="1"/>
  <c r="F160" i="15" s="1"/>
  <c r="G160" i="15" s="1"/>
  <c r="H160" i="15" s="1"/>
  <c r="I160" i="15" s="1"/>
  <c r="J160" i="15" s="1"/>
  <c r="K160" i="15" s="1"/>
  <c r="L160" i="15" s="1"/>
  <c r="M160" i="15" s="1"/>
  <c r="N160" i="15" s="1"/>
  <c r="C160" i="15"/>
  <c r="E159" i="15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D159" i="15"/>
  <c r="C159" i="15"/>
  <c r="C158" i="15"/>
  <c r="D158" i="15" s="1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G157" i="15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E157" i="15"/>
  <c r="F157" i="15" s="1"/>
  <c r="C157" i="15"/>
  <c r="D157" i="15" s="1"/>
  <c r="E156" i="15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C156" i="15"/>
  <c r="D156" i="15" s="1"/>
  <c r="C155" i="15"/>
  <c r="D155" i="15" s="1"/>
  <c r="E155" i="15" s="1"/>
  <c r="F155" i="15" s="1"/>
  <c r="G155" i="15" s="1"/>
  <c r="H155" i="15" s="1"/>
  <c r="I155" i="15" s="1"/>
  <c r="J155" i="15" s="1"/>
  <c r="K155" i="15" s="1"/>
  <c r="L155" i="15" s="1"/>
  <c r="M155" i="15" s="1"/>
  <c r="N155" i="15" s="1"/>
  <c r="O155" i="15" s="1"/>
  <c r="P155" i="15" s="1"/>
  <c r="Q155" i="15" s="1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E154" i="15"/>
  <c r="F154" i="15" s="1"/>
  <c r="G154" i="15" s="1"/>
  <c r="H154" i="15" s="1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C154" i="15"/>
  <c r="D154" i="15" s="1"/>
  <c r="C153" i="15"/>
  <c r="D153" i="15" s="1"/>
  <c r="E153" i="15" s="1"/>
  <c r="F153" i="15" s="1"/>
  <c r="G153" i="15" s="1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D152" i="15"/>
  <c r="E152" i="15" s="1"/>
  <c r="F152" i="15" s="1"/>
  <c r="G152" i="15" s="1"/>
  <c r="H152" i="15" s="1"/>
  <c r="I152" i="15" s="1"/>
  <c r="J152" i="15" s="1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C152" i="15"/>
  <c r="E151" i="15"/>
  <c r="F151" i="15" s="1"/>
  <c r="G151" i="15" s="1"/>
  <c r="H151" i="15" s="1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D151" i="15"/>
  <c r="C151" i="15"/>
  <c r="R150" i="15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F150" i="15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C150" i="15"/>
  <c r="D150" i="15" s="1"/>
  <c r="E150" i="15" s="1"/>
  <c r="C149" i="15"/>
  <c r="D149" i="15" s="1"/>
  <c r="E149" i="15" s="1"/>
  <c r="F149" i="15" s="1"/>
  <c r="G149" i="15" s="1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F148" i="15"/>
  <c r="G148" i="15" s="1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D148" i="15"/>
  <c r="E148" i="15" s="1"/>
  <c r="C148" i="15"/>
  <c r="G147" i="15"/>
  <c r="H147" i="15" s="1"/>
  <c r="I147" i="15" s="1"/>
  <c r="J147" i="15" s="1"/>
  <c r="K147" i="15" s="1"/>
  <c r="L147" i="15" s="1"/>
  <c r="M147" i="15" s="1"/>
  <c r="N147" i="15" s="1"/>
  <c r="O147" i="15" s="1"/>
  <c r="P147" i="15" s="1"/>
  <c r="Q147" i="15" s="1"/>
  <c r="R147" i="15" s="1"/>
  <c r="S147" i="15" s="1"/>
  <c r="T147" i="15" s="1"/>
  <c r="U147" i="15" s="1"/>
  <c r="V147" i="15" s="1"/>
  <c r="W147" i="15" s="1"/>
  <c r="X147" i="15" s="1"/>
  <c r="Y147" i="15" s="1"/>
  <c r="Z147" i="15" s="1"/>
  <c r="AA147" i="15" s="1"/>
  <c r="AB147" i="15" s="1"/>
  <c r="AC147" i="15" s="1"/>
  <c r="AD147" i="15" s="1"/>
  <c r="AE147" i="15" s="1"/>
  <c r="AF147" i="15" s="1"/>
  <c r="D147" i="15"/>
  <c r="E147" i="15" s="1"/>
  <c r="F147" i="15" s="1"/>
  <c r="C147" i="15"/>
  <c r="N146" i="15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F146" i="15"/>
  <c r="G146" i="15" s="1"/>
  <c r="H146" i="15" s="1"/>
  <c r="I146" i="15" s="1"/>
  <c r="J146" i="15" s="1"/>
  <c r="K146" i="15" s="1"/>
  <c r="L146" i="15" s="1"/>
  <c r="M146" i="15" s="1"/>
  <c r="C146" i="15"/>
  <c r="D146" i="15" s="1"/>
  <c r="E146" i="15" s="1"/>
  <c r="D145" i="15"/>
  <c r="E145" i="15" s="1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C145" i="15"/>
  <c r="D144" i="15"/>
  <c r="E144" i="15" s="1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C144" i="15"/>
  <c r="E143" i="15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D143" i="15"/>
  <c r="C143" i="15"/>
  <c r="H142" i="15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E142" i="15"/>
  <c r="F142" i="15" s="1"/>
  <c r="G142" i="15" s="1"/>
  <c r="C142" i="15"/>
  <c r="D142" i="15" s="1"/>
  <c r="L141" i="15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F141" i="15"/>
  <c r="G141" i="15" s="1"/>
  <c r="H141" i="15" s="1"/>
  <c r="I141" i="15" s="1"/>
  <c r="J141" i="15" s="1"/>
  <c r="K141" i="15" s="1"/>
  <c r="D141" i="15"/>
  <c r="E141" i="15" s="1"/>
  <c r="C141" i="15"/>
  <c r="F140" i="15"/>
  <c r="G140" i="15" s="1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D140" i="15"/>
  <c r="E140" i="15" s="1"/>
  <c r="C140" i="15"/>
  <c r="C139" i="15"/>
  <c r="D139" i="15" s="1"/>
  <c r="E139" i="15" s="1"/>
  <c r="F139" i="15" s="1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S139" i="15" s="1"/>
  <c r="T139" i="15" s="1"/>
  <c r="U139" i="15" s="1"/>
  <c r="V139" i="15" s="1"/>
  <c r="W139" i="15" s="1"/>
  <c r="X139" i="15" s="1"/>
  <c r="Y139" i="15" s="1"/>
  <c r="Z139" i="15" s="1"/>
  <c r="AA139" i="15" s="1"/>
  <c r="AB139" i="15" s="1"/>
  <c r="AC139" i="15" s="1"/>
  <c r="AD139" i="15" s="1"/>
  <c r="AE139" i="15" s="1"/>
  <c r="AF139" i="15" s="1"/>
  <c r="L138" i="15"/>
  <c r="M138" i="15" s="1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C138" i="15"/>
  <c r="D138" i="15" s="1"/>
  <c r="E138" i="15" s="1"/>
  <c r="F138" i="15" s="1"/>
  <c r="G138" i="15" s="1"/>
  <c r="H138" i="15" s="1"/>
  <c r="I138" i="15" s="1"/>
  <c r="J138" i="15" s="1"/>
  <c r="K138" i="15" s="1"/>
  <c r="F137" i="15"/>
  <c r="G137" i="15" s="1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D137" i="15"/>
  <c r="E137" i="15" s="1"/>
  <c r="C137" i="15"/>
  <c r="D136" i="15"/>
  <c r="E136" i="15" s="1"/>
  <c r="F136" i="15" s="1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C136" i="15"/>
  <c r="C135" i="15"/>
  <c r="D135" i="15" s="1"/>
  <c r="E135" i="15" s="1"/>
  <c r="F135" i="15" s="1"/>
  <c r="G135" i="15" s="1"/>
  <c r="H135" i="15" s="1"/>
  <c r="I135" i="15" s="1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D134" i="15"/>
  <c r="E134" i="15" s="1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C134" i="15"/>
  <c r="D133" i="15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C133" i="15"/>
  <c r="E132" i="15"/>
  <c r="F132" i="15" s="1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D132" i="15"/>
  <c r="C132" i="15"/>
  <c r="E131" i="15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C131" i="15"/>
  <c r="D131" i="15" s="1"/>
  <c r="C130" i="15"/>
  <c r="D130" i="15" s="1"/>
  <c r="E130" i="15" s="1"/>
  <c r="F130" i="15" s="1"/>
  <c r="G130" i="15" s="1"/>
  <c r="H130" i="15" s="1"/>
  <c r="I130" i="15" s="1"/>
  <c r="J130" i="15" s="1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G129" i="15"/>
  <c r="H129" i="15" s="1"/>
  <c r="I129" i="15" s="1"/>
  <c r="J129" i="15" s="1"/>
  <c r="K129" i="15" s="1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AF129" i="15" s="1"/>
  <c r="D129" i="15"/>
  <c r="E129" i="15" s="1"/>
  <c r="F129" i="15" s="1"/>
  <c r="C129" i="15"/>
  <c r="G128" i="15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E128" i="15"/>
  <c r="F128" i="15" s="1"/>
  <c r="D128" i="15"/>
  <c r="C128" i="15"/>
  <c r="C127" i="15"/>
  <c r="D127" i="15" s="1"/>
  <c r="E127" i="15" s="1"/>
  <c r="F127" i="15" s="1"/>
  <c r="G127" i="15" s="1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K126" i="15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D126" i="15"/>
  <c r="E126" i="15" s="1"/>
  <c r="F126" i="15" s="1"/>
  <c r="G126" i="15" s="1"/>
  <c r="H126" i="15" s="1"/>
  <c r="I126" i="15" s="1"/>
  <c r="J126" i="15" s="1"/>
  <c r="C126" i="15"/>
  <c r="D125" i="15"/>
  <c r="E125" i="15" s="1"/>
  <c r="F125" i="15" s="1"/>
  <c r="G125" i="15" s="1"/>
  <c r="H125" i="15" s="1"/>
  <c r="I125" i="15" s="1"/>
  <c r="J125" i="15" s="1"/>
  <c r="K125" i="15" s="1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C125" i="15"/>
  <c r="E124" i="15"/>
  <c r="F124" i="15" s="1"/>
  <c r="G124" i="15" s="1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C124" i="15"/>
  <c r="D124" i="15" s="1"/>
  <c r="G123" i="15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C123" i="15"/>
  <c r="D123" i="15" s="1"/>
  <c r="E123" i="15" s="1"/>
  <c r="F123" i="15" s="1"/>
  <c r="U122" i="15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E122" i="15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D122" i="15"/>
  <c r="C122" i="15"/>
  <c r="C121" i="15"/>
  <c r="D121" i="15" s="1"/>
  <c r="E121" i="15" s="1"/>
  <c r="F121" i="15" s="1"/>
  <c r="G121" i="15" s="1"/>
  <c r="H121" i="15" s="1"/>
  <c r="I121" i="15" s="1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Q120" i="15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E120" i="15"/>
  <c r="F120" i="15" s="1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C120" i="15"/>
  <c r="D120" i="15" s="1"/>
  <c r="C119" i="15"/>
  <c r="D119" i="15" s="1"/>
  <c r="E119" i="15" s="1"/>
  <c r="F119" i="15" s="1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C118" i="15"/>
  <c r="D118" i="15" s="1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C117" i="15"/>
  <c r="D117" i="15" s="1"/>
  <c r="E117" i="15" s="1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C116" i="15"/>
  <c r="D116" i="15" s="1"/>
  <c r="E116" i="15" s="1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S115" i="15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I115" i="15"/>
  <c r="J115" i="15" s="1"/>
  <c r="K115" i="15" s="1"/>
  <c r="L115" i="15" s="1"/>
  <c r="M115" i="15" s="1"/>
  <c r="N115" i="15" s="1"/>
  <c r="O115" i="15" s="1"/>
  <c r="P115" i="15" s="1"/>
  <c r="Q115" i="15" s="1"/>
  <c r="R115" i="15" s="1"/>
  <c r="G115" i="15"/>
  <c r="H115" i="15" s="1"/>
  <c r="C115" i="15"/>
  <c r="D115" i="15" s="1"/>
  <c r="E115" i="15" s="1"/>
  <c r="F115" i="15" s="1"/>
  <c r="G114" i="15"/>
  <c r="H114" i="15" s="1"/>
  <c r="I114" i="15" s="1"/>
  <c r="J114" i="15" s="1"/>
  <c r="K114" i="15" s="1"/>
  <c r="L114" i="15" s="1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E114" i="15"/>
  <c r="F114" i="15" s="1"/>
  <c r="D114" i="15"/>
  <c r="C114" i="15"/>
  <c r="C113" i="15"/>
  <c r="D113" i="15" s="1"/>
  <c r="E113" i="15" s="1"/>
  <c r="F113" i="15" s="1"/>
  <c r="G113" i="15" s="1"/>
  <c r="H113" i="15" s="1"/>
  <c r="I113" i="15" s="1"/>
  <c r="J113" i="15" s="1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K112" i="15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C112" i="15"/>
  <c r="D112" i="15" s="1"/>
  <c r="E112" i="15" s="1"/>
  <c r="F112" i="15" s="1"/>
  <c r="G112" i="15" s="1"/>
  <c r="H112" i="15" s="1"/>
  <c r="I112" i="15" s="1"/>
  <c r="J112" i="15" s="1"/>
  <c r="C111" i="15"/>
  <c r="D111" i="15" s="1"/>
  <c r="E111" i="15" s="1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G110" i="15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E110" i="15"/>
  <c r="F110" i="15" s="1"/>
  <c r="C110" i="15"/>
  <c r="D110" i="15" s="1"/>
  <c r="C109" i="15"/>
  <c r="D109" i="15" s="1"/>
  <c r="E109" i="15" s="1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K108" i="15"/>
  <c r="L108" i="15" s="1"/>
  <c r="M108" i="15" s="1"/>
  <c r="N108" i="15" s="1"/>
  <c r="O108" i="15" s="1"/>
  <c r="P108" i="15" s="1"/>
  <c r="Q108" i="15" s="1"/>
  <c r="R108" i="15" s="1"/>
  <c r="S108" i="15" s="1"/>
  <c r="T108" i="15" s="1"/>
  <c r="U108" i="15" s="1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E108" i="15"/>
  <c r="F108" i="15" s="1"/>
  <c r="G108" i="15" s="1"/>
  <c r="H108" i="15" s="1"/>
  <c r="I108" i="15" s="1"/>
  <c r="J108" i="15" s="1"/>
  <c r="D108" i="15"/>
  <c r="C108" i="15"/>
  <c r="D107" i="15"/>
  <c r="E107" i="15" s="1"/>
  <c r="F107" i="15" s="1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C107" i="15"/>
  <c r="F106" i="15"/>
  <c r="G106" i="15" s="1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C106" i="15"/>
  <c r="D106" i="15" s="1"/>
  <c r="E106" i="15" s="1"/>
  <c r="H105" i="15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D105" i="15"/>
  <c r="E105" i="15" s="1"/>
  <c r="F105" i="15" s="1"/>
  <c r="G105" i="15" s="1"/>
  <c r="C105" i="15"/>
  <c r="C104" i="15"/>
  <c r="D104" i="15" s="1"/>
  <c r="E104" i="15" s="1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D103" i="15"/>
  <c r="E103" i="15" s="1"/>
  <c r="F103" i="15" s="1"/>
  <c r="G103" i="15" s="1"/>
  <c r="H103" i="15" s="1"/>
  <c r="I103" i="15" s="1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C103" i="15"/>
  <c r="F102" i="15"/>
  <c r="G102" i="15" s="1"/>
  <c r="H102" i="15" s="1"/>
  <c r="I102" i="15" s="1"/>
  <c r="J102" i="15" s="1"/>
  <c r="K102" i="15" s="1"/>
  <c r="L102" i="15" s="1"/>
  <c r="M102" i="15" s="1"/>
  <c r="N102" i="15" s="1"/>
  <c r="O102" i="15" s="1"/>
  <c r="P102" i="15" s="1"/>
  <c r="Q102" i="15" s="1"/>
  <c r="R102" i="15" s="1"/>
  <c r="S102" i="15" s="1"/>
  <c r="T102" i="15" s="1"/>
  <c r="U102" i="15" s="1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E102" i="15"/>
  <c r="D102" i="15"/>
  <c r="C102" i="15"/>
  <c r="E101" i="15"/>
  <c r="F101" i="15" s="1"/>
  <c r="G101" i="15" s="1"/>
  <c r="H101" i="15" s="1"/>
  <c r="I101" i="15" s="1"/>
  <c r="J101" i="15" s="1"/>
  <c r="K101" i="15" s="1"/>
  <c r="L101" i="15" s="1"/>
  <c r="M101" i="15" s="1"/>
  <c r="N101" i="15" s="1"/>
  <c r="O101" i="15" s="1"/>
  <c r="P101" i="15" s="1"/>
  <c r="Q101" i="15" s="1"/>
  <c r="R101" i="15" s="1"/>
  <c r="S101" i="15" s="1"/>
  <c r="T101" i="15" s="1"/>
  <c r="U101" i="15" s="1"/>
  <c r="V101" i="15" s="1"/>
  <c r="W101" i="15" s="1"/>
  <c r="X101" i="15" s="1"/>
  <c r="Y101" i="15" s="1"/>
  <c r="Z101" i="15" s="1"/>
  <c r="AA101" i="15" s="1"/>
  <c r="AB101" i="15" s="1"/>
  <c r="AC101" i="15" s="1"/>
  <c r="AD101" i="15" s="1"/>
  <c r="AE101" i="15" s="1"/>
  <c r="AF101" i="15" s="1"/>
  <c r="D101" i="15"/>
  <c r="C101" i="15"/>
  <c r="C100" i="15"/>
  <c r="D100" i="15" s="1"/>
  <c r="E100" i="15" s="1"/>
  <c r="F100" i="15" s="1"/>
  <c r="G100" i="15" s="1"/>
  <c r="H100" i="15" s="1"/>
  <c r="I100" i="15" s="1"/>
  <c r="J100" i="15" s="1"/>
  <c r="K100" i="15" s="1"/>
  <c r="L100" i="15" s="1"/>
  <c r="M100" i="15" s="1"/>
  <c r="N100" i="15" s="1"/>
  <c r="O100" i="15" s="1"/>
  <c r="P100" i="15" s="1"/>
  <c r="Q100" i="15" s="1"/>
  <c r="R100" i="15" s="1"/>
  <c r="S100" i="15" s="1"/>
  <c r="T100" i="15" s="1"/>
  <c r="U100" i="15" s="1"/>
  <c r="V100" i="15" s="1"/>
  <c r="W100" i="15" s="1"/>
  <c r="X100" i="15" s="1"/>
  <c r="Y100" i="15" s="1"/>
  <c r="Z100" i="15" s="1"/>
  <c r="AA100" i="15" s="1"/>
  <c r="AB100" i="15" s="1"/>
  <c r="AC100" i="15" s="1"/>
  <c r="AD100" i="15" s="1"/>
  <c r="AE100" i="15" s="1"/>
  <c r="AF100" i="15" s="1"/>
  <c r="L99" i="15"/>
  <c r="M99" i="15" s="1"/>
  <c r="N99" i="15" s="1"/>
  <c r="O99" i="15" s="1"/>
  <c r="P99" i="15" s="1"/>
  <c r="Q99" i="15" s="1"/>
  <c r="R99" i="15" s="1"/>
  <c r="S99" i="15" s="1"/>
  <c r="T99" i="15" s="1"/>
  <c r="U99" i="15" s="1"/>
  <c r="V99" i="15" s="1"/>
  <c r="W99" i="15" s="1"/>
  <c r="X99" i="15" s="1"/>
  <c r="Y99" i="15" s="1"/>
  <c r="Z99" i="15" s="1"/>
  <c r="AA99" i="15" s="1"/>
  <c r="AB99" i="15" s="1"/>
  <c r="AC99" i="15" s="1"/>
  <c r="AD99" i="15" s="1"/>
  <c r="AE99" i="15" s="1"/>
  <c r="AF99" i="15" s="1"/>
  <c r="J99" i="15"/>
  <c r="K99" i="15" s="1"/>
  <c r="G99" i="15"/>
  <c r="H99" i="15" s="1"/>
  <c r="C99" i="15"/>
  <c r="D99" i="15" s="1"/>
  <c r="E99" i="15" s="1"/>
  <c r="F99" i="15" s="1"/>
  <c r="E98" i="15"/>
  <c r="F98" i="15" s="1"/>
  <c r="G98" i="15" s="1"/>
  <c r="H98" i="15" s="1"/>
  <c r="I98" i="15" s="1"/>
  <c r="J98" i="15" s="1"/>
  <c r="K98" i="15" s="1"/>
  <c r="L98" i="15" s="1"/>
  <c r="M98" i="15" s="1"/>
  <c r="N98" i="15" s="1"/>
  <c r="O98" i="15" s="1"/>
  <c r="P98" i="15" s="1"/>
  <c r="Q98" i="15" s="1"/>
  <c r="R98" i="15" s="1"/>
  <c r="S98" i="15" s="1"/>
  <c r="T98" i="15" s="1"/>
  <c r="U98" i="15" s="1"/>
  <c r="V98" i="15" s="1"/>
  <c r="W98" i="15" s="1"/>
  <c r="X98" i="15" s="1"/>
  <c r="Y98" i="15" s="1"/>
  <c r="Z98" i="15" s="1"/>
  <c r="AA98" i="15" s="1"/>
  <c r="AB98" i="15" s="1"/>
  <c r="AC98" i="15" s="1"/>
  <c r="AD98" i="15" s="1"/>
  <c r="AE98" i="15" s="1"/>
  <c r="AF98" i="15" s="1"/>
  <c r="D98" i="15"/>
  <c r="C98" i="15"/>
  <c r="C97" i="15"/>
  <c r="D97" i="15" s="1"/>
  <c r="E97" i="15" s="1"/>
  <c r="F97" i="15" s="1"/>
  <c r="G97" i="15" s="1"/>
  <c r="H97" i="15" s="1"/>
  <c r="I97" i="15" s="1"/>
  <c r="J97" i="15" s="1"/>
  <c r="K97" i="15" s="1"/>
  <c r="L97" i="15" s="1"/>
  <c r="M97" i="15" s="1"/>
  <c r="N97" i="15" s="1"/>
  <c r="O97" i="15" s="1"/>
  <c r="P97" i="15" s="1"/>
  <c r="Q97" i="15" s="1"/>
  <c r="R97" i="15" s="1"/>
  <c r="S97" i="15" s="1"/>
  <c r="T97" i="15" s="1"/>
  <c r="U97" i="15" s="1"/>
  <c r="V97" i="15" s="1"/>
  <c r="W97" i="15" s="1"/>
  <c r="X97" i="15" s="1"/>
  <c r="Y97" i="15" s="1"/>
  <c r="Z97" i="15" s="1"/>
  <c r="AA97" i="15" s="1"/>
  <c r="AB97" i="15" s="1"/>
  <c r="AC97" i="15" s="1"/>
  <c r="AD97" i="15" s="1"/>
  <c r="AE97" i="15" s="1"/>
  <c r="AF97" i="15" s="1"/>
  <c r="C96" i="15"/>
  <c r="D96" i="15" s="1"/>
  <c r="E96" i="15" s="1"/>
  <c r="F96" i="15" s="1"/>
  <c r="G96" i="15" s="1"/>
  <c r="H96" i="15" s="1"/>
  <c r="I96" i="15" s="1"/>
  <c r="J96" i="15" s="1"/>
  <c r="K96" i="15" s="1"/>
  <c r="L96" i="15" s="1"/>
  <c r="M96" i="15" s="1"/>
  <c r="N96" i="15" s="1"/>
  <c r="O96" i="15" s="1"/>
  <c r="P96" i="15" s="1"/>
  <c r="Q96" i="15" s="1"/>
  <c r="R96" i="15" s="1"/>
  <c r="S96" i="15" s="1"/>
  <c r="T96" i="15" s="1"/>
  <c r="U96" i="15" s="1"/>
  <c r="V96" i="15" s="1"/>
  <c r="W96" i="15" s="1"/>
  <c r="X96" i="15" s="1"/>
  <c r="Y96" i="15" s="1"/>
  <c r="Z96" i="15" s="1"/>
  <c r="AA96" i="15" s="1"/>
  <c r="AB96" i="15" s="1"/>
  <c r="AC96" i="15" s="1"/>
  <c r="AD96" i="15" s="1"/>
  <c r="AE96" i="15" s="1"/>
  <c r="AF96" i="15" s="1"/>
  <c r="G95" i="15"/>
  <c r="H95" i="15" s="1"/>
  <c r="I95" i="15" s="1"/>
  <c r="J95" i="15" s="1"/>
  <c r="K95" i="15" s="1"/>
  <c r="L95" i="15" s="1"/>
  <c r="M95" i="15" s="1"/>
  <c r="N95" i="15" s="1"/>
  <c r="O95" i="15" s="1"/>
  <c r="P95" i="15" s="1"/>
  <c r="Q95" i="15" s="1"/>
  <c r="R95" i="15" s="1"/>
  <c r="S95" i="15" s="1"/>
  <c r="T95" i="15" s="1"/>
  <c r="U95" i="15" s="1"/>
  <c r="V95" i="15" s="1"/>
  <c r="W95" i="15" s="1"/>
  <c r="X95" i="15" s="1"/>
  <c r="Y95" i="15" s="1"/>
  <c r="Z95" i="15" s="1"/>
  <c r="AA95" i="15" s="1"/>
  <c r="AB95" i="15" s="1"/>
  <c r="AC95" i="15" s="1"/>
  <c r="AD95" i="15" s="1"/>
  <c r="AE95" i="15" s="1"/>
  <c r="AF95" i="15" s="1"/>
  <c r="C95" i="15"/>
  <c r="D95" i="15" s="1"/>
  <c r="E95" i="15" s="1"/>
  <c r="F95" i="15" s="1"/>
  <c r="D94" i="15"/>
  <c r="E94" i="15" s="1"/>
  <c r="C94" i="15"/>
  <c r="C93" i="15"/>
  <c r="D93" i="15" s="1"/>
  <c r="E93" i="15" s="1"/>
  <c r="F93" i="15" s="1"/>
  <c r="G93" i="15" s="1"/>
  <c r="H93" i="15" s="1"/>
  <c r="I93" i="15" s="1"/>
  <c r="J93" i="15" s="1"/>
  <c r="K93" i="15" s="1"/>
  <c r="L93" i="15" s="1"/>
  <c r="M93" i="15" s="1"/>
  <c r="N93" i="15" s="1"/>
  <c r="O93" i="15" s="1"/>
  <c r="P93" i="15" s="1"/>
  <c r="Q93" i="15" s="1"/>
  <c r="R93" i="15" s="1"/>
  <c r="S93" i="15" s="1"/>
  <c r="T93" i="15" s="1"/>
  <c r="U93" i="15" s="1"/>
  <c r="V93" i="15" s="1"/>
  <c r="W93" i="15" s="1"/>
  <c r="X93" i="15" s="1"/>
  <c r="Y93" i="15" s="1"/>
  <c r="Z93" i="15" s="1"/>
  <c r="AA93" i="15" s="1"/>
  <c r="AB93" i="15" s="1"/>
  <c r="AC93" i="15" s="1"/>
  <c r="AD93" i="15" s="1"/>
  <c r="AE93" i="15" s="1"/>
  <c r="AF93" i="15" s="1"/>
  <c r="D92" i="15"/>
  <c r="E92" i="15" s="1"/>
  <c r="F92" i="15" s="1"/>
  <c r="G92" i="15" s="1"/>
  <c r="H92" i="15" s="1"/>
  <c r="I92" i="15" s="1"/>
  <c r="J92" i="15" s="1"/>
  <c r="K92" i="15" s="1"/>
  <c r="L92" i="15" s="1"/>
  <c r="M92" i="15" s="1"/>
  <c r="N92" i="15" s="1"/>
  <c r="O92" i="15" s="1"/>
  <c r="P92" i="15" s="1"/>
  <c r="Q92" i="15" s="1"/>
  <c r="R92" i="15" s="1"/>
  <c r="S92" i="15" s="1"/>
  <c r="T92" i="15" s="1"/>
  <c r="U92" i="15" s="1"/>
  <c r="V92" i="15" s="1"/>
  <c r="W92" i="15" s="1"/>
  <c r="X92" i="15" s="1"/>
  <c r="Y92" i="15" s="1"/>
  <c r="Z92" i="15" s="1"/>
  <c r="AA92" i="15" s="1"/>
  <c r="AB92" i="15" s="1"/>
  <c r="AC92" i="15" s="1"/>
  <c r="AD92" i="15" s="1"/>
  <c r="AE92" i="15" s="1"/>
  <c r="AF92" i="15" s="1"/>
  <c r="C92" i="15"/>
  <c r="C91" i="15"/>
  <c r="D91" i="15" s="1"/>
  <c r="E91" i="15" s="1"/>
  <c r="F91" i="15" s="1"/>
  <c r="G91" i="15" s="1"/>
  <c r="H91" i="15" s="1"/>
  <c r="I91" i="15" s="1"/>
  <c r="J91" i="15" s="1"/>
  <c r="K91" i="15" s="1"/>
  <c r="L91" i="15" s="1"/>
  <c r="M91" i="15" s="1"/>
  <c r="N91" i="15" s="1"/>
  <c r="O91" i="15" s="1"/>
  <c r="P91" i="15" s="1"/>
  <c r="Q91" i="15" s="1"/>
  <c r="R91" i="15" s="1"/>
  <c r="S91" i="15" s="1"/>
  <c r="T91" i="15" s="1"/>
  <c r="U91" i="15" s="1"/>
  <c r="V91" i="15" s="1"/>
  <c r="W91" i="15" s="1"/>
  <c r="X91" i="15" s="1"/>
  <c r="Y91" i="15" s="1"/>
  <c r="Z91" i="15" s="1"/>
  <c r="AA91" i="15" s="1"/>
  <c r="AB91" i="15" s="1"/>
  <c r="AC91" i="15" s="1"/>
  <c r="AD91" i="15" s="1"/>
  <c r="AE91" i="15" s="1"/>
  <c r="AF91" i="15" s="1"/>
  <c r="C90" i="15"/>
  <c r="D90" i="15" s="1"/>
  <c r="E90" i="15" s="1"/>
  <c r="F90" i="15" s="1"/>
  <c r="G90" i="15" s="1"/>
  <c r="H90" i="15" s="1"/>
  <c r="I90" i="15" s="1"/>
  <c r="J90" i="15" s="1"/>
  <c r="K90" i="15" s="1"/>
  <c r="L90" i="15" s="1"/>
  <c r="M90" i="15" s="1"/>
  <c r="N90" i="15" s="1"/>
  <c r="O90" i="15" s="1"/>
  <c r="P90" i="15" s="1"/>
  <c r="Q90" i="15" s="1"/>
  <c r="R90" i="15" s="1"/>
  <c r="S90" i="15" s="1"/>
  <c r="T90" i="15" s="1"/>
  <c r="U90" i="15" s="1"/>
  <c r="V90" i="15" s="1"/>
  <c r="W90" i="15" s="1"/>
  <c r="X90" i="15" s="1"/>
  <c r="Y90" i="15" s="1"/>
  <c r="Z90" i="15" s="1"/>
  <c r="AA90" i="15" s="1"/>
  <c r="AB90" i="15" s="1"/>
  <c r="AC90" i="15" s="1"/>
  <c r="AD90" i="15" s="1"/>
  <c r="AE90" i="15" s="1"/>
  <c r="AF90" i="15" s="1"/>
  <c r="C89" i="15"/>
  <c r="AH86" i="15"/>
  <c r="AI86" i="15" s="1"/>
  <c r="AH85" i="15"/>
  <c r="AI85" i="15" s="1"/>
  <c r="AH84" i="15"/>
  <c r="AI84" i="15" s="1"/>
  <c r="AH83" i="15"/>
  <c r="AI83" i="15" s="1"/>
  <c r="D82" i="15"/>
  <c r="C82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I79" i="15"/>
  <c r="AH79" i="15"/>
  <c r="AI78" i="15"/>
  <c r="AH78" i="15"/>
  <c r="AI77" i="15"/>
  <c r="AH77" i="15"/>
  <c r="AI76" i="15"/>
  <c r="AH76" i="15"/>
  <c r="AI75" i="15"/>
  <c r="AH75" i="15"/>
  <c r="AI74" i="15"/>
  <c r="AH74" i="15"/>
  <c r="AI73" i="15"/>
  <c r="AH73" i="15"/>
  <c r="AI72" i="15"/>
  <c r="AH72" i="15"/>
  <c r="AG71" i="15"/>
  <c r="AI70" i="15"/>
  <c r="AH70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R71" i="15" s="1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AF66" i="15"/>
  <c r="AE66" i="15"/>
  <c r="AD66" i="15"/>
  <c r="AC66" i="15"/>
  <c r="AB66" i="15"/>
  <c r="AA66" i="15"/>
  <c r="Z66" i="15"/>
  <c r="Z71" i="15" s="1"/>
  <c r="Y66" i="15"/>
  <c r="X66" i="15"/>
  <c r="W66" i="15"/>
  <c r="V66" i="15"/>
  <c r="U66" i="15"/>
  <c r="T66" i="15"/>
  <c r="S66" i="15"/>
  <c r="R66" i="15"/>
  <c r="Q66" i="15"/>
  <c r="P66" i="15"/>
  <c r="O66" i="15"/>
  <c r="N66" i="15"/>
  <c r="N71" i="15" s="1"/>
  <c r="M66" i="15"/>
  <c r="L66" i="15"/>
  <c r="K66" i="15"/>
  <c r="J66" i="15"/>
  <c r="I66" i="15"/>
  <c r="H66" i="15"/>
  <c r="G66" i="15"/>
  <c r="F66" i="15"/>
  <c r="E66" i="15"/>
  <c r="D66" i="15"/>
  <c r="C66" i="15"/>
  <c r="AI64" i="15"/>
  <c r="AH64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AH63" i="15"/>
  <c r="AI62" i="15"/>
  <c r="AH62" i="15"/>
  <c r="AI61" i="15"/>
  <c r="AH61" i="15"/>
  <c r="AI60" i="15"/>
  <c r="AH60" i="15"/>
  <c r="AG59" i="15"/>
  <c r="AF59" i="15"/>
  <c r="AF5" i="15" s="1"/>
  <c r="AE59" i="15"/>
  <c r="AE5" i="15" s="1"/>
  <c r="AD59" i="15"/>
  <c r="AD5" i="15" s="1"/>
  <c r="AC59" i="15"/>
  <c r="AC5" i="15" s="1"/>
  <c r="AB59" i="15"/>
  <c r="AA59" i="15"/>
  <c r="AA5" i="15" s="1"/>
  <c r="Z59" i="15"/>
  <c r="Z5" i="15" s="1"/>
  <c r="Y59" i="15"/>
  <c r="Y5" i="15" s="1"/>
  <c r="X59" i="15"/>
  <c r="W59" i="15"/>
  <c r="W5" i="15" s="1"/>
  <c r="V59" i="15"/>
  <c r="U59" i="15"/>
  <c r="U5" i="15" s="1"/>
  <c r="T59" i="15"/>
  <c r="S59" i="15"/>
  <c r="S5" i="15" s="1"/>
  <c r="R59" i="15"/>
  <c r="R5" i="15" s="1"/>
  <c r="Q59" i="15"/>
  <c r="Q5" i="15" s="1"/>
  <c r="P59" i="15"/>
  <c r="P5" i="15" s="1"/>
  <c r="O59" i="15"/>
  <c r="N59" i="15"/>
  <c r="N5" i="15" s="1"/>
  <c r="M59" i="15"/>
  <c r="M5" i="15" s="1"/>
  <c r="L59" i="15"/>
  <c r="L5" i="15" s="1"/>
  <c r="K59" i="15"/>
  <c r="K5" i="15" s="1"/>
  <c r="J59" i="15"/>
  <c r="J5" i="15" s="1"/>
  <c r="I59" i="15"/>
  <c r="I5" i="15" s="1"/>
  <c r="H59" i="15"/>
  <c r="H5" i="15" s="1"/>
  <c r="G59" i="15"/>
  <c r="G5" i="15" s="1"/>
  <c r="F59" i="15"/>
  <c r="E59" i="15"/>
  <c r="E5" i="15" s="1"/>
  <c r="D59" i="15"/>
  <c r="D5" i="15" s="1"/>
  <c r="C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I46" i="15"/>
  <c r="AH46" i="15"/>
  <c r="AI45" i="15"/>
  <c r="AH45" i="15"/>
  <c r="AI44" i="15"/>
  <c r="AH44" i="15"/>
  <c r="AG42" i="15"/>
  <c r="AG43" i="15" s="1"/>
  <c r="C42" i="15"/>
  <c r="C43" i="15" s="1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B5" i="15"/>
  <c r="X5" i="15"/>
  <c r="V5" i="15"/>
  <c r="T5" i="15"/>
  <c r="O5" i="15"/>
  <c r="F5" i="15"/>
  <c r="C5" i="15"/>
  <c r="AG4" i="15"/>
  <c r="K4" i="15"/>
  <c r="C4" i="15"/>
  <c r="S190" i="15" s="1"/>
  <c r="AG2" i="15"/>
  <c r="AF84" i="14"/>
  <c r="AD84" i="14"/>
  <c r="AC84" i="14"/>
  <c r="Y193" i="18"/>
  <c r="G7" i="18"/>
  <c r="L82" i="18"/>
  <c r="M94" i="18"/>
  <c r="Z193" i="18"/>
  <c r="H7" i="18"/>
  <c r="K178" i="18"/>
  <c r="J214" i="18"/>
  <c r="I171" i="18"/>
  <c r="J89" i="18"/>
  <c r="J179" i="18"/>
  <c r="J42" i="18" s="1"/>
  <c r="J43" i="18" s="1"/>
  <c r="K173" i="18"/>
  <c r="AA193" i="18"/>
  <c r="I7" i="18"/>
  <c r="J171" i="17"/>
  <c r="K89" i="17"/>
  <c r="M178" i="17"/>
  <c r="L214" i="17"/>
  <c r="M173" i="17"/>
  <c r="L179" i="17"/>
  <c r="L42" i="17" s="1"/>
  <c r="L43" i="17" s="1"/>
  <c r="L65" i="17" s="1"/>
  <c r="K94" i="17"/>
  <c r="J82" i="17"/>
  <c r="AC193" i="17"/>
  <c r="K7" i="17"/>
  <c r="M71" i="16"/>
  <c r="C82" i="16"/>
  <c r="AF71" i="16"/>
  <c r="P71" i="16"/>
  <c r="I71" i="16"/>
  <c r="H71" i="16"/>
  <c r="B71" i="16"/>
  <c r="AH30" i="16"/>
  <c r="AI30" i="16"/>
  <c r="K71" i="16"/>
  <c r="D71" i="16"/>
  <c r="E71" i="16"/>
  <c r="L71" i="16"/>
  <c r="AB71" i="16"/>
  <c r="AC71" i="16"/>
  <c r="AI66" i="16"/>
  <c r="AI47" i="16"/>
  <c r="AH47" i="16"/>
  <c r="B65" i="16"/>
  <c r="Y59" i="16"/>
  <c r="F71" i="16"/>
  <c r="N71" i="16"/>
  <c r="V71" i="16"/>
  <c r="AD71" i="16"/>
  <c r="AI68" i="16"/>
  <c r="X67" i="16"/>
  <c r="X71" i="16" s="1"/>
  <c r="AI49" i="16"/>
  <c r="AI50" i="16"/>
  <c r="W59" i="16"/>
  <c r="W5" i="16" s="1"/>
  <c r="AI63" i="16"/>
  <c r="AE71" i="16"/>
  <c r="E89" i="16"/>
  <c r="O69" i="16"/>
  <c r="O71" i="16" s="1"/>
  <c r="O80" i="16"/>
  <c r="AH80" i="16" s="1"/>
  <c r="X5" i="16"/>
  <c r="T67" i="16"/>
  <c r="T71" i="16" s="1"/>
  <c r="T80" i="16"/>
  <c r="Q69" i="16"/>
  <c r="Q71" i="16" s="1"/>
  <c r="Q59" i="16"/>
  <c r="AH59" i="16" s="1"/>
  <c r="Y71" i="16"/>
  <c r="AH66" i="16"/>
  <c r="AG65" i="16"/>
  <c r="AH50" i="16"/>
  <c r="U67" i="16"/>
  <c r="U71" i="16" s="1"/>
  <c r="F94" i="16"/>
  <c r="T59" i="16"/>
  <c r="T5" i="16" s="1"/>
  <c r="W67" i="16"/>
  <c r="W71" i="16" s="1"/>
  <c r="C71" i="16"/>
  <c r="Y80" i="16"/>
  <c r="C171" i="16"/>
  <c r="AH68" i="16"/>
  <c r="S80" i="16"/>
  <c r="D108" i="16"/>
  <c r="D171" i="16" s="1"/>
  <c r="AH49" i="16"/>
  <c r="AH63" i="16"/>
  <c r="S67" i="16"/>
  <c r="S71" i="16" s="1"/>
  <c r="C179" i="16"/>
  <c r="C42" i="16" s="1"/>
  <c r="C214" i="16"/>
  <c r="D178" i="16"/>
  <c r="D173" i="16"/>
  <c r="AF71" i="15"/>
  <c r="AE71" i="15"/>
  <c r="AD71" i="15"/>
  <c r="AC71" i="15"/>
  <c r="AB71" i="15"/>
  <c r="AA71" i="15"/>
  <c r="Y71" i="15"/>
  <c r="X71" i="15"/>
  <c r="W71" i="15"/>
  <c r="V71" i="15"/>
  <c r="U71" i="15"/>
  <c r="T71" i="15"/>
  <c r="S71" i="15"/>
  <c r="Q71" i="15"/>
  <c r="P71" i="15"/>
  <c r="O71" i="15"/>
  <c r="AI68" i="15"/>
  <c r="M71" i="15"/>
  <c r="L71" i="15"/>
  <c r="K71" i="15"/>
  <c r="J71" i="15"/>
  <c r="AI67" i="15"/>
  <c r="I71" i="15"/>
  <c r="AH69" i="15"/>
  <c r="AI69" i="15"/>
  <c r="H71" i="15"/>
  <c r="G71" i="15"/>
  <c r="F71" i="15"/>
  <c r="AI66" i="15"/>
  <c r="E71" i="15"/>
  <c r="AI30" i="15"/>
  <c r="AH67" i="15"/>
  <c r="D71" i="15"/>
  <c r="AH59" i="15"/>
  <c r="AH47" i="15"/>
  <c r="C71" i="15"/>
  <c r="AI80" i="15"/>
  <c r="C65" i="15"/>
  <c r="U193" i="15" s="1"/>
  <c r="B71" i="15"/>
  <c r="B65" i="15"/>
  <c r="T193" i="15" s="1"/>
  <c r="E82" i="15"/>
  <c r="F94" i="15"/>
  <c r="AG3" i="15"/>
  <c r="AG6" i="15" s="1"/>
  <c r="AG65" i="15"/>
  <c r="AH66" i="15"/>
  <c r="AH80" i="15"/>
  <c r="AH30" i="15"/>
  <c r="B5" i="15"/>
  <c r="AH68" i="15"/>
  <c r="C171" i="15"/>
  <c r="AI47" i="15"/>
  <c r="AI59" i="15"/>
  <c r="AI63" i="15"/>
  <c r="D89" i="15"/>
  <c r="E174" i="15"/>
  <c r="F174" i="15" s="1"/>
  <c r="G174" i="15" s="1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D179" i="15"/>
  <c r="D42" i="15" s="1"/>
  <c r="D43" i="15" s="1"/>
  <c r="G178" i="15"/>
  <c r="F173" i="15"/>
  <c r="C214" i="15"/>
  <c r="D214" i="15"/>
  <c r="E214" i="15"/>
  <c r="U49" i="14"/>
  <c r="J65" i="18"/>
  <c r="J171" i="18"/>
  <c r="K89" i="18"/>
  <c r="L178" i="18"/>
  <c r="K214" i="18"/>
  <c r="K179" i="18"/>
  <c r="K42" i="18" s="1"/>
  <c r="K43" i="18" s="1"/>
  <c r="K65" i="18" s="1"/>
  <c r="L173" i="18"/>
  <c r="N94" i="18"/>
  <c r="M82" i="18"/>
  <c r="L94" i="17"/>
  <c r="K82" i="17"/>
  <c r="AD193" i="17"/>
  <c r="L7" i="17"/>
  <c r="M179" i="17"/>
  <c r="M42" i="17" s="1"/>
  <c r="M43" i="17" s="1"/>
  <c r="M65" i="17" s="1"/>
  <c r="C188" i="17" s="1"/>
  <c r="N173" i="17"/>
  <c r="N178" i="17"/>
  <c r="M214" i="17"/>
  <c r="K171" i="17"/>
  <c r="L89" i="17"/>
  <c r="AI80" i="16"/>
  <c r="AI59" i="16"/>
  <c r="F89" i="16"/>
  <c r="E173" i="16"/>
  <c r="D179" i="16"/>
  <c r="D42" i="16" s="1"/>
  <c r="D43" i="16" s="1"/>
  <c r="D65" i="16" s="1"/>
  <c r="G94" i="16"/>
  <c r="Y5" i="16"/>
  <c r="D214" i="16"/>
  <c r="E178" i="16"/>
  <c r="E108" i="16"/>
  <c r="D82" i="16"/>
  <c r="AH67" i="16"/>
  <c r="AI67" i="16"/>
  <c r="AI69" i="16"/>
  <c r="AH69" i="16"/>
  <c r="T193" i="16"/>
  <c r="B7" i="16"/>
  <c r="AI71" i="16"/>
  <c r="AH71" i="16"/>
  <c r="C43" i="16"/>
  <c r="Q5" i="16"/>
  <c r="AH71" i="15"/>
  <c r="AI71" i="15"/>
  <c r="C7" i="15"/>
  <c r="B7" i="15"/>
  <c r="D171" i="15"/>
  <c r="E89" i="15"/>
  <c r="G94" i="15"/>
  <c r="F82" i="15"/>
  <c r="G214" i="15"/>
  <c r="H178" i="15"/>
  <c r="F179" i="15"/>
  <c r="F42" i="15" s="1"/>
  <c r="F43" i="15" s="1"/>
  <c r="F65" i="15" s="1"/>
  <c r="G173" i="15"/>
  <c r="D65" i="15"/>
  <c r="E179" i="15"/>
  <c r="E42" i="15" s="1"/>
  <c r="E43" i="15" s="1"/>
  <c r="E65" i="15" s="1"/>
  <c r="AC193" i="18"/>
  <c r="K7" i="18"/>
  <c r="L214" i="18"/>
  <c r="M178" i="18"/>
  <c r="K171" i="18"/>
  <c r="L89" i="18"/>
  <c r="L179" i="18"/>
  <c r="L42" i="18" s="1"/>
  <c r="L43" i="18" s="1"/>
  <c r="L65" i="18" s="1"/>
  <c r="M173" i="18"/>
  <c r="N82" i="18"/>
  <c r="O94" i="18"/>
  <c r="AB193" i="18"/>
  <c r="J7" i="18"/>
  <c r="B188" i="17"/>
  <c r="K6" i="17" s="1"/>
  <c r="L171" i="17"/>
  <c r="M89" i="17"/>
  <c r="N214" i="17"/>
  <c r="O178" i="17"/>
  <c r="O173" i="17"/>
  <c r="N179" i="17"/>
  <c r="N42" i="17" s="1"/>
  <c r="N43" i="17" s="1"/>
  <c r="N65" i="17" s="1"/>
  <c r="AE193" i="17"/>
  <c r="M7" i="17"/>
  <c r="M94" i="17"/>
  <c r="L82" i="17"/>
  <c r="H94" i="16"/>
  <c r="V193" i="16"/>
  <c r="D7" i="16"/>
  <c r="C65" i="16"/>
  <c r="F108" i="16"/>
  <c r="E82" i="16"/>
  <c r="F173" i="16"/>
  <c r="E179" i="16"/>
  <c r="E42" i="16" s="1"/>
  <c r="E43" i="16" s="1"/>
  <c r="E65" i="16" s="1"/>
  <c r="E214" i="16"/>
  <c r="F178" i="16"/>
  <c r="G89" i="16"/>
  <c r="E171" i="16"/>
  <c r="X193" i="15"/>
  <c r="F7" i="15"/>
  <c r="I178" i="15"/>
  <c r="H214" i="15"/>
  <c r="E171" i="15"/>
  <c r="F89" i="15"/>
  <c r="W193" i="15"/>
  <c r="E7" i="15"/>
  <c r="H94" i="15"/>
  <c r="G82" i="15"/>
  <c r="H173" i="15"/>
  <c r="G179" i="15"/>
  <c r="G42" i="15" s="1"/>
  <c r="G43" i="15" s="1"/>
  <c r="G65" i="15" s="1"/>
  <c r="V193" i="15"/>
  <c r="D7" i="15"/>
  <c r="L84" i="14"/>
  <c r="K42" i="14"/>
  <c r="K43" i="14"/>
  <c r="AH87" i="14"/>
  <c r="AI87" i="14" s="1"/>
  <c r="AF218" i="14"/>
  <c r="AE218" i="14"/>
  <c r="AD218" i="14"/>
  <c r="AC218" i="14"/>
  <c r="AB218" i="14"/>
  <c r="AA218" i="14"/>
  <c r="Z218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A218" i="14"/>
  <c r="AF217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A217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B216" i="14"/>
  <c r="A216" i="14"/>
  <c r="AF215" i="14"/>
  <c r="AE215" i="14"/>
  <c r="AD215" i="14"/>
  <c r="AC215" i="14"/>
  <c r="AB215" i="14"/>
  <c r="AA215" i="14"/>
  <c r="Z215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A215" i="14"/>
  <c r="D214" i="14"/>
  <c r="C214" i="14"/>
  <c r="B214" i="14"/>
  <c r="S189" i="14"/>
  <c r="AG179" i="14"/>
  <c r="B179" i="14"/>
  <c r="F178" i="14"/>
  <c r="E178" i="14"/>
  <c r="E214" i="14" s="1"/>
  <c r="D178" i="14"/>
  <c r="C178" i="14"/>
  <c r="C177" i="14"/>
  <c r="D177" i="14" s="1"/>
  <c r="E177" i="14" s="1"/>
  <c r="F177" i="14" s="1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N176" i="14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D176" i="14"/>
  <c r="E176" i="14" s="1"/>
  <c r="F176" i="14" s="1"/>
  <c r="G176" i="14" s="1"/>
  <c r="H176" i="14" s="1"/>
  <c r="I176" i="14" s="1"/>
  <c r="J176" i="14" s="1"/>
  <c r="K176" i="14" s="1"/>
  <c r="L176" i="14" s="1"/>
  <c r="M176" i="14" s="1"/>
  <c r="C176" i="14"/>
  <c r="D175" i="14"/>
  <c r="E175" i="14" s="1"/>
  <c r="F175" i="14" s="1"/>
  <c r="G175" i="14" s="1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C175" i="14"/>
  <c r="E174" i="14"/>
  <c r="F174" i="14" s="1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D174" i="14"/>
  <c r="C174" i="14"/>
  <c r="E173" i="14"/>
  <c r="D173" i="14"/>
  <c r="C173" i="14"/>
  <c r="C179" i="14" s="1"/>
  <c r="AG171" i="14"/>
  <c r="B171" i="14"/>
  <c r="K170" i="14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D170" i="14"/>
  <c r="E170" i="14" s="1"/>
  <c r="F170" i="14" s="1"/>
  <c r="G170" i="14" s="1"/>
  <c r="H170" i="14" s="1"/>
  <c r="I170" i="14" s="1"/>
  <c r="J170" i="14" s="1"/>
  <c r="C170" i="14"/>
  <c r="C169" i="14"/>
  <c r="D169" i="14" s="1"/>
  <c r="E169" i="14" s="1"/>
  <c r="F169" i="14" s="1"/>
  <c r="G169" i="14" s="1"/>
  <c r="H169" i="14" s="1"/>
  <c r="I169" i="14" s="1"/>
  <c r="J169" i="14" s="1"/>
  <c r="K169" i="14" s="1"/>
  <c r="L169" i="14" s="1"/>
  <c r="M169" i="14" s="1"/>
  <c r="N169" i="14" s="1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R168" i="14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I168" i="14"/>
  <c r="J168" i="14" s="1"/>
  <c r="K168" i="14" s="1"/>
  <c r="L168" i="14" s="1"/>
  <c r="M168" i="14" s="1"/>
  <c r="N168" i="14" s="1"/>
  <c r="O168" i="14" s="1"/>
  <c r="P168" i="14" s="1"/>
  <c r="Q168" i="14" s="1"/>
  <c r="D168" i="14"/>
  <c r="E168" i="14" s="1"/>
  <c r="F168" i="14" s="1"/>
  <c r="G168" i="14" s="1"/>
  <c r="H168" i="14" s="1"/>
  <c r="C168" i="14"/>
  <c r="D167" i="14"/>
  <c r="E167" i="14" s="1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C167" i="14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C166" i="14"/>
  <c r="C165" i="14"/>
  <c r="D165" i="14" s="1"/>
  <c r="E165" i="14" s="1"/>
  <c r="F165" i="14" s="1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U164" i="14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F164" i="14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E164" i="14"/>
  <c r="D164" i="14"/>
  <c r="C164" i="14"/>
  <c r="D163" i="14"/>
  <c r="E163" i="14" s="1"/>
  <c r="F163" i="14" s="1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C163" i="14"/>
  <c r="AA162" i="14"/>
  <c r="AB162" i="14" s="1"/>
  <c r="AC162" i="14" s="1"/>
  <c r="AD162" i="14" s="1"/>
  <c r="AE162" i="14" s="1"/>
  <c r="AF162" i="14" s="1"/>
  <c r="D162" i="14"/>
  <c r="E162" i="14" s="1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C162" i="14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C161" i="14"/>
  <c r="E160" i="14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D160" i="14"/>
  <c r="C160" i="14"/>
  <c r="L159" i="14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C159" i="14"/>
  <c r="D159" i="14" s="1"/>
  <c r="E159" i="14" s="1"/>
  <c r="F159" i="14" s="1"/>
  <c r="G159" i="14" s="1"/>
  <c r="H159" i="14" s="1"/>
  <c r="I159" i="14" s="1"/>
  <c r="J159" i="14" s="1"/>
  <c r="K159" i="14" s="1"/>
  <c r="E158" i="14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D158" i="14"/>
  <c r="C158" i="14"/>
  <c r="C157" i="14"/>
  <c r="D157" i="14" s="1"/>
  <c r="E157" i="14" s="1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S156" i="14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C156" i="14"/>
  <c r="D156" i="14" s="1"/>
  <c r="E156" i="14" s="1"/>
  <c r="F156" i="14" s="1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D155" i="14"/>
  <c r="E155" i="14" s="1"/>
  <c r="F155" i="14" s="1"/>
  <c r="G155" i="14" s="1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AC155" i="14" s="1"/>
  <c r="AD155" i="14" s="1"/>
  <c r="AE155" i="14" s="1"/>
  <c r="AF155" i="14" s="1"/>
  <c r="C155" i="14"/>
  <c r="G154" i="14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C154" i="14"/>
  <c r="D154" i="14" s="1"/>
  <c r="E154" i="14" s="1"/>
  <c r="F154" i="14" s="1"/>
  <c r="E153" i="14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C153" i="14"/>
  <c r="D153" i="14" s="1"/>
  <c r="C152" i="14"/>
  <c r="D152" i="14" s="1"/>
  <c r="E152" i="14" s="1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C151" i="14"/>
  <c r="D151" i="14" s="1"/>
  <c r="E151" i="14" s="1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Q150" i="14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C150" i="14"/>
  <c r="D150" i="14" s="1"/>
  <c r="E150" i="14" s="1"/>
  <c r="F150" i="14" s="1"/>
  <c r="G150" i="14" s="1"/>
  <c r="H150" i="14" s="1"/>
  <c r="I150" i="14" s="1"/>
  <c r="J150" i="14" s="1"/>
  <c r="K150" i="14" s="1"/>
  <c r="L150" i="14" s="1"/>
  <c r="M150" i="14" s="1"/>
  <c r="N150" i="14" s="1"/>
  <c r="O150" i="14" s="1"/>
  <c r="P150" i="14" s="1"/>
  <c r="J149" i="14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F149" i="14"/>
  <c r="G149" i="14" s="1"/>
  <c r="H149" i="14" s="1"/>
  <c r="I149" i="14" s="1"/>
  <c r="E149" i="14"/>
  <c r="C149" i="14"/>
  <c r="D149" i="14" s="1"/>
  <c r="AE148" i="14"/>
  <c r="AF148" i="14" s="1"/>
  <c r="M148" i="14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H148" i="14"/>
  <c r="I148" i="14" s="1"/>
  <c r="J148" i="14" s="1"/>
  <c r="K148" i="14" s="1"/>
  <c r="L148" i="14" s="1"/>
  <c r="D148" i="14"/>
  <c r="E148" i="14" s="1"/>
  <c r="F148" i="14" s="1"/>
  <c r="G148" i="14" s="1"/>
  <c r="C148" i="14"/>
  <c r="K147" i="14"/>
  <c r="L147" i="14" s="1"/>
  <c r="M147" i="14" s="1"/>
  <c r="N147" i="14" s="1"/>
  <c r="O147" i="14" s="1"/>
  <c r="P147" i="14" s="1"/>
  <c r="Q147" i="14" s="1"/>
  <c r="R147" i="14" s="1"/>
  <c r="S147" i="14" s="1"/>
  <c r="T147" i="14" s="1"/>
  <c r="U147" i="14" s="1"/>
  <c r="V147" i="14" s="1"/>
  <c r="W147" i="14" s="1"/>
  <c r="X147" i="14" s="1"/>
  <c r="Y147" i="14" s="1"/>
  <c r="Z147" i="14" s="1"/>
  <c r="AA147" i="14" s="1"/>
  <c r="AB147" i="14" s="1"/>
  <c r="AC147" i="14" s="1"/>
  <c r="AD147" i="14" s="1"/>
  <c r="AE147" i="14" s="1"/>
  <c r="AF147" i="14" s="1"/>
  <c r="F147" i="14"/>
  <c r="G147" i="14" s="1"/>
  <c r="H147" i="14" s="1"/>
  <c r="I147" i="14" s="1"/>
  <c r="J147" i="14" s="1"/>
  <c r="D147" i="14"/>
  <c r="E147" i="14" s="1"/>
  <c r="C147" i="14"/>
  <c r="M146" i="14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I146" i="14"/>
  <c r="J146" i="14" s="1"/>
  <c r="K146" i="14" s="1"/>
  <c r="L146" i="14" s="1"/>
  <c r="D146" i="14"/>
  <c r="E146" i="14" s="1"/>
  <c r="F146" i="14" s="1"/>
  <c r="G146" i="14" s="1"/>
  <c r="H146" i="14" s="1"/>
  <c r="C146" i="14"/>
  <c r="K145" i="14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G145" i="14"/>
  <c r="H145" i="14" s="1"/>
  <c r="I145" i="14" s="1"/>
  <c r="J145" i="14" s="1"/>
  <c r="C145" i="14"/>
  <c r="D145" i="14" s="1"/>
  <c r="E145" i="14" s="1"/>
  <c r="F145" i="14" s="1"/>
  <c r="I144" i="14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E144" i="14"/>
  <c r="F144" i="14" s="1"/>
  <c r="G144" i="14" s="1"/>
  <c r="H144" i="14" s="1"/>
  <c r="C144" i="14"/>
  <c r="D144" i="14" s="1"/>
  <c r="G143" i="14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C143" i="14"/>
  <c r="D143" i="14" s="1"/>
  <c r="E143" i="14" s="1"/>
  <c r="F143" i="14" s="1"/>
  <c r="E142" i="14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D142" i="14"/>
  <c r="C142" i="14"/>
  <c r="C141" i="14"/>
  <c r="D141" i="14" s="1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E140" i="14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D140" i="14"/>
  <c r="C140" i="14"/>
  <c r="C139" i="14"/>
  <c r="D139" i="14" s="1"/>
  <c r="E139" i="14" s="1"/>
  <c r="F139" i="14" s="1"/>
  <c r="G139" i="14" s="1"/>
  <c r="H139" i="14" s="1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F138" i="14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E138" i="14"/>
  <c r="D138" i="14"/>
  <c r="C138" i="14"/>
  <c r="E137" i="14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D137" i="14"/>
  <c r="C137" i="14"/>
  <c r="Y136" i="14"/>
  <c r="Z136" i="14" s="1"/>
  <c r="AA136" i="14" s="1"/>
  <c r="AB136" i="14" s="1"/>
  <c r="AC136" i="14" s="1"/>
  <c r="AD136" i="14" s="1"/>
  <c r="AE136" i="14" s="1"/>
  <c r="AF136" i="14" s="1"/>
  <c r="J136" i="14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I136" i="14"/>
  <c r="C136" i="14"/>
  <c r="D136" i="14" s="1"/>
  <c r="E136" i="14" s="1"/>
  <c r="F136" i="14" s="1"/>
  <c r="G136" i="14" s="1"/>
  <c r="H136" i="14" s="1"/>
  <c r="C135" i="14"/>
  <c r="D135" i="14" s="1"/>
  <c r="E135" i="14" s="1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P134" i="14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E134" i="14"/>
  <c r="F134" i="14" s="1"/>
  <c r="G134" i="14" s="1"/>
  <c r="H134" i="14" s="1"/>
  <c r="I134" i="14" s="1"/>
  <c r="J134" i="14" s="1"/>
  <c r="K134" i="14" s="1"/>
  <c r="L134" i="14" s="1"/>
  <c r="M134" i="14" s="1"/>
  <c r="N134" i="14" s="1"/>
  <c r="O134" i="14" s="1"/>
  <c r="D134" i="14"/>
  <c r="C134" i="14"/>
  <c r="D133" i="14"/>
  <c r="E133" i="14" s="1"/>
  <c r="F133" i="14" s="1"/>
  <c r="G133" i="14" s="1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C133" i="14"/>
  <c r="AB132" i="14"/>
  <c r="AC132" i="14" s="1"/>
  <c r="AD132" i="14" s="1"/>
  <c r="AE132" i="14" s="1"/>
  <c r="AF132" i="14" s="1"/>
  <c r="P132" i="14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E132" i="14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D132" i="14"/>
  <c r="C132" i="14"/>
  <c r="F131" i="14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C131" i="14"/>
  <c r="D131" i="14" s="1"/>
  <c r="E131" i="14" s="1"/>
  <c r="D130" i="14"/>
  <c r="E130" i="14" s="1"/>
  <c r="F130" i="14" s="1"/>
  <c r="G130" i="14" s="1"/>
  <c r="H130" i="14" s="1"/>
  <c r="I130" i="14" s="1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X130" i="14" s="1"/>
  <c r="Y130" i="14" s="1"/>
  <c r="Z130" i="14" s="1"/>
  <c r="AA130" i="14" s="1"/>
  <c r="AB130" i="14" s="1"/>
  <c r="AC130" i="14" s="1"/>
  <c r="AD130" i="14" s="1"/>
  <c r="AE130" i="14" s="1"/>
  <c r="AF130" i="14" s="1"/>
  <c r="C130" i="14"/>
  <c r="F129" i="14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E129" i="14"/>
  <c r="D129" i="14"/>
  <c r="C129" i="14"/>
  <c r="L128" i="14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H128" i="14"/>
  <c r="I128" i="14" s="1"/>
  <c r="J128" i="14" s="1"/>
  <c r="K128" i="14" s="1"/>
  <c r="E128" i="14"/>
  <c r="F128" i="14" s="1"/>
  <c r="G128" i="14" s="1"/>
  <c r="D128" i="14"/>
  <c r="C128" i="14"/>
  <c r="K127" i="14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C127" i="14"/>
  <c r="D127" i="14" s="1"/>
  <c r="E127" i="14" s="1"/>
  <c r="F127" i="14" s="1"/>
  <c r="G127" i="14" s="1"/>
  <c r="H127" i="14" s="1"/>
  <c r="I127" i="14" s="1"/>
  <c r="J127" i="14" s="1"/>
  <c r="I126" i="14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H126" i="14"/>
  <c r="D126" i="14"/>
  <c r="E126" i="14" s="1"/>
  <c r="F126" i="14" s="1"/>
  <c r="G126" i="14" s="1"/>
  <c r="C126" i="14"/>
  <c r="G125" i="14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F125" i="14"/>
  <c r="E125" i="14"/>
  <c r="D125" i="14"/>
  <c r="C125" i="14"/>
  <c r="D124" i="14"/>
  <c r="E124" i="14" s="1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C124" i="14"/>
  <c r="C123" i="14"/>
  <c r="D123" i="14" s="1"/>
  <c r="E123" i="14" s="1"/>
  <c r="F123" i="14" s="1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G122" i="14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D122" i="14"/>
  <c r="E122" i="14" s="1"/>
  <c r="F122" i="14" s="1"/>
  <c r="C122" i="14"/>
  <c r="E121" i="14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D121" i="14"/>
  <c r="C121" i="14"/>
  <c r="C120" i="14"/>
  <c r="D120" i="14" s="1"/>
  <c r="E120" i="14" s="1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J119" i="14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E119" i="14"/>
  <c r="F119" i="14" s="1"/>
  <c r="G119" i="14" s="1"/>
  <c r="H119" i="14" s="1"/>
  <c r="I119" i="14" s="1"/>
  <c r="C119" i="14"/>
  <c r="D119" i="14" s="1"/>
  <c r="D118" i="14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C118" i="14"/>
  <c r="D117" i="14"/>
  <c r="E117" i="14" s="1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C117" i="14"/>
  <c r="E116" i="14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D116" i="14"/>
  <c r="C116" i="14"/>
  <c r="C115" i="14"/>
  <c r="D115" i="14" s="1"/>
  <c r="E115" i="14" s="1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I114" i="14"/>
  <c r="J114" i="14" s="1"/>
  <c r="K114" i="14" s="1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E114" i="14"/>
  <c r="F114" i="14" s="1"/>
  <c r="G114" i="14" s="1"/>
  <c r="H114" i="14" s="1"/>
  <c r="D114" i="14"/>
  <c r="C114" i="14"/>
  <c r="C113" i="14"/>
  <c r="D113" i="14" s="1"/>
  <c r="E113" i="14" s="1"/>
  <c r="F113" i="14" s="1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E112" i="14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D112" i="14"/>
  <c r="C112" i="14"/>
  <c r="C111" i="14"/>
  <c r="D111" i="14" s="1"/>
  <c r="E111" i="14" s="1"/>
  <c r="F111" i="14" s="1"/>
  <c r="G111" i="14" s="1"/>
  <c r="H111" i="14" s="1"/>
  <c r="I111" i="14" s="1"/>
  <c r="J111" i="14" s="1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I110" i="14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E110" i="14"/>
  <c r="F110" i="14" s="1"/>
  <c r="G110" i="14" s="1"/>
  <c r="H110" i="14" s="1"/>
  <c r="D110" i="14"/>
  <c r="C110" i="14"/>
  <c r="C109" i="14"/>
  <c r="D109" i="14" s="1"/>
  <c r="E109" i="14" s="1"/>
  <c r="F109" i="14" s="1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E108" i="14"/>
  <c r="F108" i="14" s="1"/>
  <c r="G108" i="14" s="1"/>
  <c r="H108" i="14" s="1"/>
  <c r="I108" i="14" s="1"/>
  <c r="J108" i="14" s="1"/>
  <c r="K108" i="14" s="1"/>
  <c r="L108" i="14" s="1"/>
  <c r="M108" i="14" s="1"/>
  <c r="N108" i="14" s="1"/>
  <c r="O108" i="14" s="1"/>
  <c r="P108" i="14" s="1"/>
  <c r="Q108" i="14" s="1"/>
  <c r="R108" i="14" s="1"/>
  <c r="S108" i="14" s="1"/>
  <c r="T108" i="14" s="1"/>
  <c r="U108" i="14" s="1"/>
  <c r="V108" i="14" s="1"/>
  <c r="W108" i="14" s="1"/>
  <c r="X108" i="14" s="1"/>
  <c r="Y108" i="14" s="1"/>
  <c r="Z108" i="14" s="1"/>
  <c r="AA108" i="14" s="1"/>
  <c r="AB108" i="14" s="1"/>
  <c r="AC108" i="14" s="1"/>
  <c r="AD108" i="14" s="1"/>
  <c r="AE108" i="14" s="1"/>
  <c r="AF108" i="14" s="1"/>
  <c r="D108" i="14"/>
  <c r="C108" i="14"/>
  <c r="C107" i="14"/>
  <c r="D107" i="14" s="1"/>
  <c r="E107" i="14" s="1"/>
  <c r="F107" i="14" s="1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E106" i="14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D106" i="14"/>
  <c r="C106" i="14"/>
  <c r="D105" i="14"/>
  <c r="E105" i="14" s="1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C105" i="14"/>
  <c r="E104" i="14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D104" i="14"/>
  <c r="C104" i="14"/>
  <c r="G103" i="14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C103" i="14"/>
  <c r="D103" i="14" s="1"/>
  <c r="E103" i="14" s="1"/>
  <c r="F103" i="14" s="1"/>
  <c r="E102" i="14"/>
  <c r="F102" i="14" s="1"/>
  <c r="G102" i="14" s="1"/>
  <c r="H102" i="14" s="1"/>
  <c r="I102" i="14" s="1"/>
  <c r="J102" i="14" s="1"/>
  <c r="K102" i="14" s="1"/>
  <c r="L102" i="14" s="1"/>
  <c r="M102" i="14" s="1"/>
  <c r="N102" i="14" s="1"/>
  <c r="O102" i="14" s="1"/>
  <c r="P102" i="14" s="1"/>
  <c r="Q102" i="14" s="1"/>
  <c r="R102" i="14" s="1"/>
  <c r="S102" i="14" s="1"/>
  <c r="T102" i="14" s="1"/>
  <c r="U102" i="14" s="1"/>
  <c r="V102" i="14" s="1"/>
  <c r="W102" i="14" s="1"/>
  <c r="X102" i="14" s="1"/>
  <c r="Y102" i="14" s="1"/>
  <c r="Z102" i="14" s="1"/>
  <c r="AA102" i="14" s="1"/>
  <c r="AB102" i="14" s="1"/>
  <c r="AC102" i="14" s="1"/>
  <c r="AD102" i="14" s="1"/>
  <c r="AE102" i="14" s="1"/>
  <c r="AF102" i="14" s="1"/>
  <c r="D102" i="14"/>
  <c r="C102" i="14"/>
  <c r="D101" i="14"/>
  <c r="E101" i="14" s="1"/>
  <c r="F101" i="14" s="1"/>
  <c r="G101" i="14" s="1"/>
  <c r="H101" i="14" s="1"/>
  <c r="I101" i="14" s="1"/>
  <c r="J101" i="14" s="1"/>
  <c r="K101" i="14" s="1"/>
  <c r="L101" i="14" s="1"/>
  <c r="M101" i="14" s="1"/>
  <c r="N101" i="14" s="1"/>
  <c r="O101" i="14" s="1"/>
  <c r="P101" i="14" s="1"/>
  <c r="Q101" i="14" s="1"/>
  <c r="R101" i="14" s="1"/>
  <c r="S101" i="14" s="1"/>
  <c r="T101" i="14" s="1"/>
  <c r="U101" i="14" s="1"/>
  <c r="V101" i="14" s="1"/>
  <c r="W101" i="14" s="1"/>
  <c r="X101" i="14" s="1"/>
  <c r="Y101" i="14" s="1"/>
  <c r="Z101" i="14" s="1"/>
  <c r="AA101" i="14" s="1"/>
  <c r="AB101" i="14" s="1"/>
  <c r="AC101" i="14" s="1"/>
  <c r="AD101" i="14" s="1"/>
  <c r="AE101" i="14" s="1"/>
  <c r="AF101" i="14" s="1"/>
  <c r="C101" i="14"/>
  <c r="I100" i="14"/>
  <c r="J100" i="14" s="1"/>
  <c r="K100" i="14" s="1"/>
  <c r="L100" i="14" s="1"/>
  <c r="M100" i="14" s="1"/>
  <c r="N100" i="14" s="1"/>
  <c r="O100" i="14" s="1"/>
  <c r="P100" i="14" s="1"/>
  <c r="Q100" i="14" s="1"/>
  <c r="R100" i="14" s="1"/>
  <c r="S100" i="14" s="1"/>
  <c r="T100" i="14" s="1"/>
  <c r="U100" i="14" s="1"/>
  <c r="V100" i="14" s="1"/>
  <c r="W100" i="14" s="1"/>
  <c r="X100" i="14" s="1"/>
  <c r="Y100" i="14" s="1"/>
  <c r="Z100" i="14" s="1"/>
  <c r="AA100" i="14" s="1"/>
  <c r="AB100" i="14" s="1"/>
  <c r="AC100" i="14" s="1"/>
  <c r="AD100" i="14" s="1"/>
  <c r="AE100" i="14" s="1"/>
  <c r="AF100" i="14" s="1"/>
  <c r="E100" i="14"/>
  <c r="F100" i="14" s="1"/>
  <c r="G100" i="14" s="1"/>
  <c r="H100" i="14" s="1"/>
  <c r="D100" i="14"/>
  <c r="C100" i="14"/>
  <c r="J99" i="14"/>
  <c r="K99" i="14" s="1"/>
  <c r="L99" i="14" s="1"/>
  <c r="M99" i="14" s="1"/>
  <c r="N99" i="14" s="1"/>
  <c r="O99" i="14" s="1"/>
  <c r="P99" i="14" s="1"/>
  <c r="Q99" i="14" s="1"/>
  <c r="R99" i="14" s="1"/>
  <c r="S99" i="14" s="1"/>
  <c r="T99" i="14" s="1"/>
  <c r="U99" i="14" s="1"/>
  <c r="V99" i="14" s="1"/>
  <c r="W99" i="14" s="1"/>
  <c r="X99" i="14" s="1"/>
  <c r="Y99" i="14" s="1"/>
  <c r="Z99" i="14" s="1"/>
  <c r="AA99" i="14" s="1"/>
  <c r="AB99" i="14" s="1"/>
  <c r="AC99" i="14" s="1"/>
  <c r="AD99" i="14" s="1"/>
  <c r="AE99" i="14" s="1"/>
  <c r="AF99" i="14" s="1"/>
  <c r="G99" i="14"/>
  <c r="H99" i="14" s="1"/>
  <c r="F99" i="14"/>
  <c r="C99" i="14"/>
  <c r="D99" i="14" s="1"/>
  <c r="E99" i="14" s="1"/>
  <c r="G98" i="14"/>
  <c r="H98" i="14" s="1"/>
  <c r="I98" i="14" s="1"/>
  <c r="J98" i="14" s="1"/>
  <c r="K98" i="14" s="1"/>
  <c r="L98" i="14" s="1"/>
  <c r="M98" i="14" s="1"/>
  <c r="N98" i="14" s="1"/>
  <c r="O98" i="14" s="1"/>
  <c r="P98" i="14" s="1"/>
  <c r="Q98" i="14" s="1"/>
  <c r="R98" i="14" s="1"/>
  <c r="S98" i="14" s="1"/>
  <c r="T98" i="14" s="1"/>
  <c r="U98" i="14" s="1"/>
  <c r="V98" i="14" s="1"/>
  <c r="W98" i="14" s="1"/>
  <c r="X98" i="14" s="1"/>
  <c r="Y98" i="14" s="1"/>
  <c r="Z98" i="14" s="1"/>
  <c r="AA98" i="14" s="1"/>
  <c r="AB98" i="14" s="1"/>
  <c r="AC98" i="14" s="1"/>
  <c r="AD98" i="14" s="1"/>
  <c r="AE98" i="14" s="1"/>
  <c r="AF98" i="14" s="1"/>
  <c r="E98" i="14"/>
  <c r="F98" i="14" s="1"/>
  <c r="D98" i="14"/>
  <c r="C98" i="14"/>
  <c r="C97" i="14"/>
  <c r="D97" i="14" s="1"/>
  <c r="E97" i="14" s="1"/>
  <c r="F97" i="14" s="1"/>
  <c r="G97" i="14" s="1"/>
  <c r="H97" i="14" s="1"/>
  <c r="I97" i="14" s="1"/>
  <c r="J97" i="14" s="1"/>
  <c r="K97" i="14" s="1"/>
  <c r="L97" i="14" s="1"/>
  <c r="M97" i="14" s="1"/>
  <c r="N97" i="14" s="1"/>
  <c r="O97" i="14" s="1"/>
  <c r="P97" i="14" s="1"/>
  <c r="Q97" i="14" s="1"/>
  <c r="R97" i="14" s="1"/>
  <c r="S97" i="14" s="1"/>
  <c r="T97" i="14" s="1"/>
  <c r="U97" i="14" s="1"/>
  <c r="V97" i="14" s="1"/>
  <c r="W97" i="14" s="1"/>
  <c r="X97" i="14" s="1"/>
  <c r="Y97" i="14" s="1"/>
  <c r="Z97" i="14" s="1"/>
  <c r="AA97" i="14" s="1"/>
  <c r="AB97" i="14" s="1"/>
  <c r="AC97" i="14" s="1"/>
  <c r="AD97" i="14" s="1"/>
  <c r="AE97" i="14" s="1"/>
  <c r="AF97" i="14" s="1"/>
  <c r="D96" i="14"/>
  <c r="E96" i="14" s="1"/>
  <c r="F96" i="14" s="1"/>
  <c r="G96" i="14" s="1"/>
  <c r="H96" i="14" s="1"/>
  <c r="I96" i="14" s="1"/>
  <c r="J96" i="14" s="1"/>
  <c r="K96" i="14" s="1"/>
  <c r="L96" i="14" s="1"/>
  <c r="M96" i="14" s="1"/>
  <c r="N96" i="14" s="1"/>
  <c r="O96" i="14" s="1"/>
  <c r="P96" i="14" s="1"/>
  <c r="Q96" i="14" s="1"/>
  <c r="R96" i="14" s="1"/>
  <c r="S96" i="14" s="1"/>
  <c r="T96" i="14" s="1"/>
  <c r="U96" i="14" s="1"/>
  <c r="V96" i="14" s="1"/>
  <c r="W96" i="14" s="1"/>
  <c r="X96" i="14" s="1"/>
  <c r="Y96" i="14" s="1"/>
  <c r="Z96" i="14" s="1"/>
  <c r="AA96" i="14" s="1"/>
  <c r="AB96" i="14" s="1"/>
  <c r="AC96" i="14" s="1"/>
  <c r="AD96" i="14" s="1"/>
  <c r="AE96" i="14" s="1"/>
  <c r="AF96" i="14" s="1"/>
  <c r="C96" i="14"/>
  <c r="E95" i="14"/>
  <c r="F95" i="14" s="1"/>
  <c r="G95" i="14" s="1"/>
  <c r="H95" i="14" s="1"/>
  <c r="I95" i="14" s="1"/>
  <c r="J95" i="14" s="1"/>
  <c r="K95" i="14" s="1"/>
  <c r="L95" i="14" s="1"/>
  <c r="M95" i="14" s="1"/>
  <c r="N95" i="14" s="1"/>
  <c r="O95" i="14" s="1"/>
  <c r="P95" i="14" s="1"/>
  <c r="Q95" i="14" s="1"/>
  <c r="R95" i="14" s="1"/>
  <c r="S95" i="14" s="1"/>
  <c r="T95" i="14" s="1"/>
  <c r="U95" i="14" s="1"/>
  <c r="V95" i="14" s="1"/>
  <c r="W95" i="14" s="1"/>
  <c r="X95" i="14" s="1"/>
  <c r="Y95" i="14" s="1"/>
  <c r="Z95" i="14" s="1"/>
  <c r="AA95" i="14" s="1"/>
  <c r="AB95" i="14" s="1"/>
  <c r="AC95" i="14" s="1"/>
  <c r="AD95" i="14" s="1"/>
  <c r="AE95" i="14" s="1"/>
  <c r="AF95" i="14" s="1"/>
  <c r="D95" i="14"/>
  <c r="C95" i="14"/>
  <c r="D94" i="14"/>
  <c r="E94" i="14" s="1"/>
  <c r="C94" i="14"/>
  <c r="Q93" i="14"/>
  <c r="R93" i="14" s="1"/>
  <c r="S93" i="14" s="1"/>
  <c r="T93" i="14" s="1"/>
  <c r="U93" i="14" s="1"/>
  <c r="V93" i="14" s="1"/>
  <c r="W93" i="14" s="1"/>
  <c r="X93" i="14" s="1"/>
  <c r="Y93" i="14" s="1"/>
  <c r="Z93" i="14" s="1"/>
  <c r="AA93" i="14" s="1"/>
  <c r="AB93" i="14" s="1"/>
  <c r="AC93" i="14" s="1"/>
  <c r="AD93" i="14" s="1"/>
  <c r="AE93" i="14" s="1"/>
  <c r="AF93" i="14" s="1"/>
  <c r="C93" i="14"/>
  <c r="D93" i="14" s="1"/>
  <c r="E93" i="14" s="1"/>
  <c r="F93" i="14" s="1"/>
  <c r="G93" i="14" s="1"/>
  <c r="H93" i="14" s="1"/>
  <c r="I93" i="14" s="1"/>
  <c r="J93" i="14" s="1"/>
  <c r="K93" i="14" s="1"/>
  <c r="L93" i="14" s="1"/>
  <c r="M93" i="14" s="1"/>
  <c r="N93" i="14" s="1"/>
  <c r="O93" i="14" s="1"/>
  <c r="P93" i="14" s="1"/>
  <c r="T92" i="14"/>
  <c r="U92" i="14" s="1"/>
  <c r="V92" i="14" s="1"/>
  <c r="W92" i="14" s="1"/>
  <c r="X92" i="14" s="1"/>
  <c r="Y92" i="14" s="1"/>
  <c r="Z92" i="14" s="1"/>
  <c r="AA92" i="14" s="1"/>
  <c r="AB92" i="14" s="1"/>
  <c r="AC92" i="14" s="1"/>
  <c r="AD92" i="14" s="1"/>
  <c r="AE92" i="14" s="1"/>
  <c r="AF92" i="14" s="1"/>
  <c r="H92" i="14"/>
  <c r="I92" i="14" s="1"/>
  <c r="J92" i="14" s="1"/>
  <c r="K92" i="14" s="1"/>
  <c r="L92" i="14" s="1"/>
  <c r="M92" i="14" s="1"/>
  <c r="N92" i="14" s="1"/>
  <c r="O92" i="14" s="1"/>
  <c r="P92" i="14" s="1"/>
  <c r="Q92" i="14" s="1"/>
  <c r="R92" i="14" s="1"/>
  <c r="S92" i="14" s="1"/>
  <c r="C92" i="14"/>
  <c r="D92" i="14" s="1"/>
  <c r="E92" i="14" s="1"/>
  <c r="F92" i="14" s="1"/>
  <c r="G92" i="14" s="1"/>
  <c r="E91" i="14"/>
  <c r="F91" i="14" s="1"/>
  <c r="G91" i="14" s="1"/>
  <c r="H91" i="14" s="1"/>
  <c r="I91" i="14" s="1"/>
  <c r="J91" i="14" s="1"/>
  <c r="K91" i="14" s="1"/>
  <c r="L91" i="14" s="1"/>
  <c r="M91" i="14" s="1"/>
  <c r="N91" i="14" s="1"/>
  <c r="O91" i="14" s="1"/>
  <c r="P91" i="14" s="1"/>
  <c r="Q91" i="14" s="1"/>
  <c r="R91" i="14" s="1"/>
  <c r="S91" i="14" s="1"/>
  <c r="T91" i="14" s="1"/>
  <c r="U91" i="14" s="1"/>
  <c r="V91" i="14" s="1"/>
  <c r="W91" i="14" s="1"/>
  <c r="X91" i="14" s="1"/>
  <c r="Y91" i="14" s="1"/>
  <c r="Z91" i="14" s="1"/>
  <c r="AA91" i="14" s="1"/>
  <c r="AB91" i="14" s="1"/>
  <c r="AC91" i="14" s="1"/>
  <c r="AD91" i="14" s="1"/>
  <c r="AE91" i="14" s="1"/>
  <c r="AF91" i="14" s="1"/>
  <c r="C91" i="14"/>
  <c r="D91" i="14" s="1"/>
  <c r="S90" i="14"/>
  <c r="T90" i="14" s="1"/>
  <c r="U90" i="14" s="1"/>
  <c r="V90" i="14" s="1"/>
  <c r="W90" i="14" s="1"/>
  <c r="X90" i="14" s="1"/>
  <c r="Y90" i="14" s="1"/>
  <c r="Z90" i="14" s="1"/>
  <c r="AA90" i="14" s="1"/>
  <c r="AB90" i="14" s="1"/>
  <c r="AC90" i="14" s="1"/>
  <c r="AD90" i="14" s="1"/>
  <c r="AE90" i="14" s="1"/>
  <c r="AF90" i="14" s="1"/>
  <c r="E90" i="14"/>
  <c r="F90" i="14" s="1"/>
  <c r="G90" i="14" s="1"/>
  <c r="H90" i="14" s="1"/>
  <c r="I90" i="14" s="1"/>
  <c r="J90" i="14" s="1"/>
  <c r="K90" i="14" s="1"/>
  <c r="L90" i="14" s="1"/>
  <c r="M90" i="14" s="1"/>
  <c r="N90" i="14" s="1"/>
  <c r="O90" i="14" s="1"/>
  <c r="P90" i="14" s="1"/>
  <c r="Q90" i="14" s="1"/>
  <c r="R90" i="14" s="1"/>
  <c r="D90" i="14"/>
  <c r="C90" i="14"/>
  <c r="C89" i="14"/>
  <c r="AH86" i="14"/>
  <c r="AI86" i="14" s="1"/>
  <c r="AH85" i="14"/>
  <c r="AI85" i="14" s="1"/>
  <c r="AH84" i="14"/>
  <c r="AI84" i="14" s="1"/>
  <c r="AH83" i="14"/>
  <c r="AI83" i="14" s="1"/>
  <c r="C82" i="14"/>
  <c r="B82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I79" i="14"/>
  <c r="AH79" i="14"/>
  <c r="AI78" i="14"/>
  <c r="AH78" i="14"/>
  <c r="AI77" i="14"/>
  <c r="AH77" i="14"/>
  <c r="AI76" i="14"/>
  <c r="AH76" i="14"/>
  <c r="AI75" i="14"/>
  <c r="AH75" i="14"/>
  <c r="AI74" i="14"/>
  <c r="AH74" i="14"/>
  <c r="AI73" i="14"/>
  <c r="AH73" i="14"/>
  <c r="AI72" i="14"/>
  <c r="AH72" i="14"/>
  <c r="AG71" i="14"/>
  <c r="E71" i="14"/>
  <c r="AI70" i="14"/>
  <c r="AH70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F67" i="14"/>
  <c r="AE67" i="14"/>
  <c r="AD67" i="14"/>
  <c r="AC67" i="14"/>
  <c r="AC71" i="14" s="1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T71" i="14" s="1"/>
  <c r="S66" i="14"/>
  <c r="R66" i="14"/>
  <c r="Q66" i="14"/>
  <c r="Q71" i="14" s="1"/>
  <c r="P66" i="14"/>
  <c r="O66" i="14"/>
  <c r="O71" i="14" s="1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I64" i="14"/>
  <c r="AH64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I62" i="14"/>
  <c r="AH62" i="14"/>
  <c r="AI61" i="14"/>
  <c r="AH61" i="14"/>
  <c r="AI60" i="14"/>
  <c r="AH60" i="14"/>
  <c r="AG59" i="14"/>
  <c r="AF59" i="14"/>
  <c r="AF5" i="14" s="1"/>
  <c r="AE59" i="14"/>
  <c r="AD59" i="14"/>
  <c r="AD5" i="14" s="1"/>
  <c r="AC59" i="14"/>
  <c r="AC5" i="14" s="1"/>
  <c r="AB59" i="14"/>
  <c r="AB5" i="14" s="1"/>
  <c r="AA59" i="14"/>
  <c r="AA5" i="14" s="1"/>
  <c r="Z59" i="14"/>
  <c r="Z5" i="14" s="1"/>
  <c r="Y59" i="14"/>
  <c r="Y5" i="14" s="1"/>
  <c r="X59" i="14"/>
  <c r="X5" i="14" s="1"/>
  <c r="W59" i="14"/>
  <c r="V59" i="14"/>
  <c r="U59" i="14"/>
  <c r="T59" i="14"/>
  <c r="S59" i="14"/>
  <c r="S5" i="14" s="1"/>
  <c r="R59" i="14"/>
  <c r="Q59" i="14"/>
  <c r="Q5" i="14" s="1"/>
  <c r="P59" i="14"/>
  <c r="P5" i="14" s="1"/>
  <c r="O59" i="14"/>
  <c r="O5" i="14" s="1"/>
  <c r="N59" i="14"/>
  <c r="M59" i="14"/>
  <c r="M5" i="14" s="1"/>
  <c r="L59" i="14"/>
  <c r="L5" i="14" s="1"/>
  <c r="K59" i="14"/>
  <c r="J59" i="14"/>
  <c r="J5" i="14" s="1"/>
  <c r="I59" i="14"/>
  <c r="I5" i="14" s="1"/>
  <c r="H59" i="14"/>
  <c r="G59" i="14"/>
  <c r="G5" i="14" s="1"/>
  <c r="F59" i="14"/>
  <c r="E59" i="14"/>
  <c r="D59" i="14"/>
  <c r="C59" i="14"/>
  <c r="B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G47" i="14"/>
  <c r="AG4" i="14" s="1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I46" i="14"/>
  <c r="AH46" i="14"/>
  <c r="AI45" i="14"/>
  <c r="AH45" i="14"/>
  <c r="AI44" i="14"/>
  <c r="AH44" i="14"/>
  <c r="AG43" i="14"/>
  <c r="AG3" i="14" s="1"/>
  <c r="AG6" i="14" s="1"/>
  <c r="AG42" i="14"/>
  <c r="C42" i="14"/>
  <c r="C43" i="14" s="1"/>
  <c r="B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E5" i="14"/>
  <c r="W5" i="14"/>
  <c r="V5" i="14"/>
  <c r="U5" i="14"/>
  <c r="T5" i="14"/>
  <c r="R5" i="14"/>
  <c r="N5" i="14"/>
  <c r="K5" i="14"/>
  <c r="H5" i="14"/>
  <c r="F5" i="14"/>
  <c r="E5" i="14"/>
  <c r="D5" i="14"/>
  <c r="C5" i="14"/>
  <c r="B5" i="14"/>
  <c r="K4" i="14"/>
  <c r="C4" i="14"/>
  <c r="D190" i="14" s="1"/>
  <c r="AG2" i="14"/>
  <c r="M179" i="18"/>
  <c r="M42" i="18" s="1"/>
  <c r="M43" i="18" s="1"/>
  <c r="M65" i="18" s="1"/>
  <c r="B188" i="18" s="1"/>
  <c r="N173" i="18"/>
  <c r="AD193" i="18"/>
  <c r="L7" i="18"/>
  <c r="C188" i="18"/>
  <c r="L171" i="18"/>
  <c r="M89" i="18"/>
  <c r="M214" i="18"/>
  <c r="N178" i="18"/>
  <c r="P94" i="18"/>
  <c r="O82" i="18"/>
  <c r="AF193" i="17"/>
  <c r="N7" i="17"/>
  <c r="P173" i="17"/>
  <c r="O179" i="17"/>
  <c r="O42" i="17" s="1"/>
  <c r="O43" i="17" s="1"/>
  <c r="O65" i="17" s="1"/>
  <c r="O214" i="17"/>
  <c r="P178" i="17"/>
  <c r="N94" i="17"/>
  <c r="M82" i="17"/>
  <c r="M171" i="17"/>
  <c r="N89" i="17"/>
  <c r="U193" i="16"/>
  <c r="C7" i="16"/>
  <c r="W193" i="16"/>
  <c r="E7" i="16"/>
  <c r="F179" i="16"/>
  <c r="F42" i="16" s="1"/>
  <c r="G173" i="16"/>
  <c r="G171" i="16"/>
  <c r="H89" i="16"/>
  <c r="G108" i="16"/>
  <c r="F82" i="16"/>
  <c r="F171" i="16"/>
  <c r="F214" i="16"/>
  <c r="G178" i="16"/>
  <c r="I94" i="16"/>
  <c r="J178" i="15"/>
  <c r="I214" i="15"/>
  <c r="H82" i="15"/>
  <c r="I94" i="15"/>
  <c r="I173" i="15"/>
  <c r="H179" i="15"/>
  <c r="H42" i="15" s="1"/>
  <c r="F171" i="15"/>
  <c r="G89" i="15"/>
  <c r="Y193" i="15"/>
  <c r="G7" i="15"/>
  <c r="AE71" i="14"/>
  <c r="AD71" i="14"/>
  <c r="AB71" i="14"/>
  <c r="AA71" i="14"/>
  <c r="Y71" i="14"/>
  <c r="W71" i="14"/>
  <c r="U71" i="14"/>
  <c r="S71" i="14"/>
  <c r="V71" i="14"/>
  <c r="N71" i="14"/>
  <c r="M71" i="14"/>
  <c r="L71" i="14"/>
  <c r="K71" i="14"/>
  <c r="I71" i="14"/>
  <c r="AH67" i="14"/>
  <c r="G71" i="14"/>
  <c r="F71" i="14"/>
  <c r="AI69" i="14"/>
  <c r="D71" i="14"/>
  <c r="AI68" i="14"/>
  <c r="C71" i="14"/>
  <c r="AI59" i="14"/>
  <c r="AI80" i="14"/>
  <c r="AH68" i="14"/>
  <c r="AI30" i="14"/>
  <c r="AH30" i="14"/>
  <c r="AI47" i="14"/>
  <c r="H71" i="14"/>
  <c r="P71" i="14"/>
  <c r="X71" i="14"/>
  <c r="AF71" i="14"/>
  <c r="AI67" i="14"/>
  <c r="AI66" i="14"/>
  <c r="J71" i="14"/>
  <c r="R71" i="14"/>
  <c r="Z71" i="14"/>
  <c r="AH69" i="14"/>
  <c r="AG65" i="14"/>
  <c r="F94" i="14"/>
  <c r="E82" i="14"/>
  <c r="C65" i="14"/>
  <c r="B43" i="14"/>
  <c r="AH47" i="14"/>
  <c r="AH59" i="14"/>
  <c r="AH63" i="14"/>
  <c r="AI63" i="14"/>
  <c r="D82" i="14"/>
  <c r="C171" i="14"/>
  <c r="D89" i="14"/>
  <c r="B71" i="14"/>
  <c r="AH66" i="14"/>
  <c r="AH80" i="14"/>
  <c r="F214" i="14"/>
  <c r="G178" i="14"/>
  <c r="D179" i="14"/>
  <c r="D42" i="14" s="1"/>
  <c r="D43" i="14" s="1"/>
  <c r="D65" i="14" s="1"/>
  <c r="E179" i="14"/>
  <c r="E42" i="14" s="1"/>
  <c r="E43" i="14" s="1"/>
  <c r="E65" i="14" s="1"/>
  <c r="F173" i="14"/>
  <c r="U49" i="13"/>
  <c r="K6" i="18"/>
  <c r="M171" i="18"/>
  <c r="N89" i="18"/>
  <c r="P82" i="18"/>
  <c r="Q94" i="18"/>
  <c r="N214" i="18"/>
  <c r="O178" i="18"/>
  <c r="O173" i="18"/>
  <c r="N179" i="18"/>
  <c r="N42" i="18" s="1"/>
  <c r="N43" i="18" s="1"/>
  <c r="N65" i="18" s="1"/>
  <c r="AE193" i="18"/>
  <c r="M7" i="18"/>
  <c r="N82" i="17"/>
  <c r="O94" i="17"/>
  <c r="P214" i="17"/>
  <c r="Q178" i="17"/>
  <c r="AG193" i="17"/>
  <c r="O7" i="17"/>
  <c r="P179" i="17"/>
  <c r="P42" i="17" s="1"/>
  <c r="P43" i="17" s="1"/>
  <c r="P65" i="17" s="1"/>
  <c r="Q173" i="17"/>
  <c r="N171" i="17"/>
  <c r="O89" i="17"/>
  <c r="F43" i="16"/>
  <c r="H108" i="16"/>
  <c r="G82" i="16"/>
  <c r="J94" i="16"/>
  <c r="I89" i="16"/>
  <c r="G214" i="16"/>
  <c r="H178" i="16"/>
  <c r="H173" i="16"/>
  <c r="G179" i="16"/>
  <c r="G42" i="16" s="1"/>
  <c r="G43" i="16" s="1"/>
  <c r="G65" i="16" s="1"/>
  <c r="J173" i="15"/>
  <c r="I179" i="15"/>
  <c r="I42" i="15" s="1"/>
  <c r="I43" i="15" s="1"/>
  <c r="I65" i="15" s="1"/>
  <c r="H43" i="15"/>
  <c r="J94" i="15"/>
  <c r="I82" i="15"/>
  <c r="G171" i="15"/>
  <c r="H89" i="15"/>
  <c r="J214" i="15"/>
  <c r="K178" i="15"/>
  <c r="V193" i="14"/>
  <c r="D7" i="14"/>
  <c r="W193" i="14"/>
  <c r="E7" i="14"/>
  <c r="D171" i="14"/>
  <c r="E89" i="14"/>
  <c r="G214" i="14"/>
  <c r="H178" i="14"/>
  <c r="G94" i="14"/>
  <c r="F82" i="14"/>
  <c r="AI71" i="14"/>
  <c r="AH71" i="14"/>
  <c r="B65" i="14"/>
  <c r="F179" i="14"/>
  <c r="F42" i="14" s="1"/>
  <c r="F43" i="14" s="1"/>
  <c r="F65" i="14" s="1"/>
  <c r="G173" i="14"/>
  <c r="U193" i="14"/>
  <c r="C7" i="14"/>
  <c r="J84" i="13"/>
  <c r="J50" i="13"/>
  <c r="I84" i="13"/>
  <c r="H84" i="13"/>
  <c r="H50" i="13"/>
  <c r="G84" i="13"/>
  <c r="G50" i="13"/>
  <c r="G69" i="13"/>
  <c r="AH87" i="13"/>
  <c r="AI87" i="13" s="1"/>
  <c r="B49" i="13"/>
  <c r="AF218" i="13"/>
  <c r="AE218" i="13"/>
  <c r="AD218" i="13"/>
  <c r="AC218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A218" i="13"/>
  <c r="AF217" i="13"/>
  <c r="AE217" i="13"/>
  <c r="AD217" i="13"/>
  <c r="AC217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A217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AF215" i="13"/>
  <c r="AE215" i="13"/>
  <c r="AD215" i="13"/>
  <c r="AC215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A215" i="13"/>
  <c r="B214" i="13"/>
  <c r="S189" i="13"/>
  <c r="AG179" i="13"/>
  <c r="B179" i="13"/>
  <c r="C178" i="13"/>
  <c r="C177" i="13"/>
  <c r="D177" i="13" s="1"/>
  <c r="E177" i="13" s="1"/>
  <c r="F177" i="13" s="1"/>
  <c r="G177" i="13" s="1"/>
  <c r="H177" i="13" s="1"/>
  <c r="I177" i="13" s="1"/>
  <c r="J177" i="13" s="1"/>
  <c r="K177" i="13" s="1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AA176" i="13"/>
  <c r="AB176" i="13" s="1"/>
  <c r="AC176" i="13" s="1"/>
  <c r="AD176" i="13" s="1"/>
  <c r="AE176" i="13" s="1"/>
  <c r="AF176" i="13" s="1"/>
  <c r="D176" i="13"/>
  <c r="E176" i="13" s="1"/>
  <c r="F176" i="13" s="1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C176" i="13"/>
  <c r="E175" i="13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D175" i="13"/>
  <c r="C175" i="13"/>
  <c r="C174" i="13"/>
  <c r="D174" i="13" s="1"/>
  <c r="E174" i="13" s="1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C173" i="13"/>
  <c r="AG171" i="13"/>
  <c r="B171" i="13"/>
  <c r="L170" i="13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C170" i="13"/>
  <c r="D170" i="13" s="1"/>
  <c r="E170" i="13" s="1"/>
  <c r="F170" i="13" s="1"/>
  <c r="G170" i="13" s="1"/>
  <c r="H170" i="13" s="1"/>
  <c r="I170" i="13" s="1"/>
  <c r="J170" i="13" s="1"/>
  <c r="K170" i="13" s="1"/>
  <c r="E169" i="13"/>
  <c r="F169" i="13" s="1"/>
  <c r="G169" i="13" s="1"/>
  <c r="H169" i="13" s="1"/>
  <c r="I169" i="13" s="1"/>
  <c r="J169" i="13" s="1"/>
  <c r="K169" i="13" s="1"/>
  <c r="L169" i="13" s="1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D169" i="13"/>
  <c r="C169" i="13"/>
  <c r="L168" i="13"/>
  <c r="M168" i="13" s="1"/>
  <c r="N168" i="13" s="1"/>
  <c r="O168" i="13" s="1"/>
  <c r="P168" i="13" s="1"/>
  <c r="Q168" i="13" s="1"/>
  <c r="R168" i="13" s="1"/>
  <c r="S168" i="13" s="1"/>
  <c r="T168" i="13" s="1"/>
  <c r="U168" i="13" s="1"/>
  <c r="V168" i="13" s="1"/>
  <c r="W168" i="13" s="1"/>
  <c r="X168" i="13" s="1"/>
  <c r="Y168" i="13" s="1"/>
  <c r="Z168" i="13" s="1"/>
  <c r="AA168" i="13" s="1"/>
  <c r="AB168" i="13" s="1"/>
  <c r="AC168" i="13" s="1"/>
  <c r="AD168" i="13" s="1"/>
  <c r="AE168" i="13" s="1"/>
  <c r="AF168" i="13" s="1"/>
  <c r="C168" i="13"/>
  <c r="D168" i="13" s="1"/>
  <c r="E168" i="13" s="1"/>
  <c r="F168" i="13" s="1"/>
  <c r="G168" i="13" s="1"/>
  <c r="H168" i="13" s="1"/>
  <c r="I168" i="13" s="1"/>
  <c r="J168" i="13" s="1"/>
  <c r="K168" i="13" s="1"/>
  <c r="C167" i="13"/>
  <c r="D167" i="13" s="1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C166" i="13"/>
  <c r="D166" i="13" s="1"/>
  <c r="E166" i="13" s="1"/>
  <c r="F166" i="13" s="1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E165" i="13"/>
  <c r="F165" i="13" s="1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D165" i="13"/>
  <c r="C165" i="13"/>
  <c r="D164" i="13"/>
  <c r="E164" i="13" s="1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C164" i="13"/>
  <c r="L163" i="13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D163" i="13"/>
  <c r="E163" i="13" s="1"/>
  <c r="F163" i="13" s="1"/>
  <c r="G163" i="13" s="1"/>
  <c r="H163" i="13" s="1"/>
  <c r="I163" i="13" s="1"/>
  <c r="J163" i="13" s="1"/>
  <c r="K163" i="13" s="1"/>
  <c r="C163" i="13"/>
  <c r="C162" i="13"/>
  <c r="D162" i="13" s="1"/>
  <c r="E162" i="13" s="1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F161" i="13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D161" i="13"/>
  <c r="E161" i="13" s="1"/>
  <c r="C161" i="13"/>
  <c r="J160" i="13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E160" i="13"/>
  <c r="F160" i="13" s="1"/>
  <c r="G160" i="13" s="1"/>
  <c r="H160" i="13" s="1"/>
  <c r="I160" i="13" s="1"/>
  <c r="C160" i="13"/>
  <c r="D160" i="13" s="1"/>
  <c r="H159" i="13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C159" i="13"/>
  <c r="D159" i="13" s="1"/>
  <c r="E159" i="13" s="1"/>
  <c r="F159" i="13" s="1"/>
  <c r="G159" i="13" s="1"/>
  <c r="S158" i="13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F158" i="13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D158" i="13"/>
  <c r="E158" i="13" s="1"/>
  <c r="C158" i="13"/>
  <c r="E157" i="13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C157" i="13"/>
  <c r="D157" i="13" s="1"/>
  <c r="G156" i="13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C156" i="13"/>
  <c r="D156" i="13" s="1"/>
  <c r="E156" i="13" s="1"/>
  <c r="F156" i="13" s="1"/>
  <c r="U155" i="13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E155" i="13"/>
  <c r="F155" i="13" s="1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D155" i="13"/>
  <c r="C155" i="13"/>
  <c r="C154" i="13"/>
  <c r="D154" i="13" s="1"/>
  <c r="E154" i="13" s="1"/>
  <c r="F154" i="13" s="1"/>
  <c r="G154" i="13" s="1"/>
  <c r="H154" i="13" s="1"/>
  <c r="I154" i="13" s="1"/>
  <c r="J154" i="13" s="1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R153" i="13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I153" i="13"/>
  <c r="J153" i="13" s="1"/>
  <c r="K153" i="13" s="1"/>
  <c r="L153" i="13" s="1"/>
  <c r="M153" i="13" s="1"/>
  <c r="N153" i="13" s="1"/>
  <c r="O153" i="13" s="1"/>
  <c r="P153" i="13" s="1"/>
  <c r="Q153" i="13" s="1"/>
  <c r="E153" i="13"/>
  <c r="F153" i="13" s="1"/>
  <c r="G153" i="13" s="1"/>
  <c r="H153" i="13" s="1"/>
  <c r="C153" i="13"/>
  <c r="D153" i="13" s="1"/>
  <c r="H152" i="13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G152" i="13"/>
  <c r="C152" i="13"/>
  <c r="D152" i="13" s="1"/>
  <c r="E152" i="13" s="1"/>
  <c r="F152" i="13" s="1"/>
  <c r="E151" i="13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D151" i="13"/>
  <c r="C151" i="13"/>
  <c r="T150" i="13"/>
  <c r="U150" i="13" s="1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L150" i="13"/>
  <c r="M150" i="13" s="1"/>
  <c r="N150" i="13" s="1"/>
  <c r="O150" i="13" s="1"/>
  <c r="P150" i="13" s="1"/>
  <c r="Q150" i="13" s="1"/>
  <c r="R150" i="13" s="1"/>
  <c r="S150" i="13" s="1"/>
  <c r="E150" i="13"/>
  <c r="F150" i="13" s="1"/>
  <c r="G150" i="13" s="1"/>
  <c r="H150" i="13" s="1"/>
  <c r="I150" i="13" s="1"/>
  <c r="J150" i="13" s="1"/>
  <c r="K150" i="13" s="1"/>
  <c r="D150" i="13"/>
  <c r="C150" i="13"/>
  <c r="J149" i="13"/>
  <c r="K149" i="13" s="1"/>
  <c r="L149" i="13" s="1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D149" i="13"/>
  <c r="E149" i="13" s="1"/>
  <c r="F149" i="13" s="1"/>
  <c r="G149" i="13" s="1"/>
  <c r="H149" i="13" s="1"/>
  <c r="I149" i="13" s="1"/>
  <c r="C149" i="13"/>
  <c r="G148" i="13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C148" i="13"/>
  <c r="D148" i="13" s="1"/>
  <c r="E148" i="13" s="1"/>
  <c r="F148" i="13" s="1"/>
  <c r="E147" i="13"/>
  <c r="F147" i="13" s="1"/>
  <c r="G147" i="13" s="1"/>
  <c r="H147" i="13" s="1"/>
  <c r="I147" i="13" s="1"/>
  <c r="J147" i="13" s="1"/>
  <c r="K147" i="13" s="1"/>
  <c r="L147" i="13" s="1"/>
  <c r="M147" i="13" s="1"/>
  <c r="N147" i="13" s="1"/>
  <c r="O147" i="13" s="1"/>
  <c r="P147" i="13" s="1"/>
  <c r="Q147" i="13" s="1"/>
  <c r="R147" i="13" s="1"/>
  <c r="S147" i="13" s="1"/>
  <c r="T147" i="13" s="1"/>
  <c r="U147" i="13" s="1"/>
  <c r="V147" i="13" s="1"/>
  <c r="W147" i="13" s="1"/>
  <c r="X147" i="13" s="1"/>
  <c r="Y147" i="13" s="1"/>
  <c r="Z147" i="13" s="1"/>
  <c r="AA147" i="13" s="1"/>
  <c r="AB147" i="13" s="1"/>
  <c r="AC147" i="13" s="1"/>
  <c r="AD147" i="13" s="1"/>
  <c r="AE147" i="13" s="1"/>
  <c r="AF147" i="13" s="1"/>
  <c r="D147" i="13"/>
  <c r="C147" i="13"/>
  <c r="J146" i="13"/>
  <c r="K146" i="13" s="1"/>
  <c r="L146" i="13" s="1"/>
  <c r="M146" i="13" s="1"/>
  <c r="N146" i="13" s="1"/>
  <c r="O146" i="13" s="1"/>
  <c r="P146" i="13" s="1"/>
  <c r="Q146" i="13" s="1"/>
  <c r="R146" i="13" s="1"/>
  <c r="S146" i="13" s="1"/>
  <c r="T146" i="13" s="1"/>
  <c r="U146" i="13" s="1"/>
  <c r="V146" i="13" s="1"/>
  <c r="W146" i="13" s="1"/>
  <c r="X146" i="13" s="1"/>
  <c r="Y146" i="13" s="1"/>
  <c r="Z146" i="13" s="1"/>
  <c r="AA146" i="13" s="1"/>
  <c r="AB146" i="13" s="1"/>
  <c r="AC146" i="13" s="1"/>
  <c r="AD146" i="13" s="1"/>
  <c r="AE146" i="13" s="1"/>
  <c r="AF146" i="13" s="1"/>
  <c r="F146" i="13"/>
  <c r="G146" i="13" s="1"/>
  <c r="H146" i="13" s="1"/>
  <c r="I146" i="13" s="1"/>
  <c r="C146" i="13"/>
  <c r="D146" i="13" s="1"/>
  <c r="E146" i="13" s="1"/>
  <c r="L145" i="13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H145" i="13"/>
  <c r="I145" i="13" s="1"/>
  <c r="J145" i="13" s="1"/>
  <c r="K145" i="13" s="1"/>
  <c r="D145" i="13"/>
  <c r="E145" i="13" s="1"/>
  <c r="F145" i="13" s="1"/>
  <c r="G145" i="13" s="1"/>
  <c r="C145" i="13"/>
  <c r="C144" i="13"/>
  <c r="D144" i="13" s="1"/>
  <c r="E144" i="13" s="1"/>
  <c r="F144" i="13" s="1"/>
  <c r="G144" i="13" s="1"/>
  <c r="H144" i="13" s="1"/>
  <c r="I144" i="13" s="1"/>
  <c r="J144" i="13" s="1"/>
  <c r="K144" i="13" s="1"/>
  <c r="L144" i="13" s="1"/>
  <c r="M144" i="13" s="1"/>
  <c r="N144" i="13" s="1"/>
  <c r="O144" i="13" s="1"/>
  <c r="P144" i="13" s="1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P143" i="13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D143" i="13"/>
  <c r="E143" i="13" s="1"/>
  <c r="F143" i="13" s="1"/>
  <c r="G143" i="13" s="1"/>
  <c r="H143" i="13" s="1"/>
  <c r="I143" i="13" s="1"/>
  <c r="J143" i="13" s="1"/>
  <c r="K143" i="13" s="1"/>
  <c r="L143" i="13" s="1"/>
  <c r="M143" i="13" s="1"/>
  <c r="N143" i="13" s="1"/>
  <c r="O143" i="13" s="1"/>
  <c r="C143" i="13"/>
  <c r="F142" i="13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E142" i="13"/>
  <c r="D142" i="13"/>
  <c r="C142" i="13"/>
  <c r="AB141" i="13"/>
  <c r="AC141" i="13" s="1"/>
  <c r="AD141" i="13" s="1"/>
  <c r="AE141" i="13" s="1"/>
  <c r="AF141" i="13" s="1"/>
  <c r="D141" i="13"/>
  <c r="E141" i="13" s="1"/>
  <c r="F141" i="13" s="1"/>
  <c r="G141" i="13" s="1"/>
  <c r="H141" i="13" s="1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C141" i="13"/>
  <c r="F140" i="13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C140" i="13"/>
  <c r="D140" i="13" s="1"/>
  <c r="E140" i="13" s="1"/>
  <c r="I139" i="13"/>
  <c r="J139" i="13" s="1"/>
  <c r="K139" i="13" s="1"/>
  <c r="L139" i="13" s="1"/>
  <c r="M139" i="13" s="1"/>
  <c r="N139" i="13" s="1"/>
  <c r="O139" i="13" s="1"/>
  <c r="P139" i="13" s="1"/>
  <c r="Q139" i="13" s="1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H139" i="13"/>
  <c r="D139" i="13"/>
  <c r="E139" i="13" s="1"/>
  <c r="F139" i="13" s="1"/>
  <c r="G139" i="13" s="1"/>
  <c r="C139" i="13"/>
  <c r="F138" i="13"/>
  <c r="G138" i="13" s="1"/>
  <c r="H138" i="13" s="1"/>
  <c r="I138" i="13" s="1"/>
  <c r="J138" i="13" s="1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AB138" i="13" s="1"/>
  <c r="AC138" i="13" s="1"/>
  <c r="AD138" i="13" s="1"/>
  <c r="AE138" i="13" s="1"/>
  <c r="AF138" i="13" s="1"/>
  <c r="C138" i="13"/>
  <c r="D138" i="13" s="1"/>
  <c r="E138" i="13" s="1"/>
  <c r="L137" i="13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D137" i="13"/>
  <c r="E137" i="13" s="1"/>
  <c r="F137" i="13" s="1"/>
  <c r="G137" i="13" s="1"/>
  <c r="H137" i="13" s="1"/>
  <c r="I137" i="13" s="1"/>
  <c r="J137" i="13" s="1"/>
  <c r="K137" i="13" s="1"/>
  <c r="C137" i="13"/>
  <c r="V136" i="13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F136" i="13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C136" i="13"/>
  <c r="D136" i="13" s="1"/>
  <c r="E136" i="13" s="1"/>
  <c r="I135" i="13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H135" i="13"/>
  <c r="D135" i="13"/>
  <c r="E135" i="13" s="1"/>
  <c r="F135" i="13" s="1"/>
  <c r="G135" i="13" s="1"/>
  <c r="C135" i="13"/>
  <c r="C134" i="13"/>
  <c r="D134" i="13" s="1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E133" i="13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D133" i="13"/>
  <c r="C133" i="13"/>
  <c r="C132" i="13"/>
  <c r="D132" i="13" s="1"/>
  <c r="E132" i="13" s="1"/>
  <c r="F132" i="13" s="1"/>
  <c r="G132" i="13" s="1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D131" i="13"/>
  <c r="E131" i="13" s="1"/>
  <c r="F131" i="13" s="1"/>
  <c r="G131" i="13" s="1"/>
  <c r="H131" i="13" s="1"/>
  <c r="I131" i="13" s="1"/>
  <c r="J131" i="13" s="1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C131" i="13"/>
  <c r="R130" i="13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F130" i="13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Q130" i="13" s="1"/>
  <c r="E130" i="13"/>
  <c r="C130" i="13"/>
  <c r="D130" i="13" s="1"/>
  <c r="K129" i="13"/>
  <c r="L129" i="13" s="1"/>
  <c r="M129" i="13" s="1"/>
  <c r="N129" i="13" s="1"/>
  <c r="O129" i="13" s="1"/>
  <c r="P129" i="13" s="1"/>
  <c r="Q129" i="13" s="1"/>
  <c r="R129" i="13" s="1"/>
  <c r="S129" i="13" s="1"/>
  <c r="T129" i="13" s="1"/>
  <c r="U129" i="13" s="1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E129" i="13"/>
  <c r="F129" i="13" s="1"/>
  <c r="G129" i="13" s="1"/>
  <c r="H129" i="13" s="1"/>
  <c r="I129" i="13" s="1"/>
  <c r="J129" i="13" s="1"/>
  <c r="D129" i="13"/>
  <c r="C129" i="13"/>
  <c r="I128" i="13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D128" i="13"/>
  <c r="E128" i="13" s="1"/>
  <c r="F128" i="13" s="1"/>
  <c r="G128" i="13" s="1"/>
  <c r="H128" i="13" s="1"/>
  <c r="C128" i="13"/>
  <c r="D127" i="13"/>
  <c r="E127" i="13" s="1"/>
  <c r="F127" i="13" s="1"/>
  <c r="G127" i="13" s="1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C127" i="13"/>
  <c r="H126" i="13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D126" i="13"/>
  <c r="E126" i="13" s="1"/>
  <c r="F126" i="13" s="1"/>
  <c r="G126" i="13" s="1"/>
  <c r="C126" i="13"/>
  <c r="C125" i="13"/>
  <c r="D125" i="13" s="1"/>
  <c r="E125" i="13" s="1"/>
  <c r="F125" i="13" s="1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D124" i="13"/>
  <c r="E124" i="13" s="1"/>
  <c r="F124" i="13" s="1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C124" i="13"/>
  <c r="D123" i="13"/>
  <c r="E123" i="13" s="1"/>
  <c r="F123" i="13" s="1"/>
  <c r="G123" i="13" s="1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C123" i="13"/>
  <c r="T122" i="13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H122" i="13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D122" i="13"/>
  <c r="E122" i="13" s="1"/>
  <c r="F122" i="13" s="1"/>
  <c r="G122" i="13" s="1"/>
  <c r="C122" i="13"/>
  <c r="J121" i="13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F121" i="13"/>
  <c r="G121" i="13" s="1"/>
  <c r="H121" i="13" s="1"/>
  <c r="I121" i="13" s="1"/>
  <c r="C121" i="13"/>
  <c r="D121" i="13" s="1"/>
  <c r="E121" i="13" s="1"/>
  <c r="X120" i="13"/>
  <c r="Y120" i="13" s="1"/>
  <c r="Z120" i="13" s="1"/>
  <c r="AA120" i="13" s="1"/>
  <c r="AB120" i="13" s="1"/>
  <c r="AC120" i="13" s="1"/>
  <c r="AD120" i="13" s="1"/>
  <c r="AE120" i="13" s="1"/>
  <c r="AF120" i="13" s="1"/>
  <c r="L120" i="13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H120" i="13"/>
  <c r="I120" i="13" s="1"/>
  <c r="J120" i="13" s="1"/>
  <c r="K120" i="13" s="1"/>
  <c r="D120" i="13"/>
  <c r="E120" i="13" s="1"/>
  <c r="F120" i="13" s="1"/>
  <c r="G120" i="13" s="1"/>
  <c r="C120" i="13"/>
  <c r="D119" i="13"/>
  <c r="E119" i="13" s="1"/>
  <c r="F119" i="13" s="1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C119" i="13"/>
  <c r="D118" i="13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C118" i="13"/>
  <c r="D117" i="13"/>
  <c r="E117" i="13" s="1"/>
  <c r="F117" i="13" s="1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C117" i="13"/>
  <c r="H116" i="13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D116" i="13"/>
  <c r="E116" i="13" s="1"/>
  <c r="F116" i="13" s="1"/>
  <c r="G116" i="13" s="1"/>
  <c r="C116" i="13"/>
  <c r="L115" i="13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J115" i="13"/>
  <c r="K115" i="13" s="1"/>
  <c r="D115" i="13"/>
  <c r="E115" i="13" s="1"/>
  <c r="F115" i="13" s="1"/>
  <c r="G115" i="13" s="1"/>
  <c r="H115" i="13" s="1"/>
  <c r="I115" i="13" s="1"/>
  <c r="C115" i="13"/>
  <c r="C114" i="13"/>
  <c r="D114" i="13" s="1"/>
  <c r="E114" i="13" s="1"/>
  <c r="F114" i="13" s="1"/>
  <c r="G114" i="13" s="1"/>
  <c r="H114" i="13" s="1"/>
  <c r="I114" i="13" s="1"/>
  <c r="J114" i="13" s="1"/>
  <c r="K114" i="13" s="1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C113" i="13"/>
  <c r="D113" i="13" s="1"/>
  <c r="E113" i="13" s="1"/>
  <c r="F113" i="13" s="1"/>
  <c r="G113" i="13" s="1"/>
  <c r="H113" i="13" s="1"/>
  <c r="I113" i="13" s="1"/>
  <c r="J113" i="13" s="1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C112" i="13"/>
  <c r="D112" i="13" s="1"/>
  <c r="E112" i="13" s="1"/>
  <c r="F112" i="13" s="1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E111" i="13"/>
  <c r="F111" i="13" s="1"/>
  <c r="G111" i="13" s="1"/>
  <c r="H111" i="13" s="1"/>
  <c r="I111" i="13" s="1"/>
  <c r="J111" i="13" s="1"/>
  <c r="K111" i="13" s="1"/>
  <c r="L111" i="13" s="1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D111" i="13"/>
  <c r="C111" i="13"/>
  <c r="C110" i="13"/>
  <c r="D110" i="13" s="1"/>
  <c r="E110" i="13" s="1"/>
  <c r="F110" i="13" s="1"/>
  <c r="G110" i="13" s="1"/>
  <c r="H110" i="13" s="1"/>
  <c r="I110" i="13" s="1"/>
  <c r="J110" i="13" s="1"/>
  <c r="K110" i="13" s="1"/>
  <c r="L110" i="13" s="1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X110" i="13" s="1"/>
  <c r="Y110" i="13" s="1"/>
  <c r="Z110" i="13" s="1"/>
  <c r="AA110" i="13" s="1"/>
  <c r="AB110" i="13" s="1"/>
  <c r="AC110" i="13" s="1"/>
  <c r="AD110" i="13" s="1"/>
  <c r="AE110" i="13" s="1"/>
  <c r="AF110" i="13" s="1"/>
  <c r="C109" i="13"/>
  <c r="D109" i="13" s="1"/>
  <c r="E109" i="13" s="1"/>
  <c r="F109" i="13" s="1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C108" i="13"/>
  <c r="D108" i="13" s="1"/>
  <c r="E107" i="13"/>
  <c r="F107" i="13" s="1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D107" i="13"/>
  <c r="C107" i="13"/>
  <c r="C106" i="13"/>
  <c r="D106" i="13" s="1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F105" i="13"/>
  <c r="G105" i="13" s="1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E105" i="13"/>
  <c r="D105" i="13"/>
  <c r="C105" i="13"/>
  <c r="D104" i="13"/>
  <c r="E104" i="13" s="1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C104" i="13"/>
  <c r="I103" i="13"/>
  <c r="J103" i="13" s="1"/>
  <c r="K103" i="13" s="1"/>
  <c r="L103" i="13" s="1"/>
  <c r="M103" i="13" s="1"/>
  <c r="N103" i="13" s="1"/>
  <c r="O103" i="13" s="1"/>
  <c r="P103" i="13" s="1"/>
  <c r="Q103" i="13" s="1"/>
  <c r="R103" i="13" s="1"/>
  <c r="S103" i="13" s="1"/>
  <c r="T103" i="13" s="1"/>
  <c r="U103" i="13" s="1"/>
  <c r="V103" i="13" s="1"/>
  <c r="W103" i="13" s="1"/>
  <c r="X103" i="13" s="1"/>
  <c r="Y103" i="13" s="1"/>
  <c r="Z103" i="13" s="1"/>
  <c r="AA103" i="13" s="1"/>
  <c r="AB103" i="13" s="1"/>
  <c r="AC103" i="13" s="1"/>
  <c r="AD103" i="13" s="1"/>
  <c r="AE103" i="13" s="1"/>
  <c r="AF103" i="13" s="1"/>
  <c r="E103" i="13"/>
  <c r="F103" i="13" s="1"/>
  <c r="G103" i="13" s="1"/>
  <c r="H103" i="13" s="1"/>
  <c r="D103" i="13"/>
  <c r="C103" i="13"/>
  <c r="G102" i="13"/>
  <c r="H102" i="13" s="1"/>
  <c r="I102" i="13" s="1"/>
  <c r="J102" i="13" s="1"/>
  <c r="K102" i="13" s="1"/>
  <c r="L102" i="13" s="1"/>
  <c r="M102" i="13" s="1"/>
  <c r="N102" i="13" s="1"/>
  <c r="O102" i="13" s="1"/>
  <c r="P102" i="13" s="1"/>
  <c r="Q102" i="13" s="1"/>
  <c r="R102" i="13" s="1"/>
  <c r="S102" i="13" s="1"/>
  <c r="T102" i="13" s="1"/>
  <c r="U102" i="13" s="1"/>
  <c r="V102" i="13" s="1"/>
  <c r="W102" i="13" s="1"/>
  <c r="X102" i="13" s="1"/>
  <c r="Y102" i="13" s="1"/>
  <c r="Z102" i="13" s="1"/>
  <c r="AA102" i="13" s="1"/>
  <c r="AB102" i="13" s="1"/>
  <c r="AC102" i="13" s="1"/>
  <c r="AD102" i="13" s="1"/>
  <c r="AE102" i="13" s="1"/>
  <c r="AF102" i="13" s="1"/>
  <c r="C102" i="13"/>
  <c r="D102" i="13" s="1"/>
  <c r="E102" i="13" s="1"/>
  <c r="F102" i="13" s="1"/>
  <c r="E101" i="13"/>
  <c r="F101" i="13" s="1"/>
  <c r="G101" i="13" s="1"/>
  <c r="H101" i="13" s="1"/>
  <c r="I101" i="13" s="1"/>
  <c r="J101" i="13" s="1"/>
  <c r="K101" i="13" s="1"/>
  <c r="L101" i="13" s="1"/>
  <c r="M101" i="13" s="1"/>
  <c r="N101" i="13" s="1"/>
  <c r="O101" i="13" s="1"/>
  <c r="P101" i="13" s="1"/>
  <c r="Q101" i="13" s="1"/>
  <c r="R101" i="13" s="1"/>
  <c r="S101" i="13" s="1"/>
  <c r="T101" i="13" s="1"/>
  <c r="U101" i="13" s="1"/>
  <c r="V101" i="13" s="1"/>
  <c r="W101" i="13" s="1"/>
  <c r="X101" i="13" s="1"/>
  <c r="Y101" i="13" s="1"/>
  <c r="Z101" i="13" s="1"/>
  <c r="AA101" i="13" s="1"/>
  <c r="AB101" i="13" s="1"/>
  <c r="AC101" i="13" s="1"/>
  <c r="AD101" i="13" s="1"/>
  <c r="AE101" i="13" s="1"/>
  <c r="AF101" i="13" s="1"/>
  <c r="D101" i="13"/>
  <c r="C101" i="13"/>
  <c r="C100" i="13"/>
  <c r="D100" i="13" s="1"/>
  <c r="E100" i="13" s="1"/>
  <c r="F100" i="13" s="1"/>
  <c r="G100" i="13" s="1"/>
  <c r="H100" i="13" s="1"/>
  <c r="I100" i="13" s="1"/>
  <c r="J100" i="13" s="1"/>
  <c r="K100" i="13" s="1"/>
  <c r="L100" i="13" s="1"/>
  <c r="M100" i="13" s="1"/>
  <c r="N100" i="13" s="1"/>
  <c r="O100" i="13" s="1"/>
  <c r="P100" i="13" s="1"/>
  <c r="Q100" i="13" s="1"/>
  <c r="R100" i="13" s="1"/>
  <c r="S100" i="13" s="1"/>
  <c r="T100" i="13" s="1"/>
  <c r="U100" i="13" s="1"/>
  <c r="V100" i="13" s="1"/>
  <c r="W100" i="13" s="1"/>
  <c r="X100" i="13" s="1"/>
  <c r="Y100" i="13" s="1"/>
  <c r="Z100" i="13" s="1"/>
  <c r="AA100" i="13" s="1"/>
  <c r="AB100" i="13" s="1"/>
  <c r="AC100" i="13" s="1"/>
  <c r="AD100" i="13" s="1"/>
  <c r="AE100" i="13" s="1"/>
  <c r="AF100" i="13" s="1"/>
  <c r="J99" i="13"/>
  <c r="K99" i="13" s="1"/>
  <c r="L99" i="13" s="1"/>
  <c r="M99" i="13" s="1"/>
  <c r="N99" i="13" s="1"/>
  <c r="O99" i="13" s="1"/>
  <c r="P99" i="13" s="1"/>
  <c r="Q99" i="13" s="1"/>
  <c r="R99" i="13" s="1"/>
  <c r="S99" i="13" s="1"/>
  <c r="T99" i="13" s="1"/>
  <c r="U99" i="13" s="1"/>
  <c r="V99" i="13" s="1"/>
  <c r="W99" i="13" s="1"/>
  <c r="X99" i="13" s="1"/>
  <c r="Y99" i="13" s="1"/>
  <c r="Z99" i="13" s="1"/>
  <c r="AA99" i="13" s="1"/>
  <c r="AB99" i="13" s="1"/>
  <c r="AC99" i="13" s="1"/>
  <c r="AD99" i="13" s="1"/>
  <c r="AE99" i="13" s="1"/>
  <c r="AF99" i="13" s="1"/>
  <c r="D99" i="13"/>
  <c r="E99" i="13" s="1"/>
  <c r="F99" i="13" s="1"/>
  <c r="G99" i="13" s="1"/>
  <c r="H99" i="13" s="1"/>
  <c r="C99" i="13"/>
  <c r="F98" i="13"/>
  <c r="G98" i="13" s="1"/>
  <c r="H98" i="13" s="1"/>
  <c r="I98" i="13" s="1"/>
  <c r="J98" i="13" s="1"/>
  <c r="K98" i="13" s="1"/>
  <c r="L98" i="13" s="1"/>
  <c r="M98" i="13" s="1"/>
  <c r="N98" i="13" s="1"/>
  <c r="O98" i="13" s="1"/>
  <c r="P98" i="13" s="1"/>
  <c r="Q98" i="13" s="1"/>
  <c r="R98" i="13" s="1"/>
  <c r="S98" i="13" s="1"/>
  <c r="T98" i="13" s="1"/>
  <c r="U98" i="13" s="1"/>
  <c r="V98" i="13" s="1"/>
  <c r="W98" i="13" s="1"/>
  <c r="X98" i="13" s="1"/>
  <c r="Y98" i="13" s="1"/>
  <c r="Z98" i="13" s="1"/>
  <c r="AA98" i="13" s="1"/>
  <c r="AB98" i="13" s="1"/>
  <c r="AC98" i="13" s="1"/>
  <c r="AD98" i="13" s="1"/>
  <c r="AE98" i="13" s="1"/>
  <c r="AF98" i="13" s="1"/>
  <c r="E98" i="13"/>
  <c r="D98" i="13"/>
  <c r="C98" i="13"/>
  <c r="D97" i="13"/>
  <c r="E97" i="13" s="1"/>
  <c r="F97" i="13" s="1"/>
  <c r="G97" i="13" s="1"/>
  <c r="H97" i="13" s="1"/>
  <c r="I97" i="13" s="1"/>
  <c r="J97" i="13" s="1"/>
  <c r="K97" i="13" s="1"/>
  <c r="L97" i="13" s="1"/>
  <c r="M97" i="13" s="1"/>
  <c r="N97" i="13" s="1"/>
  <c r="O97" i="13" s="1"/>
  <c r="P97" i="13" s="1"/>
  <c r="Q97" i="13" s="1"/>
  <c r="R97" i="13" s="1"/>
  <c r="S97" i="13" s="1"/>
  <c r="T97" i="13" s="1"/>
  <c r="U97" i="13" s="1"/>
  <c r="V97" i="13" s="1"/>
  <c r="W97" i="13" s="1"/>
  <c r="X97" i="13" s="1"/>
  <c r="Y97" i="13" s="1"/>
  <c r="Z97" i="13" s="1"/>
  <c r="AA97" i="13" s="1"/>
  <c r="AB97" i="13" s="1"/>
  <c r="AC97" i="13" s="1"/>
  <c r="AD97" i="13" s="1"/>
  <c r="AE97" i="13" s="1"/>
  <c r="AF97" i="13" s="1"/>
  <c r="C97" i="13"/>
  <c r="F96" i="13"/>
  <c r="G96" i="13" s="1"/>
  <c r="H96" i="13" s="1"/>
  <c r="I96" i="13" s="1"/>
  <c r="J96" i="13" s="1"/>
  <c r="K96" i="13" s="1"/>
  <c r="L96" i="13" s="1"/>
  <c r="M96" i="13" s="1"/>
  <c r="N96" i="13" s="1"/>
  <c r="O96" i="13" s="1"/>
  <c r="P96" i="13" s="1"/>
  <c r="Q96" i="13" s="1"/>
  <c r="R96" i="13" s="1"/>
  <c r="S96" i="13" s="1"/>
  <c r="T96" i="13" s="1"/>
  <c r="U96" i="13" s="1"/>
  <c r="V96" i="13" s="1"/>
  <c r="W96" i="13" s="1"/>
  <c r="X96" i="13" s="1"/>
  <c r="Y96" i="13" s="1"/>
  <c r="Z96" i="13" s="1"/>
  <c r="AA96" i="13" s="1"/>
  <c r="AB96" i="13" s="1"/>
  <c r="AC96" i="13" s="1"/>
  <c r="AD96" i="13" s="1"/>
  <c r="AE96" i="13" s="1"/>
  <c r="AF96" i="13" s="1"/>
  <c r="C96" i="13"/>
  <c r="D96" i="13" s="1"/>
  <c r="E96" i="13" s="1"/>
  <c r="H95" i="13"/>
  <c r="I95" i="13" s="1"/>
  <c r="J95" i="13" s="1"/>
  <c r="K95" i="13" s="1"/>
  <c r="L95" i="13" s="1"/>
  <c r="M95" i="13" s="1"/>
  <c r="N95" i="13" s="1"/>
  <c r="O95" i="13" s="1"/>
  <c r="P95" i="13" s="1"/>
  <c r="Q95" i="13" s="1"/>
  <c r="R95" i="13" s="1"/>
  <c r="S95" i="13" s="1"/>
  <c r="T95" i="13" s="1"/>
  <c r="U95" i="13" s="1"/>
  <c r="V95" i="13" s="1"/>
  <c r="W95" i="13" s="1"/>
  <c r="X95" i="13" s="1"/>
  <c r="Y95" i="13" s="1"/>
  <c r="Z95" i="13" s="1"/>
  <c r="AA95" i="13" s="1"/>
  <c r="AB95" i="13" s="1"/>
  <c r="AC95" i="13" s="1"/>
  <c r="AD95" i="13" s="1"/>
  <c r="AE95" i="13" s="1"/>
  <c r="AF95" i="13" s="1"/>
  <c r="D95" i="13"/>
  <c r="E95" i="13" s="1"/>
  <c r="F95" i="13" s="1"/>
  <c r="G95" i="13" s="1"/>
  <c r="C95" i="13"/>
  <c r="E94" i="13"/>
  <c r="C94" i="13"/>
  <c r="D94" i="13" s="1"/>
  <c r="D93" i="13"/>
  <c r="E93" i="13" s="1"/>
  <c r="F93" i="13" s="1"/>
  <c r="G93" i="13" s="1"/>
  <c r="H93" i="13" s="1"/>
  <c r="I93" i="13" s="1"/>
  <c r="J93" i="13" s="1"/>
  <c r="K93" i="13" s="1"/>
  <c r="L93" i="13" s="1"/>
  <c r="M93" i="13" s="1"/>
  <c r="N93" i="13" s="1"/>
  <c r="O93" i="13" s="1"/>
  <c r="P93" i="13" s="1"/>
  <c r="Q93" i="13" s="1"/>
  <c r="R93" i="13" s="1"/>
  <c r="S93" i="13" s="1"/>
  <c r="T93" i="13" s="1"/>
  <c r="U93" i="13" s="1"/>
  <c r="V93" i="13" s="1"/>
  <c r="W93" i="13" s="1"/>
  <c r="X93" i="13" s="1"/>
  <c r="Y93" i="13" s="1"/>
  <c r="Z93" i="13" s="1"/>
  <c r="AA93" i="13" s="1"/>
  <c r="AB93" i="13" s="1"/>
  <c r="AC93" i="13" s="1"/>
  <c r="AD93" i="13" s="1"/>
  <c r="AE93" i="13" s="1"/>
  <c r="AF93" i="13" s="1"/>
  <c r="C93" i="13"/>
  <c r="C92" i="13"/>
  <c r="D92" i="13" s="1"/>
  <c r="E92" i="13" s="1"/>
  <c r="F92" i="13" s="1"/>
  <c r="G92" i="13" s="1"/>
  <c r="H92" i="13" s="1"/>
  <c r="I92" i="13" s="1"/>
  <c r="J92" i="13" s="1"/>
  <c r="K92" i="13" s="1"/>
  <c r="L92" i="13" s="1"/>
  <c r="M92" i="13" s="1"/>
  <c r="N92" i="13" s="1"/>
  <c r="O92" i="13" s="1"/>
  <c r="P92" i="13" s="1"/>
  <c r="Q92" i="13" s="1"/>
  <c r="R92" i="13" s="1"/>
  <c r="S92" i="13" s="1"/>
  <c r="T92" i="13" s="1"/>
  <c r="U92" i="13" s="1"/>
  <c r="V92" i="13" s="1"/>
  <c r="W92" i="13" s="1"/>
  <c r="X92" i="13" s="1"/>
  <c r="Y92" i="13" s="1"/>
  <c r="Z92" i="13" s="1"/>
  <c r="AA92" i="13" s="1"/>
  <c r="AB92" i="13" s="1"/>
  <c r="AC92" i="13" s="1"/>
  <c r="AD92" i="13" s="1"/>
  <c r="AE92" i="13" s="1"/>
  <c r="AF92" i="13" s="1"/>
  <c r="C91" i="13"/>
  <c r="D91" i="13" s="1"/>
  <c r="E91" i="13" s="1"/>
  <c r="F91" i="13" s="1"/>
  <c r="G91" i="13" s="1"/>
  <c r="H91" i="13" s="1"/>
  <c r="I91" i="13" s="1"/>
  <c r="J91" i="13" s="1"/>
  <c r="K91" i="13" s="1"/>
  <c r="L91" i="13" s="1"/>
  <c r="M91" i="13" s="1"/>
  <c r="N91" i="13" s="1"/>
  <c r="O91" i="13" s="1"/>
  <c r="P91" i="13" s="1"/>
  <c r="Q91" i="13" s="1"/>
  <c r="R91" i="13" s="1"/>
  <c r="S91" i="13" s="1"/>
  <c r="T91" i="13" s="1"/>
  <c r="U91" i="13" s="1"/>
  <c r="V91" i="13" s="1"/>
  <c r="W91" i="13" s="1"/>
  <c r="X91" i="13" s="1"/>
  <c r="Y91" i="13" s="1"/>
  <c r="Z91" i="13" s="1"/>
  <c r="AA91" i="13" s="1"/>
  <c r="AB91" i="13" s="1"/>
  <c r="AC91" i="13" s="1"/>
  <c r="AD91" i="13" s="1"/>
  <c r="AE91" i="13" s="1"/>
  <c r="AF91" i="13" s="1"/>
  <c r="C90" i="13"/>
  <c r="D90" i="13" s="1"/>
  <c r="E90" i="13" s="1"/>
  <c r="F90" i="13" s="1"/>
  <c r="G90" i="13" s="1"/>
  <c r="H90" i="13" s="1"/>
  <c r="I90" i="13" s="1"/>
  <c r="J90" i="13" s="1"/>
  <c r="K90" i="13" s="1"/>
  <c r="L90" i="13" s="1"/>
  <c r="M90" i="13" s="1"/>
  <c r="N90" i="13" s="1"/>
  <c r="O90" i="13" s="1"/>
  <c r="P90" i="13" s="1"/>
  <c r="Q90" i="13" s="1"/>
  <c r="R90" i="13" s="1"/>
  <c r="S90" i="13" s="1"/>
  <c r="T90" i="13" s="1"/>
  <c r="U90" i="13" s="1"/>
  <c r="V90" i="13" s="1"/>
  <c r="W90" i="13" s="1"/>
  <c r="X90" i="13" s="1"/>
  <c r="Y90" i="13" s="1"/>
  <c r="Z90" i="13" s="1"/>
  <c r="AA90" i="13" s="1"/>
  <c r="AB90" i="13" s="1"/>
  <c r="AC90" i="13" s="1"/>
  <c r="AD90" i="13" s="1"/>
  <c r="AE90" i="13" s="1"/>
  <c r="AF90" i="13" s="1"/>
  <c r="D89" i="13"/>
  <c r="C89" i="13"/>
  <c r="AH86" i="13"/>
  <c r="AI86" i="13" s="1"/>
  <c r="AH85" i="13"/>
  <c r="AI85" i="13" s="1"/>
  <c r="AH84" i="13"/>
  <c r="AI84" i="13" s="1"/>
  <c r="AH83" i="13"/>
  <c r="AI83" i="13" s="1"/>
  <c r="C82" i="13"/>
  <c r="B82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I79" i="13"/>
  <c r="AH79" i="13"/>
  <c r="AI78" i="13"/>
  <c r="AH78" i="13"/>
  <c r="AI77" i="13"/>
  <c r="AH77" i="13"/>
  <c r="AI76" i="13"/>
  <c r="AH76" i="13"/>
  <c r="AI75" i="13"/>
  <c r="AH75" i="13"/>
  <c r="AI74" i="13"/>
  <c r="AH74" i="13"/>
  <c r="AI73" i="13"/>
  <c r="AH73" i="13"/>
  <c r="AI72" i="13"/>
  <c r="AH72" i="13"/>
  <c r="AG71" i="13"/>
  <c r="N71" i="13"/>
  <c r="AI70" i="13"/>
  <c r="AH70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F69" i="13"/>
  <c r="E69" i="13"/>
  <c r="D69" i="13"/>
  <c r="C69" i="13"/>
  <c r="B69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F66" i="13"/>
  <c r="AE66" i="13"/>
  <c r="AD66" i="13"/>
  <c r="AC66" i="13"/>
  <c r="AC71" i="13" s="1"/>
  <c r="AB66" i="13"/>
  <c r="AA66" i="13"/>
  <c r="Z66" i="13"/>
  <c r="Z71" i="13" s="1"/>
  <c r="Y66" i="13"/>
  <c r="X66" i="13"/>
  <c r="X71" i="13" s="1"/>
  <c r="W66" i="13"/>
  <c r="V66" i="13"/>
  <c r="U66" i="13"/>
  <c r="T66" i="13"/>
  <c r="S66" i="13"/>
  <c r="R66" i="13"/>
  <c r="Q66" i="13"/>
  <c r="Q71" i="13" s="1"/>
  <c r="P66" i="13"/>
  <c r="O66" i="13"/>
  <c r="N66" i="13"/>
  <c r="M66" i="13"/>
  <c r="L66" i="13"/>
  <c r="K66" i="13"/>
  <c r="J66" i="13"/>
  <c r="I66" i="13"/>
  <c r="I71" i="13" s="1"/>
  <c r="H66" i="13"/>
  <c r="G66" i="13"/>
  <c r="F66" i="13"/>
  <c r="E66" i="13"/>
  <c r="D66" i="13"/>
  <c r="C66" i="13"/>
  <c r="B66" i="13"/>
  <c r="AI64" i="13"/>
  <c r="AH64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AI62" i="13"/>
  <c r="AH62" i="13"/>
  <c r="AI61" i="13"/>
  <c r="AH61" i="13"/>
  <c r="AI60" i="13"/>
  <c r="AH60" i="13"/>
  <c r="AG59" i="13"/>
  <c r="AF59" i="13"/>
  <c r="AF5" i="13" s="1"/>
  <c r="AE59" i="13"/>
  <c r="AD59" i="13"/>
  <c r="AD5" i="13" s="1"/>
  <c r="AC59" i="13"/>
  <c r="AC5" i="13" s="1"/>
  <c r="AB59" i="13"/>
  <c r="AB5" i="13" s="1"/>
  <c r="AA59" i="13"/>
  <c r="AA5" i="13" s="1"/>
  <c r="Z59" i="13"/>
  <c r="Z5" i="13" s="1"/>
  <c r="Y59" i="13"/>
  <c r="Y5" i="13" s="1"/>
  <c r="X59" i="13"/>
  <c r="X5" i="13" s="1"/>
  <c r="W59" i="13"/>
  <c r="W5" i="13" s="1"/>
  <c r="V59" i="13"/>
  <c r="V5" i="13" s="1"/>
  <c r="U59" i="13"/>
  <c r="U5" i="13" s="1"/>
  <c r="T59" i="13"/>
  <c r="T5" i="13" s="1"/>
  <c r="S59" i="13"/>
  <c r="S5" i="13" s="1"/>
  <c r="R59" i="13"/>
  <c r="R5" i="13" s="1"/>
  <c r="Q59" i="13"/>
  <c r="P59" i="13"/>
  <c r="P5" i="13" s="1"/>
  <c r="O59" i="13"/>
  <c r="O5" i="13" s="1"/>
  <c r="N59" i="13"/>
  <c r="N5" i="13" s="1"/>
  <c r="M59" i="13"/>
  <c r="M5" i="13" s="1"/>
  <c r="L59" i="13"/>
  <c r="L5" i="13" s="1"/>
  <c r="K59" i="13"/>
  <c r="K5" i="13" s="1"/>
  <c r="J59" i="13"/>
  <c r="J5" i="13" s="1"/>
  <c r="I59" i="13"/>
  <c r="I5" i="13" s="1"/>
  <c r="H59" i="13"/>
  <c r="H5" i="13" s="1"/>
  <c r="G59" i="13"/>
  <c r="G5" i="13" s="1"/>
  <c r="F59" i="13"/>
  <c r="F5" i="13" s="1"/>
  <c r="E59" i="13"/>
  <c r="E5" i="13" s="1"/>
  <c r="D59" i="13"/>
  <c r="D5" i="13" s="1"/>
  <c r="C59" i="13"/>
  <c r="C5" i="13" s="1"/>
  <c r="B59" i="13"/>
  <c r="B5" i="13" s="1"/>
  <c r="AI58" i="13"/>
  <c r="AH58" i="13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I46" i="13"/>
  <c r="AH46" i="13"/>
  <c r="AI45" i="13"/>
  <c r="AH45" i="13"/>
  <c r="AI44" i="13"/>
  <c r="AH44" i="13"/>
  <c r="B43" i="13"/>
  <c r="AG42" i="13"/>
  <c r="AG43" i="13" s="1"/>
  <c r="B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E5" i="13"/>
  <c r="Q5" i="13"/>
  <c r="AG4" i="13"/>
  <c r="K4" i="13"/>
  <c r="C4" i="13"/>
  <c r="D190" i="13" s="1"/>
  <c r="AG2" i="13"/>
  <c r="AE84" i="11"/>
  <c r="AD84" i="11"/>
  <c r="AD49" i="11"/>
  <c r="AD50" i="11"/>
  <c r="AC84" i="11"/>
  <c r="AC50" i="11"/>
  <c r="AA50" i="11"/>
  <c r="AA49" i="11"/>
  <c r="AF193" i="18"/>
  <c r="N7" i="18"/>
  <c r="P173" i="18"/>
  <c r="O179" i="18"/>
  <c r="O42" i="18" s="1"/>
  <c r="O43" i="18" s="1"/>
  <c r="O65" i="18" s="1"/>
  <c r="O214" i="18"/>
  <c r="P178" i="18"/>
  <c r="Q82" i="18"/>
  <c r="R94" i="18"/>
  <c r="N171" i="18"/>
  <c r="O89" i="18"/>
  <c r="AH193" i="17"/>
  <c r="P7" i="17"/>
  <c r="R173" i="17"/>
  <c r="Q179" i="17"/>
  <c r="Q42" i="17" s="1"/>
  <c r="Q43" i="17" s="1"/>
  <c r="Q65" i="17" s="1"/>
  <c r="R178" i="17"/>
  <c r="Q214" i="17"/>
  <c r="O171" i="17"/>
  <c r="P89" i="17"/>
  <c r="O82" i="17"/>
  <c r="P94" i="17"/>
  <c r="Y193" i="16"/>
  <c r="G7" i="16"/>
  <c r="K94" i="16"/>
  <c r="H179" i="16"/>
  <c r="H42" i="16" s="1"/>
  <c r="H43" i="16" s="1"/>
  <c r="H65" i="16" s="1"/>
  <c r="I173" i="16"/>
  <c r="H214" i="16"/>
  <c r="I178" i="16"/>
  <c r="I108" i="16"/>
  <c r="I171" i="16" s="1"/>
  <c r="H82" i="16"/>
  <c r="J89" i="16"/>
  <c r="F65" i="16"/>
  <c r="H171" i="16"/>
  <c r="K94" i="15"/>
  <c r="J82" i="15"/>
  <c r="L178" i="15"/>
  <c r="K214" i="15"/>
  <c r="H65" i="15"/>
  <c r="AA193" i="15"/>
  <c r="I7" i="15"/>
  <c r="H171" i="15"/>
  <c r="I89" i="15"/>
  <c r="K173" i="15"/>
  <c r="J179" i="15"/>
  <c r="J42" i="15" s="1"/>
  <c r="E171" i="14"/>
  <c r="F89" i="14"/>
  <c r="H94" i="14"/>
  <c r="G82" i="14"/>
  <c r="H173" i="14"/>
  <c r="G179" i="14"/>
  <c r="G42" i="14" s="1"/>
  <c r="H214" i="14"/>
  <c r="I178" i="14"/>
  <c r="X193" i="14"/>
  <c r="F7" i="14"/>
  <c r="T193" i="14"/>
  <c r="B7" i="14"/>
  <c r="AF71" i="13"/>
  <c r="AE71" i="13"/>
  <c r="AD71" i="13"/>
  <c r="AB71" i="13"/>
  <c r="AA71" i="13"/>
  <c r="Y71" i="13"/>
  <c r="W71" i="13"/>
  <c r="V71" i="13"/>
  <c r="U71" i="13"/>
  <c r="T71" i="13"/>
  <c r="S71" i="13"/>
  <c r="R71" i="13"/>
  <c r="P71" i="13"/>
  <c r="O71" i="13"/>
  <c r="M71" i="13"/>
  <c r="L71" i="13"/>
  <c r="K71" i="13"/>
  <c r="J71" i="13"/>
  <c r="H71" i="13"/>
  <c r="G71" i="13"/>
  <c r="F71" i="13"/>
  <c r="AI69" i="13"/>
  <c r="E71" i="13"/>
  <c r="AH69" i="13"/>
  <c r="AH68" i="13"/>
  <c r="AH67" i="13"/>
  <c r="AI67" i="13"/>
  <c r="D71" i="13"/>
  <c r="AI47" i="13"/>
  <c r="AI30" i="13"/>
  <c r="AI66" i="13"/>
  <c r="AI80" i="13"/>
  <c r="AH47" i="13"/>
  <c r="B65" i="13"/>
  <c r="T193" i="13" s="1"/>
  <c r="E108" i="13"/>
  <c r="F108" i="13" s="1"/>
  <c r="G108" i="13" s="1"/>
  <c r="H108" i="13" s="1"/>
  <c r="I108" i="13" s="1"/>
  <c r="J108" i="13" s="1"/>
  <c r="K108" i="13" s="1"/>
  <c r="L108" i="13" s="1"/>
  <c r="M108" i="13" s="1"/>
  <c r="N108" i="13" s="1"/>
  <c r="O108" i="13" s="1"/>
  <c r="P108" i="13" s="1"/>
  <c r="Q108" i="13" s="1"/>
  <c r="R108" i="13" s="1"/>
  <c r="S108" i="13" s="1"/>
  <c r="T108" i="13" s="1"/>
  <c r="U108" i="13" s="1"/>
  <c r="V108" i="13" s="1"/>
  <c r="W108" i="13" s="1"/>
  <c r="X108" i="13" s="1"/>
  <c r="Y108" i="13" s="1"/>
  <c r="Z108" i="13" s="1"/>
  <c r="AA108" i="13" s="1"/>
  <c r="AB108" i="13" s="1"/>
  <c r="AC108" i="13" s="1"/>
  <c r="AD108" i="13" s="1"/>
  <c r="AE108" i="13" s="1"/>
  <c r="AF108" i="13" s="1"/>
  <c r="D82" i="13"/>
  <c r="B7" i="13"/>
  <c r="AG65" i="13"/>
  <c r="AG3" i="13"/>
  <c r="AG6" i="13" s="1"/>
  <c r="E82" i="13"/>
  <c r="AH63" i="13"/>
  <c r="AI68" i="13"/>
  <c r="AI59" i="13"/>
  <c r="AI63" i="13"/>
  <c r="F94" i="13"/>
  <c r="AH59" i="13"/>
  <c r="C171" i="13"/>
  <c r="D171" i="13"/>
  <c r="B71" i="13"/>
  <c r="E89" i="13"/>
  <c r="AH66" i="13"/>
  <c r="C71" i="13"/>
  <c r="AH80" i="13"/>
  <c r="AH30" i="13"/>
  <c r="C179" i="13"/>
  <c r="C42" i="13" s="1"/>
  <c r="C43" i="13" s="1"/>
  <c r="C65" i="13" s="1"/>
  <c r="D173" i="13"/>
  <c r="C214" i="13"/>
  <c r="D178" i="13"/>
  <c r="S94" i="18"/>
  <c r="R82" i="18"/>
  <c r="P214" i="18"/>
  <c r="Q178" i="18"/>
  <c r="AG193" i="18"/>
  <c r="O7" i="18"/>
  <c r="Q173" i="18"/>
  <c r="P179" i="18"/>
  <c r="P42" i="18" s="1"/>
  <c r="P43" i="18" s="1"/>
  <c r="P65" i="18" s="1"/>
  <c r="O171" i="18"/>
  <c r="P89" i="18"/>
  <c r="P171" i="17"/>
  <c r="Q89" i="17"/>
  <c r="R214" i="17"/>
  <c r="S178" i="17"/>
  <c r="AI193" i="17"/>
  <c r="Q7" i="17"/>
  <c r="R179" i="17"/>
  <c r="R42" i="17" s="1"/>
  <c r="R43" i="17" s="1"/>
  <c r="R65" i="17" s="1"/>
  <c r="S173" i="17"/>
  <c r="P82" i="17"/>
  <c r="Q94" i="17"/>
  <c r="J178" i="16"/>
  <c r="I214" i="16"/>
  <c r="X193" i="16"/>
  <c r="F7" i="16"/>
  <c r="K89" i="16"/>
  <c r="I179" i="16"/>
  <c r="I42" i="16" s="1"/>
  <c r="I43" i="16" s="1"/>
  <c r="J173" i="16"/>
  <c r="Z193" i="16"/>
  <c r="H7" i="16"/>
  <c r="L94" i="16"/>
  <c r="J108" i="16"/>
  <c r="I82" i="16"/>
  <c r="Z193" i="15"/>
  <c r="H7" i="15"/>
  <c r="J43" i="15"/>
  <c r="J65" i="15" s="1"/>
  <c r="K179" i="15"/>
  <c r="K42" i="15" s="1"/>
  <c r="K43" i="15" s="1"/>
  <c r="K65" i="15" s="1"/>
  <c r="L173" i="15"/>
  <c r="M178" i="15"/>
  <c r="L214" i="15"/>
  <c r="I171" i="15"/>
  <c r="J89" i="15"/>
  <c r="K82" i="15"/>
  <c r="L94" i="15"/>
  <c r="G43" i="14"/>
  <c r="I173" i="14"/>
  <c r="H179" i="14"/>
  <c r="H42" i="14" s="1"/>
  <c r="H43" i="14" s="1"/>
  <c r="H65" i="14" s="1"/>
  <c r="I94" i="14"/>
  <c r="H82" i="14"/>
  <c r="F171" i="14"/>
  <c r="G89" i="14"/>
  <c r="I214" i="14"/>
  <c r="J178" i="14"/>
  <c r="U193" i="13"/>
  <c r="C7" i="13"/>
  <c r="D214" i="13"/>
  <c r="E178" i="13"/>
  <c r="F82" i="13"/>
  <c r="G94" i="13"/>
  <c r="AI71" i="13"/>
  <c r="AH71" i="13"/>
  <c r="E173" i="13"/>
  <c r="D179" i="13"/>
  <c r="D42" i="13" s="1"/>
  <c r="D43" i="13" s="1"/>
  <c r="D65" i="13" s="1"/>
  <c r="E171" i="13"/>
  <c r="F89" i="13"/>
  <c r="AH193" i="18"/>
  <c r="P7" i="18"/>
  <c r="R173" i="18"/>
  <c r="Q179" i="18"/>
  <c r="Q42" i="18" s="1"/>
  <c r="Q43" i="18" s="1"/>
  <c r="Q65" i="18" s="1"/>
  <c r="R178" i="18"/>
  <c r="Q214" i="18"/>
  <c r="P171" i="18"/>
  <c r="Q89" i="18"/>
  <c r="T94" i="18"/>
  <c r="S82" i="18"/>
  <c r="AJ193" i="17"/>
  <c r="R7" i="17"/>
  <c r="S179" i="17"/>
  <c r="S42" i="17" s="1"/>
  <c r="S43" i="17" s="1"/>
  <c r="S65" i="17" s="1"/>
  <c r="T173" i="17"/>
  <c r="S214" i="17"/>
  <c r="T178" i="17"/>
  <c r="R94" i="17"/>
  <c r="Q82" i="17"/>
  <c r="Q171" i="17"/>
  <c r="R89" i="17"/>
  <c r="K108" i="16"/>
  <c r="J82" i="16"/>
  <c r="J179" i="16"/>
  <c r="J42" i="16" s="1"/>
  <c r="J43" i="16" s="1"/>
  <c r="J65" i="16" s="1"/>
  <c r="K173" i="16"/>
  <c r="I65" i="16"/>
  <c r="M94" i="16"/>
  <c r="K171" i="16"/>
  <c r="L89" i="16"/>
  <c r="J171" i="16"/>
  <c r="J214" i="16"/>
  <c r="K178" i="16"/>
  <c r="L82" i="15"/>
  <c r="M94" i="15"/>
  <c r="AB193" i="15"/>
  <c r="J7" i="15"/>
  <c r="J171" i="15"/>
  <c r="K89" i="15"/>
  <c r="N178" i="15"/>
  <c r="M214" i="15"/>
  <c r="L179" i="15"/>
  <c r="L42" i="15" s="1"/>
  <c r="L43" i="15" s="1"/>
  <c r="L65" i="15" s="1"/>
  <c r="M173" i="15"/>
  <c r="AC193" i="15"/>
  <c r="K7" i="15"/>
  <c r="J94" i="14"/>
  <c r="I82" i="14"/>
  <c r="K178" i="14"/>
  <c r="J214" i="14"/>
  <c r="Z193" i="14"/>
  <c r="H7" i="14"/>
  <c r="J173" i="14"/>
  <c r="I179" i="14"/>
  <c r="I42" i="14" s="1"/>
  <c r="G171" i="14"/>
  <c r="H89" i="14"/>
  <c r="G65" i="14"/>
  <c r="E214" i="13"/>
  <c r="F178" i="13"/>
  <c r="F171" i="13"/>
  <c r="G89" i="13"/>
  <c r="H94" i="13"/>
  <c r="G82" i="13"/>
  <c r="V193" i="13"/>
  <c r="D7" i="13"/>
  <c r="E179" i="13"/>
  <c r="E42" i="13" s="1"/>
  <c r="F173" i="13"/>
  <c r="R214" i="18"/>
  <c r="S178" i="18"/>
  <c r="Q171" i="18"/>
  <c r="R89" i="18"/>
  <c r="AI193" i="18"/>
  <c r="Q7" i="18"/>
  <c r="R179" i="18"/>
  <c r="R42" i="18" s="1"/>
  <c r="R43" i="18" s="1"/>
  <c r="R65" i="18" s="1"/>
  <c r="S173" i="18"/>
  <c r="T82" i="18"/>
  <c r="U94" i="18"/>
  <c r="S94" i="17"/>
  <c r="R82" i="17"/>
  <c r="U178" i="17"/>
  <c r="T214" i="17"/>
  <c r="U173" i="17"/>
  <c r="T179" i="17"/>
  <c r="T42" i="17" s="1"/>
  <c r="T43" i="17" s="1"/>
  <c r="T65" i="17" s="1"/>
  <c r="AK193" i="17"/>
  <c r="S7" i="17"/>
  <c r="R171" i="17"/>
  <c r="S89" i="17"/>
  <c r="K214" i="16"/>
  <c r="L178" i="16"/>
  <c r="AA193" i="16"/>
  <c r="I7" i="16"/>
  <c r="K179" i="16"/>
  <c r="K42" i="16" s="1"/>
  <c r="K43" i="16" s="1"/>
  <c r="K65" i="16" s="1"/>
  <c r="L173" i="16"/>
  <c r="AB193" i="16"/>
  <c r="J7" i="16"/>
  <c r="M89" i="16"/>
  <c r="L108" i="16"/>
  <c r="K82" i="16"/>
  <c r="N94" i="16"/>
  <c r="M179" i="15"/>
  <c r="M42" i="15" s="1"/>
  <c r="M43" i="15" s="1"/>
  <c r="M65" i="15" s="1"/>
  <c r="B188" i="15" s="1"/>
  <c r="N173" i="15"/>
  <c r="K171" i="15"/>
  <c r="L89" i="15"/>
  <c r="AD193" i="15"/>
  <c r="L7" i="15"/>
  <c r="O178" i="15"/>
  <c r="N214" i="15"/>
  <c r="M82" i="15"/>
  <c r="N94" i="15"/>
  <c r="I43" i="14"/>
  <c r="K173" i="14"/>
  <c r="J179" i="14"/>
  <c r="J42" i="14" s="1"/>
  <c r="J43" i="14" s="1"/>
  <c r="J65" i="14" s="1"/>
  <c r="Y193" i="14"/>
  <c r="G7" i="14"/>
  <c r="H171" i="14"/>
  <c r="I89" i="14"/>
  <c r="L178" i="14"/>
  <c r="K214" i="14"/>
  <c r="K94" i="14"/>
  <c r="J82" i="14"/>
  <c r="G171" i="13"/>
  <c r="H89" i="13"/>
  <c r="E43" i="13"/>
  <c r="I94" i="13"/>
  <c r="H82" i="13"/>
  <c r="F214" i="13"/>
  <c r="G178" i="13"/>
  <c r="G173" i="13"/>
  <c r="F179" i="13"/>
  <c r="F42" i="13" s="1"/>
  <c r="F43" i="13" s="1"/>
  <c r="F65" i="13" s="1"/>
  <c r="AJ193" i="18"/>
  <c r="R7" i="18"/>
  <c r="R171" i="18"/>
  <c r="S89" i="18"/>
  <c r="V94" i="18"/>
  <c r="U82" i="18"/>
  <c r="T178" i="18"/>
  <c r="S214" i="18"/>
  <c r="S179" i="18"/>
  <c r="S42" i="18" s="1"/>
  <c r="S43" i="18" s="1"/>
  <c r="S65" i="18" s="1"/>
  <c r="T173" i="18"/>
  <c r="AL193" i="17"/>
  <c r="T7" i="17"/>
  <c r="U179" i="17"/>
  <c r="U42" i="17" s="1"/>
  <c r="U65" i="17" s="1"/>
  <c r="V173" i="17"/>
  <c r="U214" i="17"/>
  <c r="V178" i="17"/>
  <c r="S171" i="17"/>
  <c r="T89" i="17"/>
  <c r="T94" i="17"/>
  <c r="S82" i="17"/>
  <c r="M108" i="16"/>
  <c r="L82" i="16"/>
  <c r="M171" i="16"/>
  <c r="N89" i="16"/>
  <c r="L171" i="16"/>
  <c r="O94" i="16"/>
  <c r="M173" i="16"/>
  <c r="L179" i="16"/>
  <c r="L42" i="16" s="1"/>
  <c r="L43" i="16" s="1"/>
  <c r="L65" i="16" s="1"/>
  <c r="L214" i="16"/>
  <c r="M178" i="16"/>
  <c r="AC193" i="16"/>
  <c r="K7" i="16"/>
  <c r="O214" i="15"/>
  <c r="P178" i="15"/>
  <c r="L171" i="15"/>
  <c r="M89" i="15"/>
  <c r="O94" i="15"/>
  <c r="N82" i="15"/>
  <c r="N179" i="15"/>
  <c r="N42" i="15" s="1"/>
  <c r="N43" i="15" s="1"/>
  <c r="N65" i="15" s="1"/>
  <c r="O173" i="15"/>
  <c r="AE193" i="15"/>
  <c r="M7" i="15"/>
  <c r="C188" i="15"/>
  <c r="K6" i="15" s="1"/>
  <c r="K82" i="14"/>
  <c r="L94" i="14"/>
  <c r="M178" i="14"/>
  <c r="L214" i="14"/>
  <c r="I171" i="14"/>
  <c r="J89" i="14"/>
  <c r="AB193" i="14"/>
  <c r="J7" i="14"/>
  <c r="K179" i="14"/>
  <c r="K65" i="14" s="1"/>
  <c r="L173" i="14"/>
  <c r="I65" i="14"/>
  <c r="I82" i="13"/>
  <c r="J94" i="13"/>
  <c r="X193" i="13"/>
  <c r="F7" i="13"/>
  <c r="E65" i="13"/>
  <c r="H173" i="13"/>
  <c r="G179" i="13"/>
  <c r="G42" i="13" s="1"/>
  <c r="H171" i="13"/>
  <c r="I89" i="13"/>
  <c r="G214" i="13"/>
  <c r="H178" i="13"/>
  <c r="U178" i="18"/>
  <c r="T214" i="18"/>
  <c r="S171" i="18"/>
  <c r="T89" i="18"/>
  <c r="V82" i="18"/>
  <c r="W94" i="18"/>
  <c r="T179" i="18"/>
  <c r="T42" i="18" s="1"/>
  <c r="T43" i="18" s="1"/>
  <c r="T65" i="18" s="1"/>
  <c r="U173" i="18"/>
  <c r="AK193" i="18"/>
  <c r="S7" i="18"/>
  <c r="V214" i="17"/>
  <c r="W178" i="17"/>
  <c r="W173" i="17"/>
  <c r="V179" i="17"/>
  <c r="V42" i="17" s="1"/>
  <c r="V43" i="17" s="1"/>
  <c r="V65" i="17" s="1"/>
  <c r="T171" i="17"/>
  <c r="U89" i="17"/>
  <c r="AM193" i="17"/>
  <c r="U7" i="17"/>
  <c r="U94" i="17"/>
  <c r="T82" i="17"/>
  <c r="N173" i="16"/>
  <c r="M179" i="16"/>
  <c r="M42" i="16" s="1"/>
  <c r="M43" i="16" s="1"/>
  <c r="M65" i="16" s="1"/>
  <c r="C188" i="16" s="1"/>
  <c r="P94" i="16"/>
  <c r="O89" i="16"/>
  <c r="M214" i="16"/>
  <c r="N178" i="16"/>
  <c r="AD193" i="16"/>
  <c r="L7" i="16"/>
  <c r="N108" i="16"/>
  <c r="M82" i="16"/>
  <c r="P94" i="15"/>
  <c r="O82" i="15"/>
  <c r="AF193" i="15"/>
  <c r="N7" i="15"/>
  <c r="M171" i="15"/>
  <c r="N89" i="15"/>
  <c r="Q178" i="15"/>
  <c r="P214" i="15"/>
  <c r="P173" i="15"/>
  <c r="O179" i="15"/>
  <c r="O42" i="15" s="1"/>
  <c r="O43" i="15" s="1"/>
  <c r="O65" i="15" s="1"/>
  <c r="J171" i="14"/>
  <c r="K89" i="14"/>
  <c r="AA193" i="14"/>
  <c r="I7" i="14"/>
  <c r="M214" i="14"/>
  <c r="N178" i="14"/>
  <c r="L179" i="14"/>
  <c r="L42" i="14" s="1"/>
  <c r="L43" i="14" s="1"/>
  <c r="M173" i="14"/>
  <c r="AC193" i="14"/>
  <c r="K7" i="14"/>
  <c r="L82" i="14"/>
  <c r="M94" i="14"/>
  <c r="H214" i="13"/>
  <c r="I178" i="13"/>
  <c r="W193" i="13"/>
  <c r="E7" i="13"/>
  <c r="I171" i="13"/>
  <c r="J89" i="13"/>
  <c r="G43" i="13"/>
  <c r="H179" i="13"/>
  <c r="H42" i="13" s="1"/>
  <c r="H43" i="13" s="1"/>
  <c r="H65" i="13" s="1"/>
  <c r="I173" i="13"/>
  <c r="K94" i="13"/>
  <c r="J82" i="13"/>
  <c r="U179" i="18"/>
  <c r="U42" i="18" s="1"/>
  <c r="U43" i="18" s="1"/>
  <c r="U65" i="18" s="1"/>
  <c r="V173" i="18"/>
  <c r="AL193" i="18"/>
  <c r="T7" i="18"/>
  <c r="X94" i="18"/>
  <c r="W82" i="18"/>
  <c r="T171" i="18"/>
  <c r="U89" i="18"/>
  <c r="V178" i="18"/>
  <c r="U214" i="18"/>
  <c r="U171" i="17"/>
  <c r="V89" i="17"/>
  <c r="AN193" i="17"/>
  <c r="V7" i="17"/>
  <c r="X173" i="17"/>
  <c r="W179" i="17"/>
  <c r="W42" i="17" s="1"/>
  <c r="W43" i="17" s="1"/>
  <c r="W65" i="17" s="1"/>
  <c r="W214" i="17"/>
  <c r="X178" i="17"/>
  <c r="V94" i="17"/>
  <c r="U82" i="17"/>
  <c r="B188" i="16"/>
  <c r="K6" i="16" s="1"/>
  <c r="N214" i="16"/>
  <c r="O178" i="16"/>
  <c r="O108" i="16"/>
  <c r="N82" i="16"/>
  <c r="O171" i="16"/>
  <c r="P89" i="16"/>
  <c r="N171" i="16"/>
  <c r="Q94" i="16"/>
  <c r="AE193" i="16"/>
  <c r="M7" i="16"/>
  <c r="N179" i="16"/>
  <c r="N42" i="16" s="1"/>
  <c r="N43" i="16" s="1"/>
  <c r="N65" i="16" s="1"/>
  <c r="O173" i="16"/>
  <c r="R178" i="15"/>
  <c r="Q214" i="15"/>
  <c r="N171" i="15"/>
  <c r="O89" i="15"/>
  <c r="AG193" i="15"/>
  <c r="O7" i="15"/>
  <c r="Q173" i="15"/>
  <c r="P179" i="15"/>
  <c r="P42" i="15" s="1"/>
  <c r="P43" i="15" s="1"/>
  <c r="P65" i="15" s="1"/>
  <c r="Q94" i="15"/>
  <c r="P82" i="15"/>
  <c r="N94" i="14"/>
  <c r="M82" i="14"/>
  <c r="M179" i="14"/>
  <c r="M42" i="14" s="1"/>
  <c r="M43" i="14" s="1"/>
  <c r="M65" i="14" s="1"/>
  <c r="N173" i="14"/>
  <c r="L65" i="14"/>
  <c r="O178" i="14"/>
  <c r="N214" i="14"/>
  <c r="K171" i="14"/>
  <c r="L89" i="14"/>
  <c r="J171" i="13"/>
  <c r="K89" i="13"/>
  <c r="L94" i="13"/>
  <c r="K82" i="13"/>
  <c r="I179" i="13"/>
  <c r="I42" i="13" s="1"/>
  <c r="I43" i="13" s="1"/>
  <c r="I65" i="13" s="1"/>
  <c r="J173" i="13"/>
  <c r="Z193" i="13"/>
  <c r="H7" i="13"/>
  <c r="J178" i="13"/>
  <c r="I214" i="13"/>
  <c r="G65" i="13"/>
  <c r="Y94" i="18"/>
  <c r="X82" i="18"/>
  <c r="W173" i="18"/>
  <c r="V179" i="18"/>
  <c r="V42" i="18" s="1"/>
  <c r="V43" i="18" s="1"/>
  <c r="V65" i="18" s="1"/>
  <c r="U171" i="18"/>
  <c r="V89" i="18"/>
  <c r="V214" i="18"/>
  <c r="W178" i="18"/>
  <c r="AM193" i="18"/>
  <c r="U7" i="18"/>
  <c r="X214" i="17"/>
  <c r="Y178" i="17"/>
  <c r="AO193" i="17"/>
  <c r="W7" i="17"/>
  <c r="Y173" i="17"/>
  <c r="X179" i="17"/>
  <c r="X42" i="17" s="1"/>
  <c r="X43" i="17" s="1"/>
  <c r="X65" i="17" s="1"/>
  <c r="V171" i="17"/>
  <c r="W89" i="17"/>
  <c r="W94" i="17"/>
  <c r="V82" i="17"/>
  <c r="Q89" i="16"/>
  <c r="P173" i="16"/>
  <c r="O179" i="16"/>
  <c r="O42" i="16" s="1"/>
  <c r="O43" i="16" s="1"/>
  <c r="O65" i="16" s="1"/>
  <c r="AF193" i="16"/>
  <c r="N7" i="16"/>
  <c r="P108" i="16"/>
  <c r="O82" i="16"/>
  <c r="O214" i="16"/>
  <c r="P178" i="16"/>
  <c r="R94" i="16"/>
  <c r="AH193" i="15"/>
  <c r="P7" i="15"/>
  <c r="R173" i="15"/>
  <c r="Q179" i="15"/>
  <c r="Q42" i="15" s="1"/>
  <c r="Q43" i="15" s="1"/>
  <c r="Q65" i="15" s="1"/>
  <c r="O171" i="15"/>
  <c r="P89" i="15"/>
  <c r="R94" i="15"/>
  <c r="Q82" i="15"/>
  <c r="R214" i="15"/>
  <c r="S178" i="15"/>
  <c r="AD193" i="14"/>
  <c r="L7" i="14"/>
  <c r="C188" i="14"/>
  <c r="B188" i="14"/>
  <c r="L171" i="14"/>
  <c r="M89" i="14"/>
  <c r="N179" i="14"/>
  <c r="N42" i="14" s="1"/>
  <c r="N43" i="14" s="1"/>
  <c r="N65" i="14" s="1"/>
  <c r="O173" i="14"/>
  <c r="AE193" i="14"/>
  <c r="M7" i="14"/>
  <c r="O214" i="14"/>
  <c r="P178" i="14"/>
  <c r="N82" i="14"/>
  <c r="O94" i="14"/>
  <c r="J179" i="13"/>
  <c r="J42" i="13" s="1"/>
  <c r="J43" i="13" s="1"/>
  <c r="K173" i="13"/>
  <c r="AA193" i="13"/>
  <c r="I7" i="13"/>
  <c r="Y193" i="13"/>
  <c r="G7" i="13"/>
  <c r="M94" i="13"/>
  <c r="L82" i="13"/>
  <c r="J214" i="13"/>
  <c r="K178" i="13"/>
  <c r="K171" i="13"/>
  <c r="L89" i="13"/>
  <c r="V171" i="18"/>
  <c r="W89" i="18"/>
  <c r="AN193" i="18"/>
  <c r="V7" i="18"/>
  <c r="X173" i="18"/>
  <c r="W179" i="18"/>
  <c r="W42" i="18" s="1"/>
  <c r="W43" i="18" s="1"/>
  <c r="W65" i="18" s="1"/>
  <c r="W214" i="18"/>
  <c r="X178" i="18"/>
  <c r="Z94" i="18"/>
  <c r="Y82" i="18"/>
  <c r="W171" i="17"/>
  <c r="X89" i="17"/>
  <c r="AP193" i="17"/>
  <c r="X7" i="17"/>
  <c r="Z173" i="17"/>
  <c r="Y179" i="17"/>
  <c r="Y42" i="17" s="1"/>
  <c r="Y43" i="17" s="1"/>
  <c r="Y65" i="17" s="1"/>
  <c r="Z178" i="17"/>
  <c r="Y214" i="17"/>
  <c r="W82" i="17"/>
  <c r="X94" i="17"/>
  <c r="Q108" i="16"/>
  <c r="P82" i="16"/>
  <c r="AG193" i="16"/>
  <c r="O7" i="16"/>
  <c r="S94" i="16"/>
  <c r="P179" i="16"/>
  <c r="P42" i="16" s="1"/>
  <c r="P43" i="16" s="1"/>
  <c r="P65" i="16" s="1"/>
  <c r="Q173" i="16"/>
  <c r="P214" i="16"/>
  <c r="Q178" i="16"/>
  <c r="Q171" i="16"/>
  <c r="R89" i="16"/>
  <c r="P171" i="16"/>
  <c r="S94" i="15"/>
  <c r="R82" i="15"/>
  <c r="P171" i="15"/>
  <c r="Q89" i="15"/>
  <c r="AI193" i="15"/>
  <c r="Q7" i="15"/>
  <c r="S173" i="15"/>
  <c r="R179" i="15"/>
  <c r="R42" i="15" s="1"/>
  <c r="R43" i="15" s="1"/>
  <c r="R65" i="15" s="1"/>
  <c r="T178" i="15"/>
  <c r="S214" i="15"/>
  <c r="K6" i="14"/>
  <c r="O82" i="14"/>
  <c r="P94" i="14"/>
  <c r="M171" i="14"/>
  <c r="N89" i="14"/>
  <c r="P214" i="14"/>
  <c r="Q178" i="14"/>
  <c r="O179" i="14"/>
  <c r="O42" i="14" s="1"/>
  <c r="O43" i="14" s="1"/>
  <c r="O65" i="14" s="1"/>
  <c r="P173" i="14"/>
  <c r="AF193" i="14"/>
  <c r="N7" i="14"/>
  <c r="L171" i="13"/>
  <c r="M89" i="13"/>
  <c r="K214" i="13"/>
  <c r="L178" i="13"/>
  <c r="N94" i="13"/>
  <c r="M82" i="13"/>
  <c r="K179" i="13"/>
  <c r="K42" i="13" s="1"/>
  <c r="K43" i="13" s="1"/>
  <c r="K65" i="13" s="1"/>
  <c r="L173" i="13"/>
  <c r="J65" i="13"/>
  <c r="X214" i="18"/>
  <c r="Y178" i="18"/>
  <c r="Y173" i="18"/>
  <c r="X179" i="18"/>
  <c r="X42" i="18" s="1"/>
  <c r="X43" i="18" s="1"/>
  <c r="X65" i="18" s="1"/>
  <c r="AO193" i="18"/>
  <c r="W7" i="18"/>
  <c r="W171" i="18"/>
  <c r="X89" i="18"/>
  <c r="AA94" i="18"/>
  <c r="Z82" i="18"/>
  <c r="Z214" i="17"/>
  <c r="AA178" i="17"/>
  <c r="AQ193" i="17"/>
  <c r="Y7" i="17"/>
  <c r="Z179" i="17"/>
  <c r="Z43" i="17" s="1"/>
  <c r="Z65" i="17" s="1"/>
  <c r="AA173" i="17"/>
  <c r="Y94" i="17"/>
  <c r="X82" i="17"/>
  <c r="X171" i="17"/>
  <c r="Y89" i="17"/>
  <c r="AH193" i="16"/>
  <c r="P7" i="16"/>
  <c r="T94" i="16"/>
  <c r="Q179" i="16"/>
  <c r="Q42" i="16" s="1"/>
  <c r="Q43" i="16" s="1"/>
  <c r="Q65" i="16" s="1"/>
  <c r="R173" i="16"/>
  <c r="S89" i="16"/>
  <c r="R178" i="16"/>
  <c r="Q214" i="16"/>
  <c r="R108" i="16"/>
  <c r="R171" i="16" s="1"/>
  <c r="Q82" i="16"/>
  <c r="AJ193" i="15"/>
  <c r="R7" i="15"/>
  <c r="S179" i="15"/>
  <c r="S42" i="15" s="1"/>
  <c r="S43" i="15" s="1"/>
  <c r="S65" i="15" s="1"/>
  <c r="T173" i="15"/>
  <c r="Q171" i="15"/>
  <c r="R89" i="15"/>
  <c r="U178" i="15"/>
  <c r="T214" i="15"/>
  <c r="T94" i="15"/>
  <c r="S82" i="15"/>
  <c r="AG193" i="14"/>
  <c r="O7" i="14"/>
  <c r="Q214" i="14"/>
  <c r="R178" i="14"/>
  <c r="N171" i="14"/>
  <c r="O89" i="14"/>
  <c r="Q173" i="14"/>
  <c r="P179" i="14"/>
  <c r="P42" i="14" s="1"/>
  <c r="P43" i="14" s="1"/>
  <c r="P65" i="14" s="1"/>
  <c r="Q94" i="14"/>
  <c r="P82" i="14"/>
  <c r="M173" i="13"/>
  <c r="L179" i="13"/>
  <c r="L42" i="13" s="1"/>
  <c r="L43" i="13" s="1"/>
  <c r="L65" i="13" s="1"/>
  <c r="AC193" i="13"/>
  <c r="K7" i="13"/>
  <c r="N82" i="13"/>
  <c r="O94" i="13"/>
  <c r="L214" i="13"/>
  <c r="M178" i="13"/>
  <c r="M171" i="13"/>
  <c r="N89" i="13"/>
  <c r="AB193" i="13"/>
  <c r="J7" i="13"/>
  <c r="Y179" i="18"/>
  <c r="Y42" i="18" s="1"/>
  <c r="Y43" i="18" s="1"/>
  <c r="Y65" i="18" s="1"/>
  <c r="Z173" i="18"/>
  <c r="X171" i="18"/>
  <c r="Y89" i="18"/>
  <c r="Z178" i="18"/>
  <c r="Y214" i="18"/>
  <c r="AP193" i="18"/>
  <c r="X7" i="18"/>
  <c r="AB94" i="18"/>
  <c r="AA82" i="18"/>
  <c r="Y82" i="17"/>
  <c r="Z94" i="17"/>
  <c r="AA179" i="17"/>
  <c r="AA42" i="17" s="1"/>
  <c r="AA43" i="17" s="1"/>
  <c r="AA65" i="17" s="1"/>
  <c r="AB173" i="17"/>
  <c r="AR193" i="17"/>
  <c r="Z7" i="17"/>
  <c r="Y171" i="17"/>
  <c r="Z89" i="17"/>
  <c r="AA214" i="17"/>
  <c r="AB178" i="17"/>
  <c r="T89" i="16"/>
  <c r="R179" i="16"/>
  <c r="R42" i="16" s="1"/>
  <c r="R43" i="16" s="1"/>
  <c r="R65" i="16" s="1"/>
  <c r="S173" i="16"/>
  <c r="AI193" i="16"/>
  <c r="Q7" i="16"/>
  <c r="U94" i="16"/>
  <c r="S108" i="16"/>
  <c r="R82" i="16"/>
  <c r="R214" i="16"/>
  <c r="S178" i="16"/>
  <c r="V178" i="15"/>
  <c r="U214" i="15"/>
  <c r="R171" i="15"/>
  <c r="S89" i="15"/>
  <c r="U173" i="15"/>
  <c r="T179" i="15"/>
  <c r="T42" i="15" s="1"/>
  <c r="T43" i="15" s="1"/>
  <c r="T65" i="15" s="1"/>
  <c r="AK193" i="15"/>
  <c r="S7" i="15"/>
  <c r="U94" i="15"/>
  <c r="T82" i="15"/>
  <c r="O171" i="14"/>
  <c r="P89" i="14"/>
  <c r="S178" i="14"/>
  <c r="R214" i="14"/>
  <c r="R94" i="14"/>
  <c r="Q82" i="14"/>
  <c r="AH193" i="14"/>
  <c r="P7" i="14"/>
  <c r="R173" i="14"/>
  <c r="Q179" i="14"/>
  <c r="Q42" i="14" s="1"/>
  <c r="Q43" i="14" s="1"/>
  <c r="Q65" i="14" s="1"/>
  <c r="M214" i="13"/>
  <c r="N178" i="13"/>
  <c r="P94" i="13"/>
  <c r="O82" i="13"/>
  <c r="N171" i="13"/>
  <c r="O89" i="13"/>
  <c r="AD193" i="13"/>
  <c r="L7" i="13"/>
  <c r="M179" i="13"/>
  <c r="M42" i="13" s="1"/>
  <c r="M43" i="13" s="1"/>
  <c r="M65" i="13" s="1"/>
  <c r="N173" i="13"/>
  <c r="Y171" i="18"/>
  <c r="Z89" i="18"/>
  <c r="Z179" i="18"/>
  <c r="Z43" i="18" s="1"/>
  <c r="Z65" i="18" s="1"/>
  <c r="AA173" i="18"/>
  <c r="Z214" i="18"/>
  <c r="AA178" i="18"/>
  <c r="AB82" i="18"/>
  <c r="AC94" i="18"/>
  <c r="AQ193" i="18"/>
  <c r="Y7" i="18"/>
  <c r="AB179" i="17"/>
  <c r="AB42" i="17" s="1"/>
  <c r="AB43" i="17" s="1"/>
  <c r="AB65" i="17" s="1"/>
  <c r="AC173" i="17"/>
  <c r="Z171" i="17"/>
  <c r="AA89" i="17"/>
  <c r="AS193" i="17"/>
  <c r="AA7" i="17"/>
  <c r="AC178" i="17"/>
  <c r="AB214" i="17"/>
  <c r="AA94" i="17"/>
  <c r="Z82" i="17"/>
  <c r="V94" i="16"/>
  <c r="S214" i="16"/>
  <c r="T178" i="16"/>
  <c r="S179" i="16"/>
  <c r="S42" i="16" s="1"/>
  <c r="S43" i="16" s="1"/>
  <c r="S65" i="16" s="1"/>
  <c r="T173" i="16"/>
  <c r="AJ193" i="16"/>
  <c r="R7" i="16"/>
  <c r="U89" i="16"/>
  <c r="T108" i="16"/>
  <c r="S82" i="16"/>
  <c r="S171" i="16"/>
  <c r="AL193" i="15"/>
  <c r="T7" i="15"/>
  <c r="U179" i="15"/>
  <c r="U42" i="15" s="1"/>
  <c r="U43" i="15" s="1"/>
  <c r="U65" i="15" s="1"/>
  <c r="V173" i="15"/>
  <c r="S171" i="15"/>
  <c r="T89" i="15"/>
  <c r="U82" i="15"/>
  <c r="V94" i="15"/>
  <c r="W178" i="15"/>
  <c r="V214" i="15"/>
  <c r="S94" i="14"/>
  <c r="R82" i="14"/>
  <c r="T178" i="14"/>
  <c r="S214" i="14"/>
  <c r="AI193" i="14"/>
  <c r="Q7" i="14"/>
  <c r="P171" i="14"/>
  <c r="Q89" i="14"/>
  <c r="S173" i="14"/>
  <c r="R179" i="14"/>
  <c r="R42" i="14" s="1"/>
  <c r="R43" i="14" s="1"/>
  <c r="R65" i="14" s="1"/>
  <c r="O171" i="13"/>
  <c r="P89" i="13"/>
  <c r="Q94" i="13"/>
  <c r="P82" i="13"/>
  <c r="O173" i="13"/>
  <c r="N179" i="13"/>
  <c r="N42" i="13" s="1"/>
  <c r="N43" i="13" s="1"/>
  <c r="N65" i="13" s="1"/>
  <c r="N214" i="13"/>
  <c r="O178" i="13"/>
  <c r="AE193" i="13"/>
  <c r="M7" i="13"/>
  <c r="C188" i="13"/>
  <c r="B188" i="13"/>
  <c r="AA179" i="18"/>
  <c r="AA42" i="18" s="1"/>
  <c r="AA43" i="18" s="1"/>
  <c r="AA65" i="18" s="1"/>
  <c r="AB173" i="18"/>
  <c r="AD94" i="18"/>
  <c r="AC82" i="18"/>
  <c r="AA214" i="18"/>
  <c r="AB178" i="18"/>
  <c r="AR193" i="18"/>
  <c r="Z7" i="18"/>
  <c r="Z171" i="18"/>
  <c r="AA89" i="18"/>
  <c r="AC214" i="17"/>
  <c r="AD178" i="17"/>
  <c r="AA171" i="17"/>
  <c r="AB89" i="17"/>
  <c r="AC179" i="17"/>
  <c r="AC42" i="17" s="1"/>
  <c r="AC43" i="17" s="1"/>
  <c r="AC65" i="17" s="1"/>
  <c r="AD173" i="17"/>
  <c r="AB94" i="17"/>
  <c r="AA82" i="17"/>
  <c r="AT193" i="17"/>
  <c r="AB7" i="17"/>
  <c r="T179" i="16"/>
  <c r="T42" i="16" s="1"/>
  <c r="T43" i="16" s="1"/>
  <c r="T65" i="16" s="1"/>
  <c r="U173" i="16"/>
  <c r="AK193" i="16"/>
  <c r="S7" i="16"/>
  <c r="T214" i="16"/>
  <c r="U178" i="16"/>
  <c r="U108" i="16"/>
  <c r="T82" i="16"/>
  <c r="V89" i="16"/>
  <c r="W94" i="16"/>
  <c r="T171" i="16"/>
  <c r="T171" i="15"/>
  <c r="U89" i="15"/>
  <c r="V179" i="15"/>
  <c r="V42" i="15" s="1"/>
  <c r="V43" i="15" s="1"/>
  <c r="V65" i="15" s="1"/>
  <c r="W173" i="15"/>
  <c r="AM193" i="15"/>
  <c r="U7" i="15"/>
  <c r="W94" i="15"/>
  <c r="V82" i="15"/>
  <c r="W214" i="15"/>
  <c r="X178" i="15"/>
  <c r="Q171" i="14"/>
  <c r="R89" i="14"/>
  <c r="T214" i="14"/>
  <c r="U178" i="14"/>
  <c r="AJ193" i="14"/>
  <c r="R7" i="14"/>
  <c r="T173" i="14"/>
  <c r="S179" i="14"/>
  <c r="S42" i="14" s="1"/>
  <c r="S43" i="14" s="1"/>
  <c r="S65" i="14" s="1"/>
  <c r="T94" i="14"/>
  <c r="S82" i="14"/>
  <c r="K6" i="13"/>
  <c r="O214" i="13"/>
  <c r="P178" i="13"/>
  <c r="AF193" i="13"/>
  <c r="N7" i="13"/>
  <c r="P173" i="13"/>
  <c r="O179" i="13"/>
  <c r="O42" i="13" s="1"/>
  <c r="O43" i="13" s="1"/>
  <c r="O65" i="13" s="1"/>
  <c r="R94" i="13"/>
  <c r="Q82" i="13"/>
  <c r="P171" i="13"/>
  <c r="Q89" i="13"/>
  <c r="AB214" i="18"/>
  <c r="AC178" i="18"/>
  <c r="AD82" i="18"/>
  <c r="AE94" i="18"/>
  <c r="AA171" i="18"/>
  <c r="AB89" i="18"/>
  <c r="AB179" i="18"/>
  <c r="AB42" i="18" s="1"/>
  <c r="AB43" i="18" s="1"/>
  <c r="AB65" i="18" s="1"/>
  <c r="AC173" i="18"/>
  <c r="AS193" i="18"/>
  <c r="AA7" i="18"/>
  <c r="AC94" i="17"/>
  <c r="AB82" i="17"/>
  <c r="AE173" i="17"/>
  <c r="AD179" i="17"/>
  <c r="AD42" i="17" s="1"/>
  <c r="AD43" i="17" s="1"/>
  <c r="AD65" i="17" s="1"/>
  <c r="AU193" i="17"/>
  <c r="AC7" i="17"/>
  <c r="AB171" i="17"/>
  <c r="AC89" i="17"/>
  <c r="AD214" i="17"/>
  <c r="AE178" i="17"/>
  <c r="V108" i="16"/>
  <c r="V171" i="16" s="1"/>
  <c r="U82" i="16"/>
  <c r="U214" i="16"/>
  <c r="V178" i="16"/>
  <c r="X94" i="16"/>
  <c r="W89" i="16"/>
  <c r="V173" i="16"/>
  <c r="U179" i="16"/>
  <c r="U42" i="16" s="1"/>
  <c r="U43" i="16" s="1"/>
  <c r="U65" i="16" s="1"/>
  <c r="U171" i="16"/>
  <c r="AL193" i="16"/>
  <c r="T7" i="16"/>
  <c r="X94" i="15"/>
  <c r="W82" i="15"/>
  <c r="X173" i="15"/>
  <c r="W179" i="15"/>
  <c r="W42" i="15" s="1"/>
  <c r="W43" i="15" s="1"/>
  <c r="W65" i="15" s="1"/>
  <c r="AN193" i="15"/>
  <c r="V7" i="15"/>
  <c r="Y178" i="15"/>
  <c r="X214" i="15"/>
  <c r="U171" i="15"/>
  <c r="V89" i="15"/>
  <c r="AK193" i="14"/>
  <c r="S7" i="14"/>
  <c r="T179" i="14"/>
  <c r="T42" i="14" s="1"/>
  <c r="T43" i="14" s="1"/>
  <c r="T65" i="14" s="1"/>
  <c r="U173" i="14"/>
  <c r="U214" i="14"/>
  <c r="V178" i="14"/>
  <c r="R171" i="14"/>
  <c r="S89" i="14"/>
  <c r="T82" i="14"/>
  <c r="U94" i="14"/>
  <c r="S94" i="13"/>
  <c r="R82" i="13"/>
  <c r="AG193" i="13"/>
  <c r="O7" i="13"/>
  <c r="P179" i="13"/>
  <c r="P42" i="13" s="1"/>
  <c r="P43" i="13" s="1"/>
  <c r="P65" i="13" s="1"/>
  <c r="Q173" i="13"/>
  <c r="Q171" i="13"/>
  <c r="R89" i="13"/>
  <c r="P214" i="13"/>
  <c r="Q178" i="13"/>
  <c r="AT193" i="18"/>
  <c r="AB7" i="18"/>
  <c r="AC179" i="18"/>
  <c r="AC42" i="18" s="1"/>
  <c r="AC43" i="18" s="1"/>
  <c r="AC65" i="18" s="1"/>
  <c r="AD173" i="18"/>
  <c r="AB171" i="18"/>
  <c r="AC89" i="18"/>
  <c r="AC214" i="18"/>
  <c r="AD178" i="18"/>
  <c r="AF94" i="18"/>
  <c r="AF82" i="18" s="1"/>
  <c r="AE82" i="18"/>
  <c r="AC171" i="17"/>
  <c r="AD89" i="17"/>
  <c r="AV193" i="17"/>
  <c r="AD7" i="17"/>
  <c r="AF173" i="17"/>
  <c r="AE179" i="17"/>
  <c r="AE42" i="17" s="1"/>
  <c r="AE43" i="17" s="1"/>
  <c r="AE65" i="17" s="1"/>
  <c r="AE214" i="17"/>
  <c r="AF178" i="17"/>
  <c r="AF214" i="17" s="1"/>
  <c r="AD94" i="17"/>
  <c r="AC82" i="17"/>
  <c r="X89" i="16"/>
  <c r="Y94" i="16"/>
  <c r="V214" i="16"/>
  <c r="W178" i="16"/>
  <c r="AM193" i="16"/>
  <c r="U7" i="16"/>
  <c r="V179" i="16"/>
  <c r="V42" i="16" s="1"/>
  <c r="V43" i="16" s="1"/>
  <c r="V65" i="16" s="1"/>
  <c r="W173" i="16"/>
  <c r="W108" i="16"/>
  <c r="V82" i="16"/>
  <c r="Z178" i="15"/>
  <c r="Y214" i="15"/>
  <c r="AO193" i="15"/>
  <c r="W7" i="15"/>
  <c r="X179" i="15"/>
  <c r="X42" i="15" s="1"/>
  <c r="X43" i="15" s="1"/>
  <c r="X65" i="15" s="1"/>
  <c r="Y173" i="15"/>
  <c r="V171" i="15"/>
  <c r="W89" i="15"/>
  <c r="Y94" i="15"/>
  <c r="X82" i="15"/>
  <c r="S171" i="14"/>
  <c r="T89" i="14"/>
  <c r="W178" i="14"/>
  <c r="V214" i="14"/>
  <c r="U179" i="14"/>
  <c r="U42" i="14" s="1"/>
  <c r="U43" i="14" s="1"/>
  <c r="U65" i="14" s="1"/>
  <c r="V173" i="14"/>
  <c r="AL193" i="14"/>
  <c r="T7" i="14"/>
  <c r="V94" i="14"/>
  <c r="U82" i="14"/>
  <c r="R171" i="13"/>
  <c r="S89" i="13"/>
  <c r="Q179" i="13"/>
  <c r="Q42" i="13" s="1"/>
  <c r="Q43" i="13" s="1"/>
  <c r="Q65" i="13" s="1"/>
  <c r="R173" i="13"/>
  <c r="AH193" i="13"/>
  <c r="P7" i="13"/>
  <c r="R178" i="13"/>
  <c r="Q214" i="13"/>
  <c r="T94" i="13"/>
  <c r="S82" i="13"/>
  <c r="AE173" i="18"/>
  <c r="AD179" i="18"/>
  <c r="AD42" i="18" s="1"/>
  <c r="AD43" i="18" s="1"/>
  <c r="AD65" i="18" s="1"/>
  <c r="AD214" i="18"/>
  <c r="AE178" i="18"/>
  <c r="AU193" i="18"/>
  <c r="AC7" i="18"/>
  <c r="AC171" i="18"/>
  <c r="AD89" i="18"/>
  <c r="AH82" i="18"/>
  <c r="AI82" i="18"/>
  <c r="AW193" i="17"/>
  <c r="AE7" i="17"/>
  <c r="AF179" i="17"/>
  <c r="AF42" i="17" s="1"/>
  <c r="AD171" i="17"/>
  <c r="AE89" i="17"/>
  <c r="AE94" i="17"/>
  <c r="AD82" i="17"/>
  <c r="W214" i="16"/>
  <c r="X178" i="16"/>
  <c r="X108" i="16"/>
  <c r="W82" i="16"/>
  <c r="Z94" i="16"/>
  <c r="X173" i="16"/>
  <c r="W179" i="16"/>
  <c r="W42" i="16" s="1"/>
  <c r="W43" i="16" s="1"/>
  <c r="W65" i="16" s="1"/>
  <c r="Y89" i="16"/>
  <c r="AN193" i="16"/>
  <c r="V7" i="16"/>
  <c r="W171" i="16"/>
  <c r="Y179" i="15"/>
  <c r="Y42" i="15" s="1"/>
  <c r="Y43" i="15" s="1"/>
  <c r="Y65" i="15" s="1"/>
  <c r="Z173" i="15"/>
  <c r="AP193" i="15"/>
  <c r="X7" i="15"/>
  <c r="W171" i="15"/>
  <c r="X89" i="15"/>
  <c r="Z94" i="15"/>
  <c r="Y82" i="15"/>
  <c r="Z214" i="15"/>
  <c r="AA178" i="15"/>
  <c r="V179" i="14"/>
  <c r="V42" i="14" s="1"/>
  <c r="V43" i="14" s="1"/>
  <c r="V65" i="14" s="1"/>
  <c r="W173" i="14"/>
  <c r="AM193" i="14"/>
  <c r="U7" i="14"/>
  <c r="W214" i="14"/>
  <c r="X178" i="14"/>
  <c r="T171" i="14"/>
  <c r="U89" i="14"/>
  <c r="W94" i="14"/>
  <c r="V82" i="14"/>
  <c r="R214" i="13"/>
  <c r="S178" i="13"/>
  <c r="R179" i="13"/>
  <c r="R42" i="13" s="1"/>
  <c r="R43" i="13" s="1"/>
  <c r="R65" i="13" s="1"/>
  <c r="S173" i="13"/>
  <c r="AI193" i="13"/>
  <c r="Q7" i="13"/>
  <c r="S171" i="13"/>
  <c r="T89" i="13"/>
  <c r="T82" i="13"/>
  <c r="U94" i="13"/>
  <c r="AE214" i="18"/>
  <c r="AF178" i="18"/>
  <c r="AF214" i="18" s="1"/>
  <c r="AD171" i="18"/>
  <c r="AE89" i="18"/>
  <c r="AV193" i="18"/>
  <c r="AD7" i="18"/>
  <c r="AF173" i="18"/>
  <c r="AF179" i="18" s="1"/>
  <c r="AF42" i="18" s="1"/>
  <c r="AE179" i="18"/>
  <c r="AE42" i="18" s="1"/>
  <c r="AE43" i="18" s="1"/>
  <c r="AE65" i="18" s="1"/>
  <c r="AF94" i="17"/>
  <c r="AF82" i="17" s="1"/>
  <c r="AE82" i="17"/>
  <c r="AE171" i="17"/>
  <c r="AF89" i="17"/>
  <c r="AF171" i="17" s="1"/>
  <c r="AF43" i="17"/>
  <c r="AH42" i="17"/>
  <c r="AI42" i="17"/>
  <c r="AO193" i="16"/>
  <c r="W7" i="16"/>
  <c r="X179" i="16"/>
  <c r="X42" i="16" s="1"/>
  <c r="X43" i="16" s="1"/>
  <c r="X65" i="16" s="1"/>
  <c r="Y173" i="16"/>
  <c r="AA94" i="16"/>
  <c r="Y108" i="16"/>
  <c r="X82" i="16"/>
  <c r="Z89" i="16"/>
  <c r="X214" i="16"/>
  <c r="Y178" i="16"/>
  <c r="X171" i="16"/>
  <c r="AA94" i="15"/>
  <c r="Z82" i="15"/>
  <c r="X171" i="15"/>
  <c r="Y89" i="15"/>
  <c r="AB178" i="15"/>
  <c r="AA214" i="15"/>
  <c r="AA173" i="15"/>
  <c r="Z179" i="15"/>
  <c r="Z42" i="15" s="1"/>
  <c r="Z43" i="15" s="1"/>
  <c r="Z65" i="15" s="1"/>
  <c r="AQ193" i="15"/>
  <c r="Y7" i="15"/>
  <c r="U171" i="14"/>
  <c r="V89" i="14"/>
  <c r="X214" i="14"/>
  <c r="Y178" i="14"/>
  <c r="W179" i="14"/>
  <c r="W42" i="14" s="1"/>
  <c r="W43" i="14" s="1"/>
  <c r="W65" i="14" s="1"/>
  <c r="X173" i="14"/>
  <c r="W82" i="14"/>
  <c r="X94" i="14"/>
  <c r="AN193" i="14"/>
  <c r="V7" i="14"/>
  <c r="T171" i="13"/>
  <c r="U89" i="13"/>
  <c r="S179" i="13"/>
  <c r="S42" i="13" s="1"/>
  <c r="S43" i="13" s="1"/>
  <c r="S65" i="13" s="1"/>
  <c r="T173" i="13"/>
  <c r="AJ193" i="13"/>
  <c r="R7" i="13"/>
  <c r="U82" i="13"/>
  <c r="V94" i="13"/>
  <c r="S214" i="13"/>
  <c r="T178" i="13"/>
  <c r="AW193" i="18"/>
  <c r="AE7" i="18"/>
  <c r="AF43" i="18"/>
  <c r="AI42" i="18"/>
  <c r="AH42" i="18"/>
  <c r="AE171" i="18"/>
  <c r="AF89" i="18"/>
  <c r="AF171" i="18" s="1"/>
  <c r="AF65" i="17"/>
  <c r="AH43" i="17"/>
  <c r="AI43" i="17"/>
  <c r="AH82" i="17"/>
  <c r="AI82" i="17"/>
  <c r="Z108" i="16"/>
  <c r="Z171" i="16" s="1"/>
  <c r="Y82" i="16"/>
  <c r="AB94" i="16"/>
  <c r="Z178" i="16"/>
  <c r="Y214" i="16"/>
  <c r="Y179" i="16"/>
  <c r="Y42" i="16" s="1"/>
  <c r="Y43" i="16" s="1"/>
  <c r="Y65" i="16" s="1"/>
  <c r="Z173" i="16"/>
  <c r="AP193" i="16"/>
  <c r="X7" i="16"/>
  <c r="AA89" i="16"/>
  <c r="Y171" i="16"/>
  <c r="AA179" i="15"/>
  <c r="AA42" i="15" s="1"/>
  <c r="AA43" i="15" s="1"/>
  <c r="AA65" i="15" s="1"/>
  <c r="AB173" i="15"/>
  <c r="AC178" i="15"/>
  <c r="AB214" i="15"/>
  <c r="Y171" i="15"/>
  <c r="Z89" i="15"/>
  <c r="AR193" i="15"/>
  <c r="Z7" i="15"/>
  <c r="AB94" i="15"/>
  <c r="AA82" i="15"/>
  <c r="Y94" i="14"/>
  <c r="X82" i="14"/>
  <c r="Y173" i="14"/>
  <c r="X179" i="14"/>
  <c r="X42" i="14" s="1"/>
  <c r="X43" i="14" s="1"/>
  <c r="X65" i="14" s="1"/>
  <c r="AO193" i="14"/>
  <c r="W7" i="14"/>
  <c r="Y214" i="14"/>
  <c r="Z178" i="14"/>
  <c r="V171" i="14"/>
  <c r="W89" i="14"/>
  <c r="V82" i="13"/>
  <c r="W94" i="13"/>
  <c r="T179" i="13"/>
  <c r="T42" i="13" s="1"/>
  <c r="T43" i="13" s="1"/>
  <c r="T65" i="13" s="1"/>
  <c r="U173" i="13"/>
  <c r="AK193" i="13"/>
  <c r="S7" i="13"/>
  <c r="T214" i="13"/>
  <c r="U178" i="13"/>
  <c r="U171" i="13"/>
  <c r="V89" i="13"/>
  <c r="AF65" i="18"/>
  <c r="AI43" i="18"/>
  <c r="AH43" i="18"/>
  <c r="AX193" i="17"/>
  <c r="AF7" i="17"/>
  <c r="A7" i="17" s="1"/>
  <c r="AH65" i="17"/>
  <c r="AI65" i="17"/>
  <c r="Z179" i="16"/>
  <c r="Z43" i="16" s="1"/>
  <c r="Z65" i="16" s="1"/>
  <c r="AA173" i="16"/>
  <c r="AQ193" i="16"/>
  <c r="Y7" i="16"/>
  <c r="Z214" i="16"/>
  <c r="AA178" i="16"/>
  <c r="AA171" i="16"/>
  <c r="AB89" i="16"/>
  <c r="AC94" i="16"/>
  <c r="AA108" i="16"/>
  <c r="Z82" i="16"/>
  <c r="Z171" i="15"/>
  <c r="AA89" i="15"/>
  <c r="AD178" i="15"/>
  <c r="AC214" i="15"/>
  <c r="AC173" i="15"/>
  <c r="AB179" i="15"/>
  <c r="AB42" i="15" s="1"/>
  <c r="AB43" i="15" s="1"/>
  <c r="AB65" i="15" s="1"/>
  <c r="AB82" i="15"/>
  <c r="AC94" i="15"/>
  <c r="AS193" i="15"/>
  <c r="AA7" i="15"/>
  <c r="AP193" i="14"/>
  <c r="X7" i="14"/>
  <c r="Z173" i="14"/>
  <c r="Y179" i="14"/>
  <c r="Y42" i="14" s="1"/>
  <c r="Y43" i="14" s="1"/>
  <c r="Y65" i="14" s="1"/>
  <c r="AA178" i="14"/>
  <c r="Z214" i="14"/>
  <c r="W171" i="14"/>
  <c r="X89" i="14"/>
  <c r="Z94" i="14"/>
  <c r="Y82" i="14"/>
  <c r="U214" i="13"/>
  <c r="V178" i="13"/>
  <c r="U179" i="13"/>
  <c r="U42" i="13" s="1"/>
  <c r="U43" i="13" s="1"/>
  <c r="U65" i="13" s="1"/>
  <c r="V173" i="13"/>
  <c r="AL193" i="13"/>
  <c r="T7" i="13"/>
  <c r="V171" i="13"/>
  <c r="W89" i="13"/>
  <c r="X94" i="13"/>
  <c r="W82" i="13"/>
  <c r="AX193" i="18"/>
  <c r="AF7" i="18"/>
  <c r="A7" i="18" s="1"/>
  <c r="AI65" i="18"/>
  <c r="AH65" i="18"/>
  <c r="AC89" i="16"/>
  <c r="AA214" i="16"/>
  <c r="AB178" i="16"/>
  <c r="AB108" i="16"/>
  <c r="AA82" i="16"/>
  <c r="AD94" i="16"/>
  <c r="AA179" i="16"/>
  <c r="AA42" i="16" s="1"/>
  <c r="AA43" i="16" s="1"/>
  <c r="AA65" i="16" s="1"/>
  <c r="AB173" i="16"/>
  <c r="AR193" i="16"/>
  <c r="Z7" i="16"/>
  <c r="AT193" i="15"/>
  <c r="AB7" i="15"/>
  <c r="AC179" i="15"/>
  <c r="AC42" i="15" s="1"/>
  <c r="AC43" i="15" s="1"/>
  <c r="AC65" i="15" s="1"/>
  <c r="AD173" i="15"/>
  <c r="AC82" i="15"/>
  <c r="AD94" i="15"/>
  <c r="AE178" i="15"/>
  <c r="AD214" i="15"/>
  <c r="AA171" i="15"/>
  <c r="AB89" i="15"/>
  <c r="X171" i="14"/>
  <c r="Y89" i="14"/>
  <c r="AB178" i="14"/>
  <c r="AA214" i="14"/>
  <c r="AQ193" i="14"/>
  <c r="Y7" i="14"/>
  <c r="Z179" i="14"/>
  <c r="Z43" i="14" s="1"/>
  <c r="Z65" i="14" s="1"/>
  <c r="AA173" i="14"/>
  <c r="Z82" i="14"/>
  <c r="AA94" i="14"/>
  <c r="W171" i="13"/>
  <c r="X89" i="13"/>
  <c r="W173" i="13"/>
  <c r="V179" i="13"/>
  <c r="V42" i="13" s="1"/>
  <c r="V43" i="13" s="1"/>
  <c r="V65" i="13" s="1"/>
  <c r="AM193" i="13"/>
  <c r="U7" i="13"/>
  <c r="V214" i="13"/>
  <c r="W178" i="13"/>
  <c r="Y94" i="13"/>
  <c r="X82" i="13"/>
  <c r="AE94" i="16"/>
  <c r="AC108" i="16"/>
  <c r="AB82" i="16"/>
  <c r="AB214" i="16"/>
  <c r="AC178" i="16"/>
  <c r="AC173" i="16"/>
  <c r="AB179" i="16"/>
  <c r="AB42" i="16" s="1"/>
  <c r="AB43" i="16" s="1"/>
  <c r="AB65" i="16" s="1"/>
  <c r="AD89" i="16"/>
  <c r="AS193" i="16"/>
  <c r="AA7" i="16"/>
  <c r="AB171" i="16"/>
  <c r="AE214" i="15"/>
  <c r="AF178" i="15"/>
  <c r="AF214" i="15" s="1"/>
  <c r="AE94" i="15"/>
  <c r="AD82" i="15"/>
  <c r="AD179" i="15"/>
  <c r="AD42" i="15" s="1"/>
  <c r="AD43" i="15" s="1"/>
  <c r="AD65" i="15" s="1"/>
  <c r="AE173" i="15"/>
  <c r="AU193" i="15"/>
  <c r="AC7" i="15"/>
  <c r="AB171" i="15"/>
  <c r="AC89" i="15"/>
  <c r="AA179" i="14"/>
  <c r="AA42" i="14" s="1"/>
  <c r="AA43" i="14" s="1"/>
  <c r="AA65" i="14" s="1"/>
  <c r="AB173" i="14"/>
  <c r="AR193" i="14"/>
  <c r="Z7" i="14"/>
  <c r="AB214" i="14"/>
  <c r="AC178" i="14"/>
  <c r="AB94" i="14"/>
  <c r="AA82" i="14"/>
  <c r="Y171" i="14"/>
  <c r="Z89" i="14"/>
  <c r="W214" i="13"/>
  <c r="X178" i="13"/>
  <c r="AN193" i="13"/>
  <c r="V7" i="13"/>
  <c r="X173" i="13"/>
  <c r="W179" i="13"/>
  <c r="W42" i="13" s="1"/>
  <c r="W43" i="13" s="1"/>
  <c r="W65" i="13" s="1"/>
  <c r="X171" i="13"/>
  <c r="Y89" i="13"/>
  <c r="Z94" i="13"/>
  <c r="Y82" i="13"/>
  <c r="AT193" i="16"/>
  <c r="AB7" i="16"/>
  <c r="AD173" i="16"/>
  <c r="AC179" i="16"/>
  <c r="AC42" i="16" s="1"/>
  <c r="AC43" i="16" s="1"/>
  <c r="AC65" i="16" s="1"/>
  <c r="AC214" i="16"/>
  <c r="AD178" i="16"/>
  <c r="AD108" i="16"/>
  <c r="AC82" i="16"/>
  <c r="AE89" i="16"/>
  <c r="AF94" i="16"/>
  <c r="AC171" i="16"/>
  <c r="AF173" i="15"/>
  <c r="AF179" i="15" s="1"/>
  <c r="AF42" i="15" s="1"/>
  <c r="AE179" i="15"/>
  <c r="AE42" i="15" s="1"/>
  <c r="AE43" i="15" s="1"/>
  <c r="AE65" i="15" s="1"/>
  <c r="AV193" i="15"/>
  <c r="AD7" i="15"/>
  <c r="AF94" i="15"/>
  <c r="AF82" i="15" s="1"/>
  <c r="AE82" i="15"/>
  <c r="AC171" i="15"/>
  <c r="AD89" i="15"/>
  <c r="AB82" i="14"/>
  <c r="AC94" i="14"/>
  <c r="AC214" i="14"/>
  <c r="AD178" i="14"/>
  <c r="Z171" i="14"/>
  <c r="AA89" i="14"/>
  <c r="AB179" i="14"/>
  <c r="AB42" i="14" s="1"/>
  <c r="AB43" i="14" s="1"/>
  <c r="AB65" i="14" s="1"/>
  <c r="AC173" i="14"/>
  <c r="AS193" i="14"/>
  <c r="AA7" i="14"/>
  <c r="Y171" i="13"/>
  <c r="Z89" i="13"/>
  <c r="AO193" i="13"/>
  <c r="W7" i="13"/>
  <c r="X179" i="13"/>
  <c r="X42" i="13" s="1"/>
  <c r="X43" i="13" s="1"/>
  <c r="X65" i="13" s="1"/>
  <c r="Y173" i="13"/>
  <c r="X214" i="13"/>
  <c r="Y178" i="13"/>
  <c r="AA94" i="13"/>
  <c r="Z82" i="13"/>
  <c r="AE108" i="16"/>
  <c r="AD82" i="16"/>
  <c r="AD214" i="16"/>
  <c r="AE178" i="16"/>
  <c r="AU193" i="16"/>
  <c r="AC7" i="16"/>
  <c r="AD179" i="16"/>
  <c r="AD42" i="16" s="1"/>
  <c r="AD43" i="16" s="1"/>
  <c r="AD65" i="16" s="1"/>
  <c r="AE173" i="16"/>
  <c r="AE171" i="16"/>
  <c r="AF89" i="16"/>
  <c r="AD171" i="16"/>
  <c r="AI82" i="15"/>
  <c r="AH82" i="15"/>
  <c r="AD171" i="15"/>
  <c r="AE89" i="15"/>
  <c r="AW193" i="15"/>
  <c r="AE7" i="15"/>
  <c r="AF43" i="15"/>
  <c r="AI42" i="15"/>
  <c r="AH42" i="15"/>
  <c r="AC179" i="14"/>
  <c r="AC42" i="14" s="1"/>
  <c r="AC43" i="14" s="1"/>
  <c r="AC65" i="14" s="1"/>
  <c r="AD173" i="14"/>
  <c r="AT193" i="14"/>
  <c r="AB7" i="14"/>
  <c r="AA171" i="14"/>
  <c r="AB89" i="14"/>
  <c r="AD214" i="14"/>
  <c r="AE178" i="14"/>
  <c r="AD94" i="14"/>
  <c r="AC82" i="14"/>
  <c r="Z178" i="13"/>
  <c r="Y214" i="13"/>
  <c r="Y179" i="13"/>
  <c r="Y42" i="13" s="1"/>
  <c r="Y43" i="13" s="1"/>
  <c r="Y65" i="13" s="1"/>
  <c r="Z173" i="13"/>
  <c r="AP193" i="13"/>
  <c r="X7" i="13"/>
  <c r="Z171" i="13"/>
  <c r="AA89" i="13"/>
  <c r="AB94" i="13"/>
  <c r="AA82" i="13"/>
  <c r="AV193" i="16"/>
  <c r="AD7" i="16"/>
  <c r="AE214" i="16"/>
  <c r="AF178" i="16"/>
  <c r="AF214" i="16" s="1"/>
  <c r="AF173" i="16"/>
  <c r="AF179" i="16" s="1"/>
  <c r="AF42" i="16" s="1"/>
  <c r="AE179" i="16"/>
  <c r="AE42" i="16" s="1"/>
  <c r="AE43" i="16" s="1"/>
  <c r="AE65" i="16" s="1"/>
  <c r="AF108" i="16"/>
  <c r="AF82" i="16" s="1"/>
  <c r="AE82" i="16"/>
  <c r="AF65" i="15"/>
  <c r="AH43" i="15"/>
  <c r="AI43" i="15"/>
  <c r="AE171" i="15"/>
  <c r="AF89" i="15"/>
  <c r="AF171" i="15" s="1"/>
  <c r="AE214" i="14"/>
  <c r="AF178" i="14"/>
  <c r="AF214" i="14" s="1"/>
  <c r="AB171" i="14"/>
  <c r="AC89" i="14"/>
  <c r="AD179" i="14"/>
  <c r="AD42" i="14" s="1"/>
  <c r="AD43" i="14" s="1"/>
  <c r="AD65" i="14" s="1"/>
  <c r="AE173" i="14"/>
  <c r="AE94" i="14"/>
  <c r="AD82" i="14"/>
  <c r="AU193" i="14"/>
  <c r="AC7" i="14"/>
  <c r="AA171" i="13"/>
  <c r="AB89" i="13"/>
  <c r="Z179" i="13"/>
  <c r="Z43" i="13" s="1"/>
  <c r="Z65" i="13" s="1"/>
  <c r="AA173" i="13"/>
  <c r="AQ193" i="13"/>
  <c r="Y7" i="13"/>
  <c r="AC94" i="13"/>
  <c r="AB82" i="13"/>
  <c r="Z214" i="13"/>
  <c r="AA178" i="13"/>
  <c r="AH82" i="16"/>
  <c r="AI82" i="16"/>
  <c r="AW193" i="16"/>
  <c r="AE7" i="16"/>
  <c r="AF43" i="16"/>
  <c r="AH42" i="16"/>
  <c r="AI42" i="16"/>
  <c r="AF171" i="16"/>
  <c r="AX193" i="15"/>
  <c r="AF7" i="15"/>
  <c r="A7" i="15" s="1"/>
  <c r="AI65" i="15"/>
  <c r="AH65" i="15"/>
  <c r="AF94" i="14"/>
  <c r="AF82" i="14" s="1"/>
  <c r="AE82" i="14"/>
  <c r="AE179" i="14"/>
  <c r="AE42" i="14" s="1"/>
  <c r="AE43" i="14" s="1"/>
  <c r="AE65" i="14" s="1"/>
  <c r="AF173" i="14"/>
  <c r="AF179" i="14" s="1"/>
  <c r="AF42" i="14" s="1"/>
  <c r="AV193" i="14"/>
  <c r="AD7" i="14"/>
  <c r="AC171" i="14"/>
  <c r="AD89" i="14"/>
  <c r="AC82" i="13"/>
  <c r="AD94" i="13"/>
  <c r="AA179" i="13"/>
  <c r="AA42" i="13" s="1"/>
  <c r="AA43" i="13" s="1"/>
  <c r="AA65" i="13" s="1"/>
  <c r="AB173" i="13"/>
  <c r="AR193" i="13"/>
  <c r="Z7" i="13"/>
  <c r="AA214" i="13"/>
  <c r="AB178" i="13"/>
  <c r="AB171" i="13"/>
  <c r="AC89" i="13"/>
  <c r="AF65" i="16"/>
  <c r="AH43" i="16"/>
  <c r="AI43" i="16"/>
  <c r="AD171" i="14"/>
  <c r="AE89" i="14"/>
  <c r="AF43" i="14"/>
  <c r="AH42" i="14"/>
  <c r="AI42" i="14"/>
  <c r="AW193" i="14"/>
  <c r="AE7" i="14"/>
  <c r="AI82" i="14"/>
  <c r="AH82" i="14"/>
  <c r="AB214" i="13"/>
  <c r="AC178" i="13"/>
  <c r="AC173" i="13"/>
  <c r="AB179" i="13"/>
  <c r="AB42" i="13" s="1"/>
  <c r="AB43" i="13" s="1"/>
  <c r="AB65" i="13" s="1"/>
  <c r="AS193" i="13"/>
  <c r="AA7" i="13"/>
  <c r="AC171" i="13"/>
  <c r="AD89" i="13"/>
  <c r="AD82" i="13"/>
  <c r="AE94" i="13"/>
  <c r="AX193" i="16"/>
  <c r="AF7" i="16"/>
  <c r="A7" i="16" s="1"/>
  <c r="AH65" i="16"/>
  <c r="AI65" i="16"/>
  <c r="AF65" i="14"/>
  <c r="AI43" i="14"/>
  <c r="AH43" i="14"/>
  <c r="AE171" i="14"/>
  <c r="AF89" i="14"/>
  <c r="AF171" i="14" s="1"/>
  <c r="AD171" i="13"/>
  <c r="AE89" i="13"/>
  <c r="AT193" i="13"/>
  <c r="AB7" i="13"/>
  <c r="AC179" i="13"/>
  <c r="AC42" i="13" s="1"/>
  <c r="AC43" i="13" s="1"/>
  <c r="AC65" i="13" s="1"/>
  <c r="AD173" i="13"/>
  <c r="AF94" i="13"/>
  <c r="AF82" i="13" s="1"/>
  <c r="AE82" i="13"/>
  <c r="AC214" i="13"/>
  <c r="AD178" i="13"/>
  <c r="AX193" i="14"/>
  <c r="AF7" i="14"/>
  <c r="A7" i="14" s="1"/>
  <c r="AI65" i="14"/>
  <c r="AH65" i="14"/>
  <c r="AI82" i="13"/>
  <c r="AH82" i="13"/>
  <c r="AE173" i="13"/>
  <c r="AD179" i="13"/>
  <c r="AD42" i="13" s="1"/>
  <c r="AD43" i="13" s="1"/>
  <c r="AD65" i="13" s="1"/>
  <c r="AU193" i="13"/>
  <c r="AC7" i="13"/>
  <c r="AD214" i="13"/>
  <c r="AE178" i="13"/>
  <c r="AE171" i="13"/>
  <c r="AF89" i="13"/>
  <c r="AF171" i="13" s="1"/>
  <c r="AE214" i="13"/>
  <c r="AF178" i="13"/>
  <c r="AF214" i="13" s="1"/>
  <c r="AV193" i="13"/>
  <c r="AD7" i="13"/>
  <c r="AF173" i="13"/>
  <c r="AF179" i="13" s="1"/>
  <c r="AF42" i="13" s="1"/>
  <c r="AE179" i="13"/>
  <c r="AE42" i="13" s="1"/>
  <c r="AE43" i="13" s="1"/>
  <c r="AE65" i="13" s="1"/>
  <c r="AW193" i="13"/>
  <c r="AE7" i="13"/>
  <c r="AF43" i="13"/>
  <c r="AI42" i="13"/>
  <c r="AH42" i="13"/>
  <c r="AF65" i="13"/>
  <c r="AH43" i="13"/>
  <c r="AI43" i="13"/>
  <c r="AX193" i="13"/>
  <c r="AF7" i="13"/>
  <c r="A7" i="13" s="1"/>
  <c r="AI65" i="13"/>
  <c r="AH65" i="13"/>
  <c r="P84" i="11"/>
  <c r="K49" i="11"/>
  <c r="F171" i="11"/>
  <c r="F82" i="11"/>
  <c r="F63" i="11"/>
  <c r="F59" i="11"/>
  <c r="F47" i="11"/>
  <c r="F43" i="11"/>
  <c r="F30" i="11"/>
  <c r="J49" i="11"/>
  <c r="F87" i="11"/>
  <c r="F84" i="11"/>
  <c r="E87" i="11"/>
  <c r="D84" i="11"/>
  <c r="E84" i="11"/>
  <c r="AH87" i="11"/>
  <c r="AI87" i="11" s="1"/>
  <c r="B80" i="11"/>
  <c r="B82" i="11"/>
  <c r="B71" i="11"/>
  <c r="B63" i="11"/>
  <c r="B59" i="11"/>
  <c r="B47" i="11"/>
  <c r="B43" i="11"/>
  <c r="B30" i="11"/>
  <c r="B65" i="11" s="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B214" i="11"/>
  <c r="S189" i="11"/>
  <c r="AG179" i="11"/>
  <c r="B179" i="11"/>
  <c r="C178" i="11"/>
  <c r="C177" i="11"/>
  <c r="D177" i="11" s="1"/>
  <c r="E177" i="11" s="1"/>
  <c r="F177" i="11" s="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D176" i="11"/>
  <c r="E176" i="11" s="1"/>
  <c r="F176" i="11" s="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C176" i="11"/>
  <c r="C175" i="11"/>
  <c r="D175" i="11" s="1"/>
  <c r="E175" i="11" s="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V174" i="1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D174" i="11"/>
  <c r="E174" i="11" s="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C174" i="11"/>
  <c r="C173" i="11"/>
  <c r="AG171" i="11"/>
  <c r="B171" i="1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C170" i="11"/>
  <c r="G169" i="11"/>
  <c r="H169" i="11" s="1"/>
  <c r="I169" i="11" s="1"/>
  <c r="J169" i="11" s="1"/>
  <c r="K169" i="11" s="1"/>
  <c r="L169" i="11" s="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C169" i="11"/>
  <c r="D169" i="11" s="1"/>
  <c r="E169" i="11" s="1"/>
  <c r="F169" i="11" s="1"/>
  <c r="E168" i="11"/>
  <c r="F168" i="11" s="1"/>
  <c r="G168" i="11" s="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C168" i="11"/>
  <c r="D168" i="11" s="1"/>
  <c r="C167" i="11"/>
  <c r="D167" i="11" s="1"/>
  <c r="E167" i="11" s="1"/>
  <c r="F167" i="11" s="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E166" i="11"/>
  <c r="F166" i="11" s="1"/>
  <c r="G166" i="11" s="1"/>
  <c r="H166" i="11" s="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C166" i="11"/>
  <c r="D166" i="11" s="1"/>
  <c r="E165" i="11"/>
  <c r="F165" i="11" s="1"/>
  <c r="G165" i="11" s="1"/>
  <c r="H165" i="11" s="1"/>
  <c r="I165" i="11" s="1"/>
  <c r="J165" i="11" s="1"/>
  <c r="K165" i="11" s="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C165" i="11"/>
  <c r="D165" i="11" s="1"/>
  <c r="C164" i="11"/>
  <c r="D164" i="11" s="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D163" i="11"/>
  <c r="C163" i="11"/>
  <c r="G162" i="1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C162" i="11"/>
  <c r="D162" i="11" s="1"/>
  <c r="E162" i="11" s="1"/>
  <c r="F162" i="11" s="1"/>
  <c r="E161" i="11"/>
  <c r="F161" i="11" s="1"/>
  <c r="G161" i="11" s="1"/>
  <c r="H161" i="11" s="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C161" i="11"/>
  <c r="D161" i="11" s="1"/>
  <c r="E160" i="1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D160" i="11"/>
  <c r="C160" i="11"/>
  <c r="J159" i="1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E159" i="11"/>
  <c r="F159" i="11" s="1"/>
  <c r="G159" i="11" s="1"/>
  <c r="H159" i="11" s="1"/>
  <c r="I159" i="11" s="1"/>
  <c r="C159" i="11"/>
  <c r="D159" i="11" s="1"/>
  <c r="W158" i="1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C158" i="11"/>
  <c r="D158" i="11" s="1"/>
  <c r="E158" i="11" s="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D157" i="11"/>
  <c r="C157" i="11"/>
  <c r="C156" i="11"/>
  <c r="D156" i="11" s="1"/>
  <c r="E156" i="11" s="1"/>
  <c r="F156" i="11" s="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L155" i="1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AE155" i="11" s="1"/>
  <c r="AF155" i="11" s="1"/>
  <c r="F155" i="11"/>
  <c r="G155" i="11" s="1"/>
  <c r="H155" i="11" s="1"/>
  <c r="I155" i="11" s="1"/>
  <c r="J155" i="11" s="1"/>
  <c r="K155" i="11" s="1"/>
  <c r="E155" i="11"/>
  <c r="D155" i="11"/>
  <c r="C155" i="11"/>
  <c r="E154" i="11"/>
  <c r="F154" i="11" s="1"/>
  <c r="G154" i="11" s="1"/>
  <c r="H154" i="11" s="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D154" i="11"/>
  <c r="C154" i="11"/>
  <c r="C153" i="11"/>
  <c r="D153" i="11" s="1"/>
  <c r="E153" i="11" s="1"/>
  <c r="F153" i="11" s="1"/>
  <c r="G153" i="11" s="1"/>
  <c r="H153" i="11" s="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I152" i="1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C152" i="11"/>
  <c r="D152" i="11" s="1"/>
  <c r="E152" i="11" s="1"/>
  <c r="F152" i="11" s="1"/>
  <c r="G152" i="11" s="1"/>
  <c r="H152" i="11" s="1"/>
  <c r="AC151" i="11"/>
  <c r="AD151" i="11" s="1"/>
  <c r="AE151" i="11" s="1"/>
  <c r="AF151" i="11" s="1"/>
  <c r="C151" i="11"/>
  <c r="D151" i="11" s="1"/>
  <c r="E151" i="11" s="1"/>
  <c r="F151" i="11" s="1"/>
  <c r="G151" i="11" s="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B150" i="11"/>
  <c r="AC150" i="11" s="1"/>
  <c r="AD150" i="11" s="1"/>
  <c r="AE150" i="11" s="1"/>
  <c r="AF150" i="11" s="1"/>
  <c r="F150" i="11"/>
  <c r="G150" i="11" s="1"/>
  <c r="H150" i="11" s="1"/>
  <c r="I150" i="11" s="1"/>
  <c r="J150" i="11" s="1"/>
  <c r="K150" i="11" s="1"/>
  <c r="L150" i="11" s="1"/>
  <c r="M150" i="11" s="1"/>
  <c r="N150" i="11" s="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C150" i="11"/>
  <c r="D150" i="11" s="1"/>
  <c r="E150" i="11" s="1"/>
  <c r="D149" i="11"/>
  <c r="E149" i="11" s="1"/>
  <c r="F149" i="11" s="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C149" i="11"/>
  <c r="X148" i="11"/>
  <c r="Y148" i="11" s="1"/>
  <c r="Z148" i="11" s="1"/>
  <c r="AA148" i="11" s="1"/>
  <c r="AB148" i="11" s="1"/>
  <c r="AC148" i="11" s="1"/>
  <c r="AD148" i="11" s="1"/>
  <c r="AE148" i="11" s="1"/>
  <c r="AF148" i="11" s="1"/>
  <c r="H148" i="1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C148" i="11"/>
  <c r="D148" i="11" s="1"/>
  <c r="E148" i="11" s="1"/>
  <c r="F148" i="11" s="1"/>
  <c r="G148" i="11" s="1"/>
  <c r="P147" i="1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A147" i="11" s="1"/>
  <c r="AB147" i="11" s="1"/>
  <c r="AC147" i="11" s="1"/>
  <c r="AD147" i="11" s="1"/>
  <c r="AE147" i="11" s="1"/>
  <c r="AF147" i="11" s="1"/>
  <c r="C147" i="11"/>
  <c r="D147" i="11" s="1"/>
  <c r="E147" i="11" s="1"/>
  <c r="F147" i="11" s="1"/>
  <c r="G147" i="11" s="1"/>
  <c r="H147" i="11" s="1"/>
  <c r="I147" i="11" s="1"/>
  <c r="J147" i="11" s="1"/>
  <c r="K147" i="11" s="1"/>
  <c r="L147" i="11" s="1"/>
  <c r="M147" i="11" s="1"/>
  <c r="N147" i="11" s="1"/>
  <c r="O147" i="11" s="1"/>
  <c r="K146" i="1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E146" i="11"/>
  <c r="F146" i="11" s="1"/>
  <c r="G146" i="11" s="1"/>
  <c r="H146" i="11" s="1"/>
  <c r="I146" i="11" s="1"/>
  <c r="J146" i="11" s="1"/>
  <c r="C146" i="11"/>
  <c r="D146" i="11" s="1"/>
  <c r="C145" i="11"/>
  <c r="D145" i="11" s="1"/>
  <c r="E145" i="11" s="1"/>
  <c r="F145" i="11" s="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M144" i="1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C144" i="11"/>
  <c r="D144" i="11" s="1"/>
  <c r="E144" i="11" s="1"/>
  <c r="F144" i="11" s="1"/>
  <c r="G144" i="11" s="1"/>
  <c r="H144" i="11" s="1"/>
  <c r="I144" i="11" s="1"/>
  <c r="J144" i="11" s="1"/>
  <c r="K144" i="11" s="1"/>
  <c r="L144" i="11" s="1"/>
  <c r="AE143" i="11"/>
  <c r="AF143" i="11" s="1"/>
  <c r="C143" i="11"/>
  <c r="D143" i="11" s="1"/>
  <c r="E143" i="11" s="1"/>
  <c r="F143" i="11" s="1"/>
  <c r="G143" i="11" s="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M142" i="1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E142" i="11"/>
  <c r="F142" i="11" s="1"/>
  <c r="G142" i="11" s="1"/>
  <c r="H142" i="11" s="1"/>
  <c r="I142" i="11" s="1"/>
  <c r="J142" i="11" s="1"/>
  <c r="K142" i="11" s="1"/>
  <c r="L142" i="11" s="1"/>
  <c r="D142" i="11"/>
  <c r="C142" i="11"/>
  <c r="C141" i="11"/>
  <c r="D141" i="11" s="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E140" i="11"/>
  <c r="F140" i="11" s="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D140" i="11"/>
  <c r="C140" i="11"/>
  <c r="K139" i="1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G139" i="11"/>
  <c r="H139" i="11" s="1"/>
  <c r="I139" i="11" s="1"/>
  <c r="J139" i="11" s="1"/>
  <c r="C139" i="11"/>
  <c r="D139" i="11" s="1"/>
  <c r="E139" i="11" s="1"/>
  <c r="F139" i="11" s="1"/>
  <c r="I138" i="1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E138" i="11"/>
  <c r="F138" i="11" s="1"/>
  <c r="G138" i="11" s="1"/>
  <c r="H138" i="11" s="1"/>
  <c r="D138" i="11"/>
  <c r="C138" i="11"/>
  <c r="K137" i="1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C137" i="11"/>
  <c r="D137" i="11" s="1"/>
  <c r="E137" i="11" s="1"/>
  <c r="F137" i="11" s="1"/>
  <c r="G137" i="11" s="1"/>
  <c r="H137" i="11" s="1"/>
  <c r="I137" i="11" s="1"/>
  <c r="J137" i="11" s="1"/>
  <c r="I136" i="1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E136" i="11"/>
  <c r="F136" i="11" s="1"/>
  <c r="G136" i="11" s="1"/>
  <c r="H136" i="11" s="1"/>
  <c r="D136" i="11"/>
  <c r="C136" i="11"/>
  <c r="O135" i="1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K135" i="11"/>
  <c r="L135" i="11" s="1"/>
  <c r="M135" i="11" s="1"/>
  <c r="N135" i="11" s="1"/>
  <c r="G135" i="11"/>
  <c r="H135" i="11" s="1"/>
  <c r="I135" i="11" s="1"/>
  <c r="J135" i="11" s="1"/>
  <c r="C135" i="11"/>
  <c r="D135" i="11" s="1"/>
  <c r="E135" i="11" s="1"/>
  <c r="F135" i="11" s="1"/>
  <c r="M134" i="1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I134" i="11"/>
  <c r="J134" i="11" s="1"/>
  <c r="K134" i="11" s="1"/>
  <c r="L134" i="11" s="1"/>
  <c r="E134" i="11"/>
  <c r="F134" i="11" s="1"/>
  <c r="G134" i="11" s="1"/>
  <c r="H134" i="11" s="1"/>
  <c r="D134" i="11"/>
  <c r="C134" i="11"/>
  <c r="S133" i="1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C133" i="11"/>
  <c r="D133" i="11" s="1"/>
  <c r="E133" i="11" s="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H132" i="1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F132" i="11"/>
  <c r="G132" i="11" s="1"/>
  <c r="E132" i="11"/>
  <c r="D132" i="11"/>
  <c r="C132" i="11"/>
  <c r="C131" i="11"/>
  <c r="D131" i="11" s="1"/>
  <c r="E131" i="11" s="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E130" i="11"/>
  <c r="F130" i="11" s="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D130" i="11"/>
  <c r="C130" i="11"/>
  <c r="J129" i="1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D129" i="11"/>
  <c r="E129" i="11" s="1"/>
  <c r="F129" i="11" s="1"/>
  <c r="G129" i="11" s="1"/>
  <c r="H129" i="11" s="1"/>
  <c r="I129" i="11" s="1"/>
  <c r="C129" i="11"/>
  <c r="M128" i="1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H128" i="11"/>
  <c r="I128" i="11" s="1"/>
  <c r="J128" i="11" s="1"/>
  <c r="K128" i="11" s="1"/>
  <c r="L128" i="11" s="1"/>
  <c r="E128" i="11"/>
  <c r="F128" i="11" s="1"/>
  <c r="G128" i="11" s="1"/>
  <c r="D128" i="11"/>
  <c r="C128" i="11"/>
  <c r="H127" i="1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G127" i="11"/>
  <c r="F127" i="11"/>
  <c r="D127" i="11"/>
  <c r="E127" i="11" s="1"/>
  <c r="C127" i="11"/>
  <c r="C126" i="11"/>
  <c r="D126" i="11" s="1"/>
  <c r="E126" i="11" s="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C125" i="11"/>
  <c r="D125" i="11" s="1"/>
  <c r="E125" i="11" s="1"/>
  <c r="F125" i="11" s="1"/>
  <c r="G125" i="11" s="1"/>
  <c r="H125" i="11" s="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C124" i="11"/>
  <c r="D124" i="11" s="1"/>
  <c r="E124" i="11" s="1"/>
  <c r="F124" i="11" s="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E123" i="1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D123" i="11"/>
  <c r="C123" i="11"/>
  <c r="C122" i="11"/>
  <c r="D122" i="11" s="1"/>
  <c r="E122" i="11" s="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F121" i="1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E121" i="11"/>
  <c r="D121" i="11"/>
  <c r="C121" i="11"/>
  <c r="D120" i="11"/>
  <c r="E120" i="11" s="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C120" i="11"/>
  <c r="I119" i="1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E119" i="11"/>
  <c r="F119" i="11" s="1"/>
  <c r="G119" i="11" s="1"/>
  <c r="H119" i="11" s="1"/>
  <c r="D119" i="11"/>
  <c r="C119" i="11"/>
  <c r="H118" i="1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C118" i="11"/>
  <c r="D118" i="11" s="1"/>
  <c r="E118" i="11" s="1"/>
  <c r="F118" i="11" s="1"/>
  <c r="G118" i="11" s="1"/>
  <c r="C117" i="11"/>
  <c r="D117" i="11" s="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Y116" i="11"/>
  <c r="Z116" i="11" s="1"/>
  <c r="AA116" i="11" s="1"/>
  <c r="AB116" i="11" s="1"/>
  <c r="AC116" i="11" s="1"/>
  <c r="AD116" i="11" s="1"/>
  <c r="AE116" i="11" s="1"/>
  <c r="AF116" i="11" s="1"/>
  <c r="C116" i="11"/>
  <c r="D116" i="11" s="1"/>
  <c r="E116" i="11" s="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AE115" i="11"/>
  <c r="AF115" i="11" s="1"/>
  <c r="Y115" i="11"/>
  <c r="Z115" i="11" s="1"/>
  <c r="AA115" i="11" s="1"/>
  <c r="AB115" i="11" s="1"/>
  <c r="AC115" i="11" s="1"/>
  <c r="AD115" i="11" s="1"/>
  <c r="D115" i="1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C115" i="11"/>
  <c r="C114" i="11"/>
  <c r="D114" i="11" s="1"/>
  <c r="E114" i="11" s="1"/>
  <c r="F114" i="11" s="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F113" i="11"/>
  <c r="G113" i="11" s="1"/>
  <c r="H113" i="11" s="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D113" i="11"/>
  <c r="E113" i="11" s="1"/>
  <c r="C113" i="11"/>
  <c r="D112" i="1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C112" i="11"/>
  <c r="R111" i="1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E111" i="11"/>
  <c r="F111" i="11" s="1"/>
  <c r="G111" i="11" s="1"/>
  <c r="H111" i="11" s="1"/>
  <c r="I111" i="11" s="1"/>
  <c r="J111" i="11" s="1"/>
  <c r="K111" i="11" s="1"/>
  <c r="L111" i="11" s="1"/>
  <c r="M111" i="11" s="1"/>
  <c r="N111" i="11" s="1"/>
  <c r="O111" i="11" s="1"/>
  <c r="P111" i="11" s="1"/>
  <c r="Q111" i="11" s="1"/>
  <c r="D111" i="11"/>
  <c r="C111" i="11"/>
  <c r="F110" i="1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E110" i="11"/>
  <c r="D110" i="11"/>
  <c r="C110" i="11"/>
  <c r="D109" i="11"/>
  <c r="E109" i="11" s="1"/>
  <c r="F109" i="11" s="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C109" i="11"/>
  <c r="D108" i="11"/>
  <c r="E108" i="11" s="1"/>
  <c r="F108" i="11" s="1"/>
  <c r="G108" i="11" s="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U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AE108" i="11" s="1"/>
  <c r="AF108" i="11" s="1"/>
  <c r="C108" i="11"/>
  <c r="E107" i="1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D107" i="11"/>
  <c r="C107" i="11"/>
  <c r="AC106" i="11"/>
  <c r="AD106" i="11" s="1"/>
  <c r="AE106" i="11" s="1"/>
  <c r="AF106" i="11" s="1"/>
  <c r="M106" i="1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K106" i="11"/>
  <c r="L106" i="11" s="1"/>
  <c r="D106" i="11"/>
  <c r="E106" i="11" s="1"/>
  <c r="F106" i="11" s="1"/>
  <c r="G106" i="11" s="1"/>
  <c r="H106" i="11" s="1"/>
  <c r="I106" i="11" s="1"/>
  <c r="J106" i="11" s="1"/>
  <c r="C106" i="11"/>
  <c r="M105" i="1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F105" i="11"/>
  <c r="G105" i="11" s="1"/>
  <c r="H105" i="11" s="1"/>
  <c r="I105" i="11" s="1"/>
  <c r="J105" i="11" s="1"/>
  <c r="K105" i="11" s="1"/>
  <c r="L105" i="11" s="1"/>
  <c r="D105" i="11"/>
  <c r="E105" i="11" s="1"/>
  <c r="C105" i="11"/>
  <c r="C104" i="11"/>
  <c r="D104" i="11" s="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G103" i="11"/>
  <c r="H103" i="11" s="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F103" i="11"/>
  <c r="E103" i="11"/>
  <c r="D103" i="11"/>
  <c r="C103" i="11"/>
  <c r="D102" i="11"/>
  <c r="E102" i="11" s="1"/>
  <c r="F102" i="11" s="1"/>
  <c r="G102" i="11" s="1"/>
  <c r="H102" i="11" s="1"/>
  <c r="I102" i="11" s="1"/>
  <c r="J102" i="11" s="1"/>
  <c r="K102" i="11" s="1"/>
  <c r="L102" i="11" s="1"/>
  <c r="M102" i="11" s="1"/>
  <c r="N102" i="11" s="1"/>
  <c r="O102" i="11" s="1"/>
  <c r="P102" i="11" s="1"/>
  <c r="Q102" i="11" s="1"/>
  <c r="R102" i="11" s="1"/>
  <c r="S102" i="11" s="1"/>
  <c r="T102" i="11" s="1"/>
  <c r="U102" i="11" s="1"/>
  <c r="V102" i="11" s="1"/>
  <c r="W102" i="11" s="1"/>
  <c r="X102" i="11" s="1"/>
  <c r="Y102" i="11" s="1"/>
  <c r="Z102" i="11" s="1"/>
  <c r="AA102" i="11" s="1"/>
  <c r="AB102" i="11" s="1"/>
  <c r="AC102" i="11" s="1"/>
  <c r="AD102" i="11" s="1"/>
  <c r="AE102" i="11" s="1"/>
  <c r="AF102" i="11" s="1"/>
  <c r="C102" i="11"/>
  <c r="C101" i="11"/>
  <c r="D101" i="11" s="1"/>
  <c r="E101" i="11" s="1"/>
  <c r="F101" i="11" s="1"/>
  <c r="G101" i="11" s="1"/>
  <c r="H101" i="11" s="1"/>
  <c r="I101" i="11" s="1"/>
  <c r="J101" i="11" s="1"/>
  <c r="K101" i="11" s="1"/>
  <c r="L101" i="11" s="1"/>
  <c r="M101" i="11" s="1"/>
  <c r="N101" i="11" s="1"/>
  <c r="O101" i="11" s="1"/>
  <c r="P101" i="11" s="1"/>
  <c r="Q101" i="11" s="1"/>
  <c r="R101" i="11" s="1"/>
  <c r="S101" i="11" s="1"/>
  <c r="T101" i="11" s="1"/>
  <c r="U101" i="11" s="1"/>
  <c r="V101" i="11" s="1"/>
  <c r="W101" i="11" s="1"/>
  <c r="X101" i="11" s="1"/>
  <c r="Y101" i="11" s="1"/>
  <c r="Z101" i="11" s="1"/>
  <c r="AA101" i="11" s="1"/>
  <c r="AB101" i="11" s="1"/>
  <c r="AC101" i="11" s="1"/>
  <c r="AD101" i="11" s="1"/>
  <c r="AE101" i="11" s="1"/>
  <c r="AF101" i="11" s="1"/>
  <c r="O100" i="11"/>
  <c r="P100" i="11" s="1"/>
  <c r="Q100" i="11" s="1"/>
  <c r="R100" i="11" s="1"/>
  <c r="S100" i="11" s="1"/>
  <c r="T100" i="11" s="1"/>
  <c r="U100" i="11" s="1"/>
  <c r="V100" i="11" s="1"/>
  <c r="W100" i="11" s="1"/>
  <c r="X100" i="11" s="1"/>
  <c r="Y100" i="11" s="1"/>
  <c r="Z100" i="11" s="1"/>
  <c r="AA100" i="11" s="1"/>
  <c r="AB100" i="11" s="1"/>
  <c r="AC100" i="11" s="1"/>
  <c r="AD100" i="11" s="1"/>
  <c r="AE100" i="11" s="1"/>
  <c r="AF100" i="11" s="1"/>
  <c r="D100" i="11"/>
  <c r="E100" i="11" s="1"/>
  <c r="F100" i="11" s="1"/>
  <c r="G100" i="11" s="1"/>
  <c r="H100" i="11" s="1"/>
  <c r="I100" i="11" s="1"/>
  <c r="J100" i="11" s="1"/>
  <c r="K100" i="11" s="1"/>
  <c r="L100" i="11" s="1"/>
  <c r="M100" i="11" s="1"/>
  <c r="N100" i="11" s="1"/>
  <c r="C100" i="11"/>
  <c r="J99" i="11"/>
  <c r="K99" i="11" s="1"/>
  <c r="L99" i="11" s="1"/>
  <c r="M99" i="11" s="1"/>
  <c r="N99" i="11" s="1"/>
  <c r="O99" i="11" s="1"/>
  <c r="P99" i="11" s="1"/>
  <c r="Q99" i="11" s="1"/>
  <c r="R99" i="11" s="1"/>
  <c r="S99" i="11" s="1"/>
  <c r="T99" i="11" s="1"/>
  <c r="U99" i="11" s="1"/>
  <c r="V99" i="11" s="1"/>
  <c r="W99" i="11" s="1"/>
  <c r="X99" i="11" s="1"/>
  <c r="Y99" i="11" s="1"/>
  <c r="Z99" i="11" s="1"/>
  <c r="AA99" i="11" s="1"/>
  <c r="AB99" i="11" s="1"/>
  <c r="AC99" i="11" s="1"/>
  <c r="AD99" i="11" s="1"/>
  <c r="AE99" i="11" s="1"/>
  <c r="AF99" i="11" s="1"/>
  <c r="H99" i="11"/>
  <c r="D99" i="11"/>
  <c r="E99" i="11" s="1"/>
  <c r="F99" i="11" s="1"/>
  <c r="G99" i="11" s="1"/>
  <c r="C99" i="11"/>
  <c r="C98" i="11"/>
  <c r="D98" i="11" s="1"/>
  <c r="E98" i="11" s="1"/>
  <c r="F98" i="11" s="1"/>
  <c r="G98" i="11" s="1"/>
  <c r="H98" i="11" s="1"/>
  <c r="I98" i="11" s="1"/>
  <c r="J98" i="11" s="1"/>
  <c r="K98" i="11" s="1"/>
  <c r="L98" i="11" s="1"/>
  <c r="M98" i="11" s="1"/>
  <c r="N98" i="11" s="1"/>
  <c r="O98" i="11" s="1"/>
  <c r="P98" i="11" s="1"/>
  <c r="Q98" i="11" s="1"/>
  <c r="R98" i="11" s="1"/>
  <c r="S98" i="11" s="1"/>
  <c r="T98" i="11" s="1"/>
  <c r="U98" i="11" s="1"/>
  <c r="V98" i="11" s="1"/>
  <c r="W98" i="11" s="1"/>
  <c r="X98" i="11" s="1"/>
  <c r="Y98" i="11" s="1"/>
  <c r="Z98" i="11" s="1"/>
  <c r="AA98" i="11" s="1"/>
  <c r="AB98" i="11" s="1"/>
  <c r="AC98" i="11" s="1"/>
  <c r="AD98" i="11" s="1"/>
  <c r="AE98" i="11" s="1"/>
  <c r="AF98" i="11" s="1"/>
  <c r="C97" i="11"/>
  <c r="D97" i="11" s="1"/>
  <c r="E97" i="11" s="1"/>
  <c r="F97" i="11" s="1"/>
  <c r="G97" i="11" s="1"/>
  <c r="H97" i="11" s="1"/>
  <c r="I97" i="11" s="1"/>
  <c r="J97" i="11" s="1"/>
  <c r="K97" i="11" s="1"/>
  <c r="L97" i="11" s="1"/>
  <c r="M97" i="11" s="1"/>
  <c r="N97" i="11" s="1"/>
  <c r="O97" i="11" s="1"/>
  <c r="P97" i="11" s="1"/>
  <c r="Q97" i="11" s="1"/>
  <c r="R97" i="11" s="1"/>
  <c r="S97" i="11" s="1"/>
  <c r="T97" i="11" s="1"/>
  <c r="U97" i="11" s="1"/>
  <c r="V97" i="11" s="1"/>
  <c r="W97" i="11" s="1"/>
  <c r="X97" i="11" s="1"/>
  <c r="Y97" i="11" s="1"/>
  <c r="Z97" i="11" s="1"/>
  <c r="AA97" i="11" s="1"/>
  <c r="AB97" i="11" s="1"/>
  <c r="AC97" i="11" s="1"/>
  <c r="AD97" i="11" s="1"/>
  <c r="AE97" i="11" s="1"/>
  <c r="AF97" i="11" s="1"/>
  <c r="E96" i="11"/>
  <c r="F96" i="11" s="1"/>
  <c r="G96" i="11" s="1"/>
  <c r="H96" i="11" s="1"/>
  <c r="I96" i="11" s="1"/>
  <c r="J96" i="11" s="1"/>
  <c r="K96" i="11" s="1"/>
  <c r="L96" i="11" s="1"/>
  <c r="M96" i="11" s="1"/>
  <c r="N96" i="11" s="1"/>
  <c r="O96" i="11" s="1"/>
  <c r="P96" i="11" s="1"/>
  <c r="Q96" i="11" s="1"/>
  <c r="R96" i="11" s="1"/>
  <c r="S96" i="11" s="1"/>
  <c r="T96" i="11" s="1"/>
  <c r="U96" i="11" s="1"/>
  <c r="V96" i="11" s="1"/>
  <c r="W96" i="11" s="1"/>
  <c r="X96" i="11" s="1"/>
  <c r="Y96" i="11" s="1"/>
  <c r="Z96" i="11" s="1"/>
  <c r="AA96" i="11" s="1"/>
  <c r="AB96" i="11" s="1"/>
  <c r="AC96" i="11" s="1"/>
  <c r="AD96" i="11" s="1"/>
  <c r="AE96" i="11" s="1"/>
  <c r="AF96" i="11" s="1"/>
  <c r="C96" i="11"/>
  <c r="D96" i="11" s="1"/>
  <c r="D95" i="11"/>
  <c r="E95" i="11" s="1"/>
  <c r="F95" i="11" s="1"/>
  <c r="G95" i="11" s="1"/>
  <c r="H95" i="11" s="1"/>
  <c r="I95" i="11" s="1"/>
  <c r="J95" i="11" s="1"/>
  <c r="K95" i="11" s="1"/>
  <c r="L95" i="11" s="1"/>
  <c r="M95" i="11" s="1"/>
  <c r="N95" i="11" s="1"/>
  <c r="O95" i="11" s="1"/>
  <c r="P95" i="11" s="1"/>
  <c r="Q95" i="11" s="1"/>
  <c r="R95" i="11" s="1"/>
  <c r="S95" i="11" s="1"/>
  <c r="T95" i="11" s="1"/>
  <c r="U95" i="11" s="1"/>
  <c r="V95" i="11" s="1"/>
  <c r="W95" i="11" s="1"/>
  <c r="X95" i="11" s="1"/>
  <c r="Y95" i="11" s="1"/>
  <c r="Z95" i="11" s="1"/>
  <c r="AA95" i="11" s="1"/>
  <c r="AB95" i="11" s="1"/>
  <c r="AC95" i="11" s="1"/>
  <c r="AD95" i="11" s="1"/>
  <c r="AE95" i="11" s="1"/>
  <c r="AF95" i="11" s="1"/>
  <c r="C95" i="11"/>
  <c r="C94" i="11"/>
  <c r="E93" i="11"/>
  <c r="F93" i="11" s="1"/>
  <c r="G93" i="11" s="1"/>
  <c r="H93" i="11" s="1"/>
  <c r="I93" i="11" s="1"/>
  <c r="J93" i="11" s="1"/>
  <c r="K93" i="11" s="1"/>
  <c r="L93" i="11" s="1"/>
  <c r="M93" i="11" s="1"/>
  <c r="N93" i="11" s="1"/>
  <c r="O93" i="11" s="1"/>
  <c r="P93" i="11" s="1"/>
  <c r="Q93" i="11" s="1"/>
  <c r="R93" i="11" s="1"/>
  <c r="S93" i="11" s="1"/>
  <c r="T93" i="11" s="1"/>
  <c r="U93" i="11" s="1"/>
  <c r="V93" i="11" s="1"/>
  <c r="W93" i="11" s="1"/>
  <c r="X93" i="11" s="1"/>
  <c r="Y93" i="11" s="1"/>
  <c r="Z93" i="11" s="1"/>
  <c r="AA93" i="11" s="1"/>
  <c r="AB93" i="11" s="1"/>
  <c r="AC93" i="11" s="1"/>
  <c r="AD93" i="11" s="1"/>
  <c r="AE93" i="11" s="1"/>
  <c r="AF93" i="11" s="1"/>
  <c r="D93" i="11"/>
  <c r="C93" i="11"/>
  <c r="G92" i="11"/>
  <c r="H92" i="11" s="1"/>
  <c r="I92" i="11" s="1"/>
  <c r="J92" i="11" s="1"/>
  <c r="K92" i="11" s="1"/>
  <c r="L92" i="11" s="1"/>
  <c r="M92" i="11" s="1"/>
  <c r="N92" i="11" s="1"/>
  <c r="O92" i="11" s="1"/>
  <c r="P92" i="11" s="1"/>
  <c r="Q92" i="11" s="1"/>
  <c r="R92" i="11" s="1"/>
  <c r="S92" i="11" s="1"/>
  <c r="T92" i="11" s="1"/>
  <c r="U92" i="11" s="1"/>
  <c r="V92" i="11" s="1"/>
  <c r="W92" i="11" s="1"/>
  <c r="X92" i="11" s="1"/>
  <c r="Y92" i="11" s="1"/>
  <c r="Z92" i="11" s="1"/>
  <c r="AA92" i="11" s="1"/>
  <c r="AB92" i="11" s="1"/>
  <c r="AC92" i="11" s="1"/>
  <c r="AD92" i="11" s="1"/>
  <c r="AE92" i="11" s="1"/>
  <c r="AF92" i="11" s="1"/>
  <c r="C92" i="11"/>
  <c r="D92" i="11" s="1"/>
  <c r="E92" i="11" s="1"/>
  <c r="F92" i="11" s="1"/>
  <c r="E91" i="11"/>
  <c r="F91" i="11" s="1"/>
  <c r="G91" i="11" s="1"/>
  <c r="H91" i="11" s="1"/>
  <c r="I91" i="11" s="1"/>
  <c r="J91" i="11" s="1"/>
  <c r="K91" i="11" s="1"/>
  <c r="L91" i="11" s="1"/>
  <c r="M91" i="11" s="1"/>
  <c r="N91" i="11" s="1"/>
  <c r="O91" i="11" s="1"/>
  <c r="P91" i="11" s="1"/>
  <c r="Q91" i="11" s="1"/>
  <c r="R91" i="11" s="1"/>
  <c r="S91" i="11" s="1"/>
  <c r="T91" i="11" s="1"/>
  <c r="U91" i="11" s="1"/>
  <c r="V91" i="11" s="1"/>
  <c r="W91" i="11" s="1"/>
  <c r="X91" i="11" s="1"/>
  <c r="Y91" i="11" s="1"/>
  <c r="Z91" i="11" s="1"/>
  <c r="AA91" i="11" s="1"/>
  <c r="AB91" i="11" s="1"/>
  <c r="AC91" i="11" s="1"/>
  <c r="AD91" i="11" s="1"/>
  <c r="AE91" i="11" s="1"/>
  <c r="AF91" i="11" s="1"/>
  <c r="D91" i="11"/>
  <c r="C91" i="11"/>
  <c r="C90" i="11"/>
  <c r="D90" i="11" s="1"/>
  <c r="E90" i="11" s="1"/>
  <c r="F90" i="11" s="1"/>
  <c r="G90" i="11" s="1"/>
  <c r="H90" i="11" s="1"/>
  <c r="I90" i="11" s="1"/>
  <c r="J90" i="11" s="1"/>
  <c r="K90" i="11" s="1"/>
  <c r="L90" i="11" s="1"/>
  <c r="M90" i="11" s="1"/>
  <c r="N90" i="11" s="1"/>
  <c r="O90" i="11" s="1"/>
  <c r="P90" i="11" s="1"/>
  <c r="Q90" i="11" s="1"/>
  <c r="R90" i="11" s="1"/>
  <c r="S90" i="11" s="1"/>
  <c r="T90" i="11" s="1"/>
  <c r="U90" i="11" s="1"/>
  <c r="V90" i="11" s="1"/>
  <c r="W90" i="11" s="1"/>
  <c r="X90" i="11" s="1"/>
  <c r="Y90" i="11" s="1"/>
  <c r="Z90" i="11" s="1"/>
  <c r="AA90" i="11" s="1"/>
  <c r="AB90" i="11" s="1"/>
  <c r="AC90" i="11" s="1"/>
  <c r="AD90" i="11" s="1"/>
  <c r="AE90" i="11" s="1"/>
  <c r="AF90" i="11" s="1"/>
  <c r="E89" i="11"/>
  <c r="D89" i="11"/>
  <c r="C89" i="11"/>
  <c r="AH86" i="11"/>
  <c r="AI86" i="11" s="1"/>
  <c r="AH85" i="11"/>
  <c r="AI85" i="11" s="1"/>
  <c r="AH84" i="11"/>
  <c r="AI84" i="11" s="1"/>
  <c r="AH83" i="11"/>
  <c r="AI83" i="11" s="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I79" i="11"/>
  <c r="AH79" i="11"/>
  <c r="AI78" i="11"/>
  <c r="AH78" i="11"/>
  <c r="AI77" i="11"/>
  <c r="AH77" i="11"/>
  <c r="AI76" i="11"/>
  <c r="AH76" i="11"/>
  <c r="AI75" i="11"/>
  <c r="AH75" i="11"/>
  <c r="AI74" i="11"/>
  <c r="AH74" i="11"/>
  <c r="AI73" i="11"/>
  <c r="AH73" i="11"/>
  <c r="AI72" i="11"/>
  <c r="AH72" i="11"/>
  <c r="AG71" i="11"/>
  <c r="AI70" i="11"/>
  <c r="AH70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D71" i="11" s="1"/>
  <c r="C69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S71" i="11" s="1"/>
  <c r="R67" i="11"/>
  <c r="Q67" i="11"/>
  <c r="P67" i="11"/>
  <c r="O67" i="11"/>
  <c r="N67" i="11"/>
  <c r="M67" i="11"/>
  <c r="L67" i="11"/>
  <c r="K67" i="11"/>
  <c r="K71" i="11" s="1"/>
  <c r="J67" i="11"/>
  <c r="I67" i="11"/>
  <c r="H67" i="11"/>
  <c r="G67" i="11"/>
  <c r="F67" i="11"/>
  <c r="E67" i="11"/>
  <c r="D67" i="11"/>
  <c r="C67" i="11"/>
  <c r="AF66" i="11"/>
  <c r="AE66" i="11"/>
  <c r="AD66" i="11"/>
  <c r="AC66" i="11"/>
  <c r="AC71" i="11" s="1"/>
  <c r="AB66" i="11"/>
  <c r="AA66" i="11"/>
  <c r="Z66" i="11"/>
  <c r="Y66" i="11"/>
  <c r="X66" i="11"/>
  <c r="W66" i="11"/>
  <c r="V66" i="11"/>
  <c r="U66" i="11"/>
  <c r="T66" i="11"/>
  <c r="S66" i="11"/>
  <c r="R66" i="11"/>
  <c r="Q66" i="11"/>
  <c r="Q71" i="11" s="1"/>
  <c r="P66" i="11"/>
  <c r="O66" i="11"/>
  <c r="N66" i="11"/>
  <c r="M66" i="11"/>
  <c r="L66" i="11"/>
  <c r="K66" i="11"/>
  <c r="J66" i="11"/>
  <c r="J71" i="11" s="1"/>
  <c r="I66" i="11"/>
  <c r="H66" i="11"/>
  <c r="G66" i="11"/>
  <c r="F66" i="11"/>
  <c r="E66" i="11"/>
  <c r="D66" i="11"/>
  <c r="C66" i="11"/>
  <c r="AI64" i="11"/>
  <c r="AH64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E63" i="11"/>
  <c r="D63" i="11"/>
  <c r="C63" i="11"/>
  <c r="AI62" i="11"/>
  <c r="AH62" i="11"/>
  <c r="AI61" i="11"/>
  <c r="AH61" i="11"/>
  <c r="AI60" i="11"/>
  <c r="AH60" i="11"/>
  <c r="AG59" i="11"/>
  <c r="AF59" i="11"/>
  <c r="AF5" i="11" s="1"/>
  <c r="AE59" i="11"/>
  <c r="AE5" i="11" s="1"/>
  <c r="AD59" i="11"/>
  <c r="AD5" i="11" s="1"/>
  <c r="AC59" i="11"/>
  <c r="AC5" i="11" s="1"/>
  <c r="AB59" i="11"/>
  <c r="AB5" i="11" s="1"/>
  <c r="AA59" i="11"/>
  <c r="AA5" i="11" s="1"/>
  <c r="Z59" i="11"/>
  <c r="Y59" i="11"/>
  <c r="X59" i="11"/>
  <c r="X5" i="11" s="1"/>
  <c r="W59" i="11"/>
  <c r="W5" i="11" s="1"/>
  <c r="V59" i="11"/>
  <c r="U59" i="11"/>
  <c r="U5" i="11" s="1"/>
  <c r="T59" i="11"/>
  <c r="T5" i="11" s="1"/>
  <c r="S59" i="11"/>
  <c r="S5" i="11" s="1"/>
  <c r="R59" i="11"/>
  <c r="Q59" i="11"/>
  <c r="Q5" i="11" s="1"/>
  <c r="P59" i="11"/>
  <c r="P5" i="11" s="1"/>
  <c r="O59" i="11"/>
  <c r="O5" i="11" s="1"/>
  <c r="N59" i="11"/>
  <c r="M59" i="11"/>
  <c r="M5" i="11" s="1"/>
  <c r="L59" i="11"/>
  <c r="L5" i="11" s="1"/>
  <c r="K59" i="11"/>
  <c r="K5" i="11" s="1"/>
  <c r="J59" i="11"/>
  <c r="J5" i="11" s="1"/>
  <c r="I59" i="11"/>
  <c r="I5" i="11" s="1"/>
  <c r="H59" i="11"/>
  <c r="H5" i="11" s="1"/>
  <c r="G59" i="11"/>
  <c r="G5" i="11" s="1"/>
  <c r="F5" i="11"/>
  <c r="E59" i="11"/>
  <c r="E5" i="11" s="1"/>
  <c r="D59" i="11"/>
  <c r="D5" i="11" s="1"/>
  <c r="C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E47" i="11"/>
  <c r="D47" i="11"/>
  <c r="C47" i="11"/>
  <c r="AI46" i="11"/>
  <c r="AH46" i="11"/>
  <c r="AI45" i="11"/>
  <c r="AH45" i="11"/>
  <c r="AI44" i="11"/>
  <c r="AH44" i="11"/>
  <c r="AG42" i="11"/>
  <c r="AG43" i="11" s="1"/>
  <c r="AG3" i="11" s="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G30" i="11"/>
  <c r="AG2" i="11" s="1"/>
  <c r="AG6" i="11" s="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E30" i="11"/>
  <c r="D30" i="11"/>
  <c r="C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Z5" i="11"/>
  <c r="Y5" i="11"/>
  <c r="V5" i="11"/>
  <c r="R5" i="11"/>
  <c r="N5" i="11"/>
  <c r="B5" i="11"/>
  <c r="AG4" i="11"/>
  <c r="K4" i="11"/>
  <c r="C4" i="11"/>
  <c r="D190" i="11" s="1"/>
  <c r="AH59" i="10"/>
  <c r="AH51" i="10"/>
  <c r="AH52" i="10"/>
  <c r="AH53" i="10"/>
  <c r="AH54" i="10"/>
  <c r="AH55" i="10"/>
  <c r="AI52" i="10"/>
  <c r="AI51" i="10"/>
  <c r="AH48" i="10"/>
  <c r="AH49" i="10"/>
  <c r="AI48" i="10"/>
  <c r="AF49" i="10"/>
  <c r="O15" i="9"/>
  <c r="AE49" i="10"/>
  <c r="AD49" i="10"/>
  <c r="AB84" i="10"/>
  <c r="AA84" i="10"/>
  <c r="Q84" i="10"/>
  <c r="P84" i="10"/>
  <c r="P50" i="10"/>
  <c r="O84" i="10"/>
  <c r="O50" i="10"/>
  <c r="N84" i="10"/>
  <c r="N50" i="10"/>
  <c r="M84" i="10"/>
  <c r="M50" i="10"/>
  <c r="L84" i="10"/>
  <c r="L49" i="10"/>
  <c r="L50" i="10"/>
  <c r="K49" i="10"/>
  <c r="J49" i="10"/>
  <c r="I49" i="10"/>
  <c r="H49" i="10"/>
  <c r="H67" i="10" s="1"/>
  <c r="G49" i="10"/>
  <c r="F49" i="10"/>
  <c r="E49" i="10"/>
  <c r="D49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B214" i="10"/>
  <c r="S189" i="10"/>
  <c r="AG179" i="10"/>
  <c r="B179" i="10"/>
  <c r="C178" i="10"/>
  <c r="C177" i="10"/>
  <c r="D177" i="10" s="1"/>
  <c r="E177" i="10" s="1"/>
  <c r="F177" i="10" s="1"/>
  <c r="G177" i="10" s="1"/>
  <c r="H177" i="10" s="1"/>
  <c r="I177" i="10" s="1"/>
  <c r="J177" i="10" s="1"/>
  <c r="K177" i="10" s="1"/>
  <c r="L177" i="10" s="1"/>
  <c r="M177" i="10" s="1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Y177" i="10" s="1"/>
  <c r="Z177" i="10" s="1"/>
  <c r="AA177" i="10" s="1"/>
  <c r="AB177" i="10" s="1"/>
  <c r="AC177" i="10" s="1"/>
  <c r="AD177" i="10" s="1"/>
  <c r="AE177" i="10" s="1"/>
  <c r="AF177" i="10" s="1"/>
  <c r="D176" i="10"/>
  <c r="E176" i="10" s="1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C176" i="10"/>
  <c r="D175" i="10"/>
  <c r="E175" i="10" s="1"/>
  <c r="F175" i="10" s="1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C175" i="10"/>
  <c r="F174" i="10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C174" i="10"/>
  <c r="D174" i="10" s="1"/>
  <c r="E174" i="10" s="1"/>
  <c r="D173" i="10"/>
  <c r="C173" i="10"/>
  <c r="AG171" i="10"/>
  <c r="B171" i="10"/>
  <c r="F170" i="10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C170" i="10"/>
  <c r="D170" i="10" s="1"/>
  <c r="E170" i="10" s="1"/>
  <c r="D169" i="10"/>
  <c r="E169" i="10" s="1"/>
  <c r="F169" i="10" s="1"/>
  <c r="G169" i="10" s="1"/>
  <c r="H169" i="10" s="1"/>
  <c r="I169" i="10" s="1"/>
  <c r="J169" i="10" s="1"/>
  <c r="K169" i="10" s="1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AD169" i="10" s="1"/>
  <c r="AE169" i="10" s="1"/>
  <c r="AF169" i="10" s="1"/>
  <c r="C169" i="10"/>
  <c r="C168" i="10"/>
  <c r="D168" i="10" s="1"/>
  <c r="E168" i="10" s="1"/>
  <c r="F168" i="10" s="1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L167" i="10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C167" i="10"/>
  <c r="D167" i="10" s="1"/>
  <c r="E167" i="10" s="1"/>
  <c r="F167" i="10" s="1"/>
  <c r="G167" i="10" s="1"/>
  <c r="H167" i="10" s="1"/>
  <c r="I167" i="10" s="1"/>
  <c r="J167" i="10" s="1"/>
  <c r="K167" i="10" s="1"/>
  <c r="D166" i="10"/>
  <c r="E166" i="10" s="1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C166" i="10"/>
  <c r="D165" i="10"/>
  <c r="E165" i="10" s="1"/>
  <c r="F165" i="10" s="1"/>
  <c r="G165" i="10" s="1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C165" i="10"/>
  <c r="E164" i="10"/>
  <c r="F164" i="10" s="1"/>
  <c r="G164" i="10" s="1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C164" i="10"/>
  <c r="D164" i="10" s="1"/>
  <c r="C163" i="10"/>
  <c r="D163" i="10" s="1"/>
  <c r="E163" i="10" s="1"/>
  <c r="F163" i="10" s="1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F162" i="10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C162" i="10"/>
  <c r="D162" i="10" s="1"/>
  <c r="E162" i="10" s="1"/>
  <c r="E161" i="10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D161" i="10"/>
  <c r="C161" i="10"/>
  <c r="L160" i="10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E160" i="10"/>
  <c r="F160" i="10" s="1"/>
  <c r="G160" i="10" s="1"/>
  <c r="H160" i="10" s="1"/>
  <c r="I160" i="10" s="1"/>
  <c r="J160" i="10" s="1"/>
  <c r="K160" i="10" s="1"/>
  <c r="C160" i="10"/>
  <c r="D160" i="10" s="1"/>
  <c r="S159" i="10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D159" i="10"/>
  <c r="E159" i="10" s="1"/>
  <c r="F159" i="10" s="1"/>
  <c r="G159" i="10" s="1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C159" i="10"/>
  <c r="C158" i="10"/>
  <c r="D158" i="10" s="1"/>
  <c r="E158" i="10" s="1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I157" i="10"/>
  <c r="J157" i="10" s="1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C157" i="10"/>
  <c r="D157" i="10" s="1"/>
  <c r="E157" i="10" s="1"/>
  <c r="F157" i="10" s="1"/>
  <c r="G157" i="10" s="1"/>
  <c r="H157" i="10" s="1"/>
  <c r="F156" i="10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C156" i="10"/>
  <c r="D156" i="10" s="1"/>
  <c r="E156" i="10" s="1"/>
  <c r="Q155" i="10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D155" i="10"/>
  <c r="E155" i="10" s="1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C155" i="10"/>
  <c r="O154" i="10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C154" i="10"/>
  <c r="D154" i="10" s="1"/>
  <c r="E154" i="10" s="1"/>
  <c r="F154" i="10" s="1"/>
  <c r="G154" i="10" s="1"/>
  <c r="H154" i="10" s="1"/>
  <c r="I154" i="10" s="1"/>
  <c r="J154" i="10" s="1"/>
  <c r="K154" i="10" s="1"/>
  <c r="L154" i="10" s="1"/>
  <c r="M154" i="10" s="1"/>
  <c r="N154" i="10" s="1"/>
  <c r="D153" i="10"/>
  <c r="E153" i="10" s="1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C153" i="10"/>
  <c r="S152" i="10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H152" i="10"/>
  <c r="I152" i="10" s="1"/>
  <c r="J152" i="10" s="1"/>
  <c r="K152" i="10" s="1"/>
  <c r="L152" i="10" s="1"/>
  <c r="M152" i="10" s="1"/>
  <c r="N152" i="10" s="1"/>
  <c r="O152" i="10" s="1"/>
  <c r="P152" i="10" s="1"/>
  <c r="Q152" i="10" s="1"/>
  <c r="R152" i="10" s="1"/>
  <c r="E152" i="10"/>
  <c r="F152" i="10" s="1"/>
  <c r="G152" i="10" s="1"/>
  <c r="C152" i="10"/>
  <c r="D152" i="10" s="1"/>
  <c r="C151" i="10"/>
  <c r="D151" i="10" s="1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U150" i="10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C150" i="10"/>
  <c r="D150" i="10" s="1"/>
  <c r="E150" i="10" s="1"/>
  <c r="F150" i="10" s="1"/>
  <c r="G150" i="10" s="1"/>
  <c r="H150" i="10" s="1"/>
  <c r="I150" i="10" s="1"/>
  <c r="J150" i="10" s="1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E149" i="10"/>
  <c r="F149" i="10" s="1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D149" i="10"/>
  <c r="C149" i="10"/>
  <c r="C148" i="10"/>
  <c r="D148" i="10" s="1"/>
  <c r="E148" i="10" s="1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X147" i="10"/>
  <c r="Y147" i="10" s="1"/>
  <c r="Z147" i="10" s="1"/>
  <c r="AA147" i="10" s="1"/>
  <c r="AB147" i="10" s="1"/>
  <c r="AC147" i="10" s="1"/>
  <c r="AD147" i="10" s="1"/>
  <c r="AE147" i="10" s="1"/>
  <c r="AF147" i="10" s="1"/>
  <c r="F147" i="10"/>
  <c r="G147" i="10" s="1"/>
  <c r="H147" i="10" s="1"/>
  <c r="I147" i="10" s="1"/>
  <c r="J147" i="10" s="1"/>
  <c r="K147" i="10" s="1"/>
  <c r="L147" i="10" s="1"/>
  <c r="M147" i="10" s="1"/>
  <c r="N147" i="10" s="1"/>
  <c r="O147" i="10" s="1"/>
  <c r="P147" i="10" s="1"/>
  <c r="Q147" i="10" s="1"/>
  <c r="R147" i="10" s="1"/>
  <c r="S147" i="10" s="1"/>
  <c r="T147" i="10" s="1"/>
  <c r="U147" i="10" s="1"/>
  <c r="V147" i="10" s="1"/>
  <c r="W147" i="10" s="1"/>
  <c r="E147" i="10"/>
  <c r="D147" i="10"/>
  <c r="C147" i="10"/>
  <c r="D146" i="10"/>
  <c r="E146" i="10" s="1"/>
  <c r="F146" i="10" s="1"/>
  <c r="G146" i="10" s="1"/>
  <c r="H146" i="10" s="1"/>
  <c r="I146" i="10" s="1"/>
  <c r="J146" i="10" s="1"/>
  <c r="K146" i="10" s="1"/>
  <c r="L146" i="10" s="1"/>
  <c r="M146" i="10" s="1"/>
  <c r="N146" i="10" s="1"/>
  <c r="O146" i="10" s="1"/>
  <c r="P146" i="10" s="1"/>
  <c r="Q146" i="10" s="1"/>
  <c r="R146" i="10" s="1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AD146" i="10" s="1"/>
  <c r="AE146" i="10" s="1"/>
  <c r="AF146" i="10" s="1"/>
  <c r="C146" i="10"/>
  <c r="P145" i="10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G145" i="10"/>
  <c r="H145" i="10" s="1"/>
  <c r="I145" i="10" s="1"/>
  <c r="J145" i="10" s="1"/>
  <c r="K145" i="10" s="1"/>
  <c r="L145" i="10" s="1"/>
  <c r="M145" i="10" s="1"/>
  <c r="N145" i="10" s="1"/>
  <c r="O145" i="10" s="1"/>
  <c r="E145" i="10"/>
  <c r="F145" i="10" s="1"/>
  <c r="C145" i="10"/>
  <c r="D145" i="10" s="1"/>
  <c r="F144" i="10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E144" i="10"/>
  <c r="C144" i="10"/>
  <c r="D144" i="10" s="1"/>
  <c r="E143" i="10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C143" i="10"/>
  <c r="D143" i="10" s="1"/>
  <c r="C142" i="10"/>
  <c r="D142" i="10" s="1"/>
  <c r="E142" i="10" s="1"/>
  <c r="F142" i="10" s="1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G141" i="10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C141" i="10"/>
  <c r="D141" i="10" s="1"/>
  <c r="E141" i="10" s="1"/>
  <c r="F141" i="10" s="1"/>
  <c r="V140" i="10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F140" i="10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E140" i="10"/>
  <c r="C140" i="10"/>
  <c r="D140" i="10" s="1"/>
  <c r="T139" i="10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D139" i="10"/>
  <c r="E139" i="10" s="1"/>
  <c r="F139" i="10" s="1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Q139" i="10" s="1"/>
  <c r="R139" i="10" s="1"/>
  <c r="S139" i="10" s="1"/>
  <c r="C139" i="10"/>
  <c r="M138" i="10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I138" i="10"/>
  <c r="J138" i="10" s="1"/>
  <c r="K138" i="10" s="1"/>
  <c r="L138" i="10" s="1"/>
  <c r="C138" i="10"/>
  <c r="D138" i="10" s="1"/>
  <c r="E138" i="10" s="1"/>
  <c r="F138" i="10" s="1"/>
  <c r="G138" i="10" s="1"/>
  <c r="H138" i="10" s="1"/>
  <c r="C137" i="10"/>
  <c r="D137" i="10" s="1"/>
  <c r="E137" i="10" s="1"/>
  <c r="F137" i="10" s="1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F136" i="10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E136" i="10"/>
  <c r="C136" i="10"/>
  <c r="D136" i="10" s="1"/>
  <c r="E135" i="10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D135" i="10"/>
  <c r="C135" i="10"/>
  <c r="D134" i="10"/>
  <c r="E134" i="10" s="1"/>
  <c r="F134" i="10" s="1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C134" i="10"/>
  <c r="H133" i="10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C133" i="10"/>
  <c r="D133" i="10" s="1"/>
  <c r="E133" i="10" s="1"/>
  <c r="F133" i="10" s="1"/>
  <c r="G133" i="10" s="1"/>
  <c r="F132" i="10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C132" i="10"/>
  <c r="D132" i="10" s="1"/>
  <c r="E132" i="10" s="1"/>
  <c r="G131" i="10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D131" i="10"/>
  <c r="E131" i="10" s="1"/>
  <c r="F131" i="10" s="1"/>
  <c r="C131" i="10"/>
  <c r="C130" i="10"/>
  <c r="D130" i="10" s="1"/>
  <c r="E130" i="10" s="1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H129" i="10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D129" i="10"/>
  <c r="E129" i="10" s="1"/>
  <c r="F129" i="10" s="1"/>
  <c r="G129" i="10" s="1"/>
  <c r="C129" i="10"/>
  <c r="F128" i="10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C128" i="10"/>
  <c r="D128" i="10" s="1"/>
  <c r="E128" i="10" s="1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D127" i="10"/>
  <c r="C127" i="10"/>
  <c r="C126" i="10"/>
  <c r="D126" i="10" s="1"/>
  <c r="E126" i="10" s="1"/>
  <c r="F126" i="10" s="1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O125" i="10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C125" i="10"/>
  <c r="D125" i="10" s="1"/>
  <c r="E125" i="10" s="1"/>
  <c r="F125" i="10" s="1"/>
  <c r="G125" i="10" s="1"/>
  <c r="H125" i="10" s="1"/>
  <c r="I125" i="10" s="1"/>
  <c r="J125" i="10" s="1"/>
  <c r="K125" i="10" s="1"/>
  <c r="L125" i="10" s="1"/>
  <c r="M125" i="10" s="1"/>
  <c r="N125" i="10" s="1"/>
  <c r="C124" i="10"/>
  <c r="D124" i="10" s="1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D123" i="10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C123" i="10"/>
  <c r="F122" i="10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C122" i="10"/>
  <c r="D122" i="10" s="1"/>
  <c r="E122" i="10" s="1"/>
  <c r="E121" i="10"/>
  <c r="F121" i="10" s="1"/>
  <c r="G121" i="10" s="1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D121" i="10"/>
  <c r="C121" i="10"/>
  <c r="Z120" i="10"/>
  <c r="AA120" i="10" s="1"/>
  <c r="AB120" i="10" s="1"/>
  <c r="AC120" i="10" s="1"/>
  <c r="AD120" i="10" s="1"/>
  <c r="AE120" i="10" s="1"/>
  <c r="AF120" i="10" s="1"/>
  <c r="J120" i="10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C120" i="10"/>
  <c r="D120" i="10" s="1"/>
  <c r="E120" i="10" s="1"/>
  <c r="F120" i="10" s="1"/>
  <c r="G120" i="10" s="1"/>
  <c r="H120" i="10" s="1"/>
  <c r="I120" i="10" s="1"/>
  <c r="D119" i="10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C119" i="10"/>
  <c r="E118" i="10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C118" i="10"/>
  <c r="D118" i="10" s="1"/>
  <c r="D117" i="10"/>
  <c r="E117" i="10" s="1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C117" i="10"/>
  <c r="C116" i="10"/>
  <c r="D116" i="10" s="1"/>
  <c r="E116" i="10" s="1"/>
  <c r="F116" i="10" s="1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H115" i="10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G115" i="10"/>
  <c r="D115" i="10"/>
  <c r="E115" i="10" s="1"/>
  <c r="F115" i="10" s="1"/>
  <c r="C115" i="10"/>
  <c r="O114" i="10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C114" i="10"/>
  <c r="D114" i="10" s="1"/>
  <c r="E114" i="10" s="1"/>
  <c r="F114" i="10" s="1"/>
  <c r="G114" i="10" s="1"/>
  <c r="H114" i="10" s="1"/>
  <c r="I114" i="10" s="1"/>
  <c r="J114" i="10" s="1"/>
  <c r="K114" i="10" s="1"/>
  <c r="L114" i="10" s="1"/>
  <c r="M114" i="10" s="1"/>
  <c r="N114" i="10" s="1"/>
  <c r="P113" i="10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C113" i="10"/>
  <c r="D113" i="10" s="1"/>
  <c r="E113" i="10" s="1"/>
  <c r="F113" i="10" s="1"/>
  <c r="G113" i="10" s="1"/>
  <c r="H113" i="10" s="1"/>
  <c r="I113" i="10" s="1"/>
  <c r="J113" i="10" s="1"/>
  <c r="K113" i="10" s="1"/>
  <c r="L113" i="10" s="1"/>
  <c r="M113" i="10" s="1"/>
  <c r="N113" i="10" s="1"/>
  <c r="O113" i="10" s="1"/>
  <c r="AD112" i="10"/>
  <c r="AE112" i="10" s="1"/>
  <c r="AF112" i="10" s="1"/>
  <c r="N112" i="10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F112" i="10"/>
  <c r="G112" i="10" s="1"/>
  <c r="H112" i="10" s="1"/>
  <c r="I112" i="10" s="1"/>
  <c r="J112" i="10" s="1"/>
  <c r="K112" i="10" s="1"/>
  <c r="L112" i="10" s="1"/>
  <c r="M112" i="10" s="1"/>
  <c r="C112" i="10"/>
  <c r="D112" i="10" s="1"/>
  <c r="E112" i="10" s="1"/>
  <c r="D111" i="10"/>
  <c r="E111" i="10" s="1"/>
  <c r="F111" i="10" s="1"/>
  <c r="G111" i="10" s="1"/>
  <c r="H111" i="10" s="1"/>
  <c r="I111" i="10" s="1"/>
  <c r="J111" i="10" s="1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C111" i="10"/>
  <c r="AC110" i="10"/>
  <c r="AD110" i="10" s="1"/>
  <c r="AE110" i="10" s="1"/>
  <c r="AF110" i="10" s="1"/>
  <c r="M110" i="10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E110" i="10"/>
  <c r="F110" i="10" s="1"/>
  <c r="G110" i="10" s="1"/>
  <c r="H110" i="10" s="1"/>
  <c r="I110" i="10" s="1"/>
  <c r="J110" i="10" s="1"/>
  <c r="K110" i="10" s="1"/>
  <c r="L110" i="10" s="1"/>
  <c r="C110" i="10"/>
  <c r="D110" i="10" s="1"/>
  <c r="D109" i="10"/>
  <c r="E109" i="10" s="1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C109" i="10"/>
  <c r="Z108" i="10"/>
  <c r="AA108" i="10" s="1"/>
  <c r="AB108" i="10" s="1"/>
  <c r="AC108" i="10" s="1"/>
  <c r="AD108" i="10" s="1"/>
  <c r="AE108" i="10" s="1"/>
  <c r="AF108" i="10" s="1"/>
  <c r="J108" i="10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C108" i="10"/>
  <c r="D108" i="10" s="1"/>
  <c r="E108" i="10" s="1"/>
  <c r="F108" i="10" s="1"/>
  <c r="G108" i="10" s="1"/>
  <c r="H108" i="10" s="1"/>
  <c r="I108" i="10" s="1"/>
  <c r="D107" i="10"/>
  <c r="E107" i="10" s="1"/>
  <c r="F107" i="10" s="1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C107" i="10"/>
  <c r="O106" i="10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H106" i="10"/>
  <c r="I106" i="10" s="1"/>
  <c r="J106" i="10" s="1"/>
  <c r="K106" i="10" s="1"/>
  <c r="L106" i="10" s="1"/>
  <c r="M106" i="10" s="1"/>
  <c r="N106" i="10" s="1"/>
  <c r="C106" i="10"/>
  <c r="D106" i="10" s="1"/>
  <c r="E106" i="10" s="1"/>
  <c r="F106" i="10" s="1"/>
  <c r="G106" i="10" s="1"/>
  <c r="F105" i="10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C105" i="10"/>
  <c r="D105" i="10" s="1"/>
  <c r="E105" i="10" s="1"/>
  <c r="D104" i="10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C104" i="10"/>
  <c r="C103" i="10"/>
  <c r="D103" i="10" s="1"/>
  <c r="E103" i="10" s="1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I102" i="10"/>
  <c r="J102" i="10" s="1"/>
  <c r="K102" i="10" s="1"/>
  <c r="L102" i="10" s="1"/>
  <c r="M102" i="10" s="1"/>
  <c r="N102" i="10" s="1"/>
  <c r="O102" i="10" s="1"/>
  <c r="P102" i="10" s="1"/>
  <c r="Q102" i="10" s="1"/>
  <c r="R102" i="10" s="1"/>
  <c r="S102" i="10" s="1"/>
  <c r="T102" i="10" s="1"/>
  <c r="U102" i="10" s="1"/>
  <c r="V102" i="10" s="1"/>
  <c r="W102" i="10" s="1"/>
  <c r="X102" i="10" s="1"/>
  <c r="Y102" i="10" s="1"/>
  <c r="Z102" i="10" s="1"/>
  <c r="AA102" i="10" s="1"/>
  <c r="AB102" i="10" s="1"/>
  <c r="AC102" i="10" s="1"/>
  <c r="AD102" i="10" s="1"/>
  <c r="AE102" i="10" s="1"/>
  <c r="AF102" i="10" s="1"/>
  <c r="E102" i="10"/>
  <c r="F102" i="10" s="1"/>
  <c r="G102" i="10" s="1"/>
  <c r="H102" i="10" s="1"/>
  <c r="D102" i="10"/>
  <c r="C102" i="10"/>
  <c r="G101" i="10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X101" i="10" s="1"/>
  <c r="Y101" i="10" s="1"/>
  <c r="Z101" i="10" s="1"/>
  <c r="AA101" i="10" s="1"/>
  <c r="AB101" i="10" s="1"/>
  <c r="AC101" i="10" s="1"/>
  <c r="AD101" i="10" s="1"/>
  <c r="AE101" i="10" s="1"/>
  <c r="AF101" i="10" s="1"/>
  <c r="C101" i="10"/>
  <c r="D101" i="10" s="1"/>
  <c r="E101" i="10" s="1"/>
  <c r="F101" i="10" s="1"/>
  <c r="E100" i="10"/>
  <c r="F100" i="10" s="1"/>
  <c r="G100" i="10" s="1"/>
  <c r="H100" i="10" s="1"/>
  <c r="I100" i="10" s="1"/>
  <c r="J100" i="10" s="1"/>
  <c r="K100" i="10" s="1"/>
  <c r="L100" i="10" s="1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X100" i="10" s="1"/>
  <c r="Y100" i="10" s="1"/>
  <c r="Z100" i="10" s="1"/>
  <c r="AA100" i="10" s="1"/>
  <c r="AB100" i="10" s="1"/>
  <c r="AC100" i="10" s="1"/>
  <c r="AD100" i="10" s="1"/>
  <c r="AE100" i="10" s="1"/>
  <c r="AF100" i="10" s="1"/>
  <c r="D100" i="10"/>
  <c r="C100" i="10"/>
  <c r="K99" i="10"/>
  <c r="L99" i="10" s="1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99" i="10" s="1"/>
  <c r="Y99" i="10" s="1"/>
  <c r="Z99" i="10" s="1"/>
  <c r="AA99" i="10" s="1"/>
  <c r="AB99" i="10" s="1"/>
  <c r="AC99" i="10" s="1"/>
  <c r="AD99" i="10" s="1"/>
  <c r="AE99" i="10" s="1"/>
  <c r="AF99" i="10" s="1"/>
  <c r="J99" i="10"/>
  <c r="C99" i="10"/>
  <c r="D99" i="10" s="1"/>
  <c r="E99" i="10" s="1"/>
  <c r="F99" i="10" s="1"/>
  <c r="G99" i="10" s="1"/>
  <c r="H99" i="10" s="1"/>
  <c r="D98" i="10"/>
  <c r="E98" i="10" s="1"/>
  <c r="F98" i="10" s="1"/>
  <c r="G98" i="10" s="1"/>
  <c r="H98" i="10" s="1"/>
  <c r="I98" i="10" s="1"/>
  <c r="J98" i="10" s="1"/>
  <c r="K98" i="10" s="1"/>
  <c r="L98" i="10" s="1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X98" i="10" s="1"/>
  <c r="Y98" i="10" s="1"/>
  <c r="Z98" i="10" s="1"/>
  <c r="AA98" i="10" s="1"/>
  <c r="AB98" i="10" s="1"/>
  <c r="AC98" i="10" s="1"/>
  <c r="AD98" i="10" s="1"/>
  <c r="AE98" i="10" s="1"/>
  <c r="AF98" i="10" s="1"/>
  <c r="C98" i="10"/>
  <c r="F97" i="10"/>
  <c r="G97" i="10" s="1"/>
  <c r="H97" i="10" s="1"/>
  <c r="I97" i="10" s="1"/>
  <c r="J97" i="10" s="1"/>
  <c r="K97" i="10" s="1"/>
  <c r="L97" i="10" s="1"/>
  <c r="M97" i="10" s="1"/>
  <c r="N97" i="10" s="1"/>
  <c r="O97" i="10" s="1"/>
  <c r="P97" i="10" s="1"/>
  <c r="Q97" i="10" s="1"/>
  <c r="R97" i="10" s="1"/>
  <c r="S97" i="10" s="1"/>
  <c r="T97" i="10" s="1"/>
  <c r="U97" i="10" s="1"/>
  <c r="V97" i="10" s="1"/>
  <c r="W97" i="10" s="1"/>
  <c r="X97" i="10" s="1"/>
  <c r="Y97" i="10" s="1"/>
  <c r="Z97" i="10" s="1"/>
  <c r="AA97" i="10" s="1"/>
  <c r="AB97" i="10" s="1"/>
  <c r="AC97" i="10" s="1"/>
  <c r="AD97" i="10" s="1"/>
  <c r="AE97" i="10" s="1"/>
  <c r="AF97" i="10" s="1"/>
  <c r="C97" i="10"/>
  <c r="D97" i="10" s="1"/>
  <c r="E97" i="10" s="1"/>
  <c r="H96" i="10"/>
  <c r="I96" i="10" s="1"/>
  <c r="J96" i="10" s="1"/>
  <c r="K96" i="10" s="1"/>
  <c r="L96" i="10" s="1"/>
  <c r="M96" i="10" s="1"/>
  <c r="N96" i="10" s="1"/>
  <c r="O96" i="10" s="1"/>
  <c r="P96" i="10" s="1"/>
  <c r="Q96" i="10" s="1"/>
  <c r="R96" i="10" s="1"/>
  <c r="S96" i="10" s="1"/>
  <c r="T96" i="10" s="1"/>
  <c r="U96" i="10" s="1"/>
  <c r="V96" i="10" s="1"/>
  <c r="W96" i="10" s="1"/>
  <c r="X96" i="10" s="1"/>
  <c r="Y96" i="10" s="1"/>
  <c r="Z96" i="10" s="1"/>
  <c r="AA96" i="10" s="1"/>
  <c r="AB96" i="10" s="1"/>
  <c r="AC96" i="10" s="1"/>
  <c r="AD96" i="10" s="1"/>
  <c r="AE96" i="10" s="1"/>
  <c r="AF96" i="10" s="1"/>
  <c r="D96" i="10"/>
  <c r="E96" i="10" s="1"/>
  <c r="F96" i="10" s="1"/>
  <c r="G96" i="10" s="1"/>
  <c r="C96" i="10"/>
  <c r="C95" i="10"/>
  <c r="D95" i="10" s="1"/>
  <c r="E95" i="10" s="1"/>
  <c r="F95" i="10" s="1"/>
  <c r="G95" i="10" s="1"/>
  <c r="H95" i="10" s="1"/>
  <c r="I95" i="10" s="1"/>
  <c r="J95" i="10" s="1"/>
  <c r="K95" i="10" s="1"/>
  <c r="L95" i="10" s="1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X95" i="10" s="1"/>
  <c r="Y95" i="10" s="1"/>
  <c r="Z95" i="10" s="1"/>
  <c r="AA95" i="10" s="1"/>
  <c r="AB95" i="10" s="1"/>
  <c r="AC95" i="10" s="1"/>
  <c r="AD95" i="10" s="1"/>
  <c r="AE95" i="10" s="1"/>
  <c r="AF95" i="10" s="1"/>
  <c r="C94" i="10"/>
  <c r="C82" i="10" s="1"/>
  <c r="C93" i="10"/>
  <c r="D93" i="10" s="1"/>
  <c r="E93" i="10" s="1"/>
  <c r="F93" i="10" s="1"/>
  <c r="G93" i="10" s="1"/>
  <c r="H93" i="10" s="1"/>
  <c r="I93" i="10" s="1"/>
  <c r="J93" i="10" s="1"/>
  <c r="K93" i="10" s="1"/>
  <c r="L93" i="10" s="1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X93" i="10" s="1"/>
  <c r="Y93" i="10" s="1"/>
  <c r="Z93" i="10" s="1"/>
  <c r="AA93" i="10" s="1"/>
  <c r="AB93" i="10" s="1"/>
  <c r="AC93" i="10" s="1"/>
  <c r="AD93" i="10" s="1"/>
  <c r="AE93" i="10" s="1"/>
  <c r="AF93" i="10" s="1"/>
  <c r="G92" i="10"/>
  <c r="H92" i="10" s="1"/>
  <c r="I92" i="10" s="1"/>
  <c r="J92" i="10" s="1"/>
  <c r="K92" i="10" s="1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X92" i="10" s="1"/>
  <c r="Y92" i="10" s="1"/>
  <c r="Z92" i="10" s="1"/>
  <c r="AA92" i="10" s="1"/>
  <c r="AB92" i="10" s="1"/>
  <c r="AC92" i="10" s="1"/>
  <c r="AD92" i="10" s="1"/>
  <c r="AE92" i="10" s="1"/>
  <c r="AF92" i="10" s="1"/>
  <c r="D92" i="10"/>
  <c r="E92" i="10" s="1"/>
  <c r="F92" i="10" s="1"/>
  <c r="C92" i="10"/>
  <c r="E91" i="10"/>
  <c r="F91" i="10" s="1"/>
  <c r="G91" i="10" s="1"/>
  <c r="H91" i="10" s="1"/>
  <c r="I91" i="10" s="1"/>
  <c r="J91" i="10" s="1"/>
  <c r="K91" i="10" s="1"/>
  <c r="L91" i="10" s="1"/>
  <c r="M91" i="10" s="1"/>
  <c r="N91" i="10" s="1"/>
  <c r="O91" i="10" s="1"/>
  <c r="P91" i="10" s="1"/>
  <c r="Q91" i="10" s="1"/>
  <c r="R91" i="10" s="1"/>
  <c r="S91" i="10" s="1"/>
  <c r="T91" i="10" s="1"/>
  <c r="U91" i="10" s="1"/>
  <c r="V91" i="10" s="1"/>
  <c r="W91" i="10" s="1"/>
  <c r="X91" i="10" s="1"/>
  <c r="Y91" i="10" s="1"/>
  <c r="Z91" i="10" s="1"/>
  <c r="AA91" i="10" s="1"/>
  <c r="AB91" i="10" s="1"/>
  <c r="AC91" i="10" s="1"/>
  <c r="AD91" i="10" s="1"/>
  <c r="AE91" i="10" s="1"/>
  <c r="AF91" i="10" s="1"/>
  <c r="C91" i="10"/>
  <c r="D91" i="10" s="1"/>
  <c r="C90" i="10"/>
  <c r="D90" i="10" s="1"/>
  <c r="E90" i="10" s="1"/>
  <c r="F90" i="10" s="1"/>
  <c r="G90" i="10" s="1"/>
  <c r="H90" i="10" s="1"/>
  <c r="I90" i="10" s="1"/>
  <c r="J90" i="10" s="1"/>
  <c r="K90" i="10" s="1"/>
  <c r="L90" i="10" s="1"/>
  <c r="M90" i="10" s="1"/>
  <c r="N90" i="10" s="1"/>
  <c r="O90" i="10" s="1"/>
  <c r="P90" i="10" s="1"/>
  <c r="Q90" i="10" s="1"/>
  <c r="R90" i="10" s="1"/>
  <c r="S90" i="10" s="1"/>
  <c r="T90" i="10" s="1"/>
  <c r="U90" i="10" s="1"/>
  <c r="V90" i="10" s="1"/>
  <c r="W90" i="10" s="1"/>
  <c r="X90" i="10" s="1"/>
  <c r="Y90" i="10" s="1"/>
  <c r="Z90" i="10" s="1"/>
  <c r="AA90" i="10" s="1"/>
  <c r="AB90" i="10" s="1"/>
  <c r="AC90" i="10" s="1"/>
  <c r="AD90" i="10" s="1"/>
  <c r="AE90" i="10" s="1"/>
  <c r="AF90" i="10" s="1"/>
  <c r="C89" i="10"/>
  <c r="AH87" i="10"/>
  <c r="AI87" i="10" s="1"/>
  <c r="AH86" i="10"/>
  <c r="AI86" i="10" s="1"/>
  <c r="AH85" i="10"/>
  <c r="AI85" i="10" s="1"/>
  <c r="AH84" i="10"/>
  <c r="AI84" i="10" s="1"/>
  <c r="B82" i="10"/>
  <c r="AH83" i="10"/>
  <c r="AI83" i="10" s="1"/>
  <c r="AB80" i="10"/>
  <c r="AA80" i="10"/>
  <c r="Z80" i="10"/>
  <c r="Y80" i="10"/>
  <c r="X80" i="10"/>
  <c r="W80" i="10"/>
  <c r="V80" i="10"/>
  <c r="U80" i="10"/>
  <c r="T80" i="10"/>
  <c r="S80" i="10"/>
  <c r="R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I79" i="10"/>
  <c r="AH79" i="10"/>
  <c r="AI78" i="10"/>
  <c r="AH78" i="10"/>
  <c r="AI77" i="10"/>
  <c r="AH77" i="10"/>
  <c r="AI76" i="10"/>
  <c r="AH76" i="10"/>
  <c r="AI75" i="10"/>
  <c r="AH75" i="10"/>
  <c r="AI74" i="10"/>
  <c r="AH74" i="10"/>
  <c r="AI73" i="10"/>
  <c r="AH73" i="10"/>
  <c r="AI72" i="10"/>
  <c r="AH72" i="10"/>
  <c r="AG71" i="10"/>
  <c r="AI70" i="10"/>
  <c r="AH70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O69" i="10"/>
  <c r="N69" i="10"/>
  <c r="M69" i="10"/>
  <c r="K69" i="10"/>
  <c r="J69" i="10"/>
  <c r="I69" i="10"/>
  <c r="H69" i="10"/>
  <c r="G69" i="10"/>
  <c r="F69" i="10"/>
  <c r="E69" i="10"/>
  <c r="D69" i="10"/>
  <c r="C69" i="10"/>
  <c r="B69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E67" i="10"/>
  <c r="AD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G67" i="10"/>
  <c r="F67" i="10"/>
  <c r="E67" i="10"/>
  <c r="D67" i="10"/>
  <c r="C67" i="10"/>
  <c r="B67" i="10"/>
  <c r="AF66" i="10"/>
  <c r="AE66" i="10"/>
  <c r="AD66" i="10"/>
  <c r="AC66" i="10"/>
  <c r="AB66" i="10"/>
  <c r="AA66" i="10"/>
  <c r="Z66" i="10"/>
  <c r="Y66" i="10"/>
  <c r="X66" i="10"/>
  <c r="X71" i="10" s="1"/>
  <c r="W66" i="10"/>
  <c r="V66" i="10"/>
  <c r="U66" i="10"/>
  <c r="T66" i="10"/>
  <c r="T71" i="10" s="1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I64" i="10"/>
  <c r="AH64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I62" i="10"/>
  <c r="AH62" i="10"/>
  <c r="AI61" i="10"/>
  <c r="AH61" i="10"/>
  <c r="AI60" i="10"/>
  <c r="AH60" i="10"/>
  <c r="AG59" i="10"/>
  <c r="AE59" i="10"/>
  <c r="AE5" i="10" s="1"/>
  <c r="AD59" i="10"/>
  <c r="AD5" i="10" s="1"/>
  <c r="AB59" i="10"/>
  <c r="AB5" i="10" s="1"/>
  <c r="AA59" i="10"/>
  <c r="AA5" i="10" s="1"/>
  <c r="Z59" i="10"/>
  <c r="Y59" i="10"/>
  <c r="Y5" i="10" s="1"/>
  <c r="X59" i="10"/>
  <c r="W59" i="10"/>
  <c r="W5" i="10" s="1"/>
  <c r="V59" i="10"/>
  <c r="V5" i="10" s="1"/>
  <c r="U59" i="10"/>
  <c r="U5" i="10" s="1"/>
  <c r="T59" i="10"/>
  <c r="T5" i="10" s="1"/>
  <c r="S59" i="10"/>
  <c r="S5" i="10" s="1"/>
  <c r="R59" i="10"/>
  <c r="R5" i="10" s="1"/>
  <c r="O59" i="10"/>
  <c r="O5" i="10" s="1"/>
  <c r="N59" i="10"/>
  <c r="N5" i="10" s="1"/>
  <c r="M59" i="10"/>
  <c r="L59" i="10"/>
  <c r="L5" i="10" s="1"/>
  <c r="K59" i="10"/>
  <c r="K5" i="10" s="1"/>
  <c r="J59" i="10"/>
  <c r="I59" i="10"/>
  <c r="H59" i="10"/>
  <c r="G59" i="10"/>
  <c r="G5" i="10" s="1"/>
  <c r="F59" i="10"/>
  <c r="F5" i="10" s="1"/>
  <c r="E59" i="10"/>
  <c r="E5" i="10" s="1"/>
  <c r="D59" i="10"/>
  <c r="D5" i="10" s="1"/>
  <c r="C59" i="10"/>
  <c r="C5" i="10" s="1"/>
  <c r="B59" i="10"/>
  <c r="B5" i="10" s="1"/>
  <c r="AI58" i="10"/>
  <c r="AH58" i="10"/>
  <c r="AI57" i="10"/>
  <c r="AH57" i="10"/>
  <c r="AI56" i="10"/>
  <c r="AH56" i="10"/>
  <c r="AI55" i="10"/>
  <c r="AI54" i="10"/>
  <c r="AI53" i="10"/>
  <c r="Q59" i="10"/>
  <c r="P69" i="10"/>
  <c r="AI50" i="10"/>
  <c r="AF59" i="10"/>
  <c r="AE80" i="10"/>
  <c r="AD80" i="10"/>
  <c r="AC80" i="10"/>
  <c r="AG47" i="10"/>
  <c r="AG4" i="10" s="1"/>
  <c r="AF47" i="10"/>
  <c r="AE47" i="10"/>
  <c r="AD47" i="10"/>
  <c r="AC47" i="10"/>
  <c r="AB47" i="10"/>
  <c r="AA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I46" i="10"/>
  <c r="AH46" i="10"/>
  <c r="AI45" i="10"/>
  <c r="AH45" i="10"/>
  <c r="AI44" i="10"/>
  <c r="AH44" i="10"/>
  <c r="AG42" i="10"/>
  <c r="AG43" i="10" s="1"/>
  <c r="AG3" i="10" s="1"/>
  <c r="B42" i="10"/>
  <c r="B43" i="10" s="1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G30" i="10"/>
  <c r="AF30" i="10"/>
  <c r="AE30" i="10"/>
  <c r="AD30" i="10"/>
  <c r="AC30" i="10"/>
  <c r="AA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Z5" i="10"/>
  <c r="X5" i="10"/>
  <c r="M5" i="10"/>
  <c r="J5" i="10"/>
  <c r="I5" i="10"/>
  <c r="H5" i="10"/>
  <c r="K4" i="10"/>
  <c r="C4" i="10"/>
  <c r="D4" i="10" s="1"/>
  <c r="AG2" i="10"/>
  <c r="AF49" i="8"/>
  <c r="AE49" i="8"/>
  <c r="AD49" i="8"/>
  <c r="AF71" i="11"/>
  <c r="AD71" i="11"/>
  <c r="AB71" i="11"/>
  <c r="AA71" i="11"/>
  <c r="Z71" i="11"/>
  <c r="Y71" i="11"/>
  <c r="X71" i="11"/>
  <c r="V71" i="11"/>
  <c r="U71" i="11"/>
  <c r="T71" i="11"/>
  <c r="R71" i="11"/>
  <c r="N71" i="11"/>
  <c r="M71" i="11"/>
  <c r="L71" i="11"/>
  <c r="I71" i="11"/>
  <c r="H71" i="11"/>
  <c r="F71" i="11"/>
  <c r="E71" i="11"/>
  <c r="AI69" i="11"/>
  <c r="AI59" i="11"/>
  <c r="AI80" i="11"/>
  <c r="C71" i="11"/>
  <c r="AH59" i="11"/>
  <c r="AI66" i="11"/>
  <c r="AH67" i="11"/>
  <c r="P71" i="11"/>
  <c r="AH47" i="11"/>
  <c r="AI67" i="11"/>
  <c r="AI68" i="11"/>
  <c r="C82" i="11"/>
  <c r="D94" i="11"/>
  <c r="AH80" i="11"/>
  <c r="AI30" i="11"/>
  <c r="AH30" i="11"/>
  <c r="F89" i="11"/>
  <c r="AI47" i="11"/>
  <c r="AH66" i="11"/>
  <c r="AG65" i="11"/>
  <c r="AI63" i="11"/>
  <c r="G71" i="11"/>
  <c r="O71" i="11"/>
  <c r="W71" i="11"/>
  <c r="AE71" i="11"/>
  <c r="AH68" i="11"/>
  <c r="C5" i="11"/>
  <c r="AH63" i="11"/>
  <c r="AH69" i="11"/>
  <c r="C171" i="11"/>
  <c r="D171" i="11"/>
  <c r="D178" i="11"/>
  <c r="C214" i="11"/>
  <c r="C179" i="11"/>
  <c r="C42" i="11" s="1"/>
  <c r="C43" i="11" s="1"/>
  <c r="C65" i="11" s="1"/>
  <c r="D173" i="11"/>
  <c r="AE71" i="10"/>
  <c r="AB71" i="10"/>
  <c r="AA71" i="10"/>
  <c r="Y71" i="10"/>
  <c r="U71" i="10"/>
  <c r="S71" i="10"/>
  <c r="Q71" i="10"/>
  <c r="O71" i="10"/>
  <c r="M71" i="10"/>
  <c r="J71" i="10"/>
  <c r="AH68" i="10"/>
  <c r="H71" i="10"/>
  <c r="E71" i="10"/>
  <c r="D71" i="10"/>
  <c r="G71" i="10"/>
  <c r="I71" i="10"/>
  <c r="AI66" i="10"/>
  <c r="C71" i="10"/>
  <c r="K71" i="10"/>
  <c r="F71" i="10"/>
  <c r="AI30" i="10"/>
  <c r="R71" i="10"/>
  <c r="Z71" i="10"/>
  <c r="W71" i="10"/>
  <c r="Z65" i="10"/>
  <c r="AR193" i="10" s="1"/>
  <c r="N71" i="10"/>
  <c r="V71" i="10"/>
  <c r="AD71" i="10"/>
  <c r="AI47" i="10"/>
  <c r="AH30" i="10"/>
  <c r="L71" i="10"/>
  <c r="Q5" i="10"/>
  <c r="AG6" i="10"/>
  <c r="Z7" i="10"/>
  <c r="B65" i="10"/>
  <c r="P71" i="10"/>
  <c r="AG65" i="10"/>
  <c r="AF5" i="10"/>
  <c r="AH63" i="10"/>
  <c r="C171" i="10"/>
  <c r="D89" i="10"/>
  <c r="AH47" i="10"/>
  <c r="AI63" i="10"/>
  <c r="D94" i="10"/>
  <c r="AI68" i="10"/>
  <c r="AI49" i="10"/>
  <c r="AC67" i="10"/>
  <c r="AC71" i="10" s="1"/>
  <c r="AC59" i="10"/>
  <c r="AC5" i="10" s="1"/>
  <c r="L69" i="10"/>
  <c r="AH69" i="10" s="1"/>
  <c r="AF80" i="10"/>
  <c r="Q80" i="10"/>
  <c r="B71" i="10"/>
  <c r="AH66" i="10"/>
  <c r="AF67" i="10"/>
  <c r="AF71" i="10" s="1"/>
  <c r="AH50" i="10"/>
  <c r="P59" i="10"/>
  <c r="D179" i="10"/>
  <c r="D42" i="10" s="1"/>
  <c r="D43" i="10" s="1"/>
  <c r="D65" i="10" s="1"/>
  <c r="C179" i="10"/>
  <c r="C42" i="10" s="1"/>
  <c r="C43" i="10" s="1"/>
  <c r="C65" i="10" s="1"/>
  <c r="C214" i="10"/>
  <c r="E173" i="10"/>
  <c r="D178" i="10"/>
  <c r="AC49" i="8"/>
  <c r="AH71" i="11"/>
  <c r="E173" i="11"/>
  <c r="D179" i="11"/>
  <c r="D42" i="11" s="1"/>
  <c r="D43" i="11" s="1"/>
  <c r="D65" i="11" s="1"/>
  <c r="G89" i="11"/>
  <c r="U193" i="11"/>
  <c r="C7" i="11"/>
  <c r="AI71" i="11"/>
  <c r="D214" i="11"/>
  <c r="E178" i="11"/>
  <c r="T193" i="11"/>
  <c r="B7" i="11"/>
  <c r="D82" i="11"/>
  <c r="E94" i="11"/>
  <c r="AI67" i="10"/>
  <c r="AH67" i="10"/>
  <c r="AH80" i="10"/>
  <c r="V193" i="10"/>
  <c r="D7" i="10"/>
  <c r="D82" i="10"/>
  <c r="E94" i="10"/>
  <c r="AI69" i="10"/>
  <c r="AI71" i="10"/>
  <c r="AH71" i="10"/>
  <c r="D171" i="10"/>
  <c r="E89" i="10"/>
  <c r="P5" i="10"/>
  <c r="AI80" i="10"/>
  <c r="U193" i="10"/>
  <c r="C7" i="10"/>
  <c r="AI59" i="10"/>
  <c r="E178" i="10"/>
  <c r="D214" i="10"/>
  <c r="F173" i="10"/>
  <c r="E179" i="10"/>
  <c r="E42" i="10" s="1"/>
  <c r="E43" i="10" s="1"/>
  <c r="E65" i="10" s="1"/>
  <c r="T193" i="10"/>
  <c r="B7" i="10"/>
  <c r="H89" i="11"/>
  <c r="V193" i="11"/>
  <c r="D7" i="11"/>
  <c r="E82" i="11"/>
  <c r="F94" i="11"/>
  <c r="E171" i="11"/>
  <c r="E214" i="11"/>
  <c r="F178" i="11"/>
  <c r="E179" i="11"/>
  <c r="E42" i="11" s="1"/>
  <c r="F173" i="11"/>
  <c r="F94" i="10"/>
  <c r="E82" i="10"/>
  <c r="E171" i="10"/>
  <c r="F89" i="10"/>
  <c r="F178" i="10"/>
  <c r="E214" i="10"/>
  <c r="W193" i="10"/>
  <c r="E7" i="10"/>
  <c r="G173" i="10"/>
  <c r="F179" i="10"/>
  <c r="F42" i="10" s="1"/>
  <c r="G94" i="11"/>
  <c r="F214" i="11"/>
  <c r="G178" i="11"/>
  <c r="F179" i="11"/>
  <c r="F42" i="11" s="1"/>
  <c r="F65" i="11" s="1"/>
  <c r="G173" i="11"/>
  <c r="E43" i="11"/>
  <c r="I89" i="11"/>
  <c r="F171" i="10"/>
  <c r="G89" i="10"/>
  <c r="G179" i="10"/>
  <c r="G42" i="10" s="1"/>
  <c r="G43" i="10" s="1"/>
  <c r="G65" i="10" s="1"/>
  <c r="H173" i="10"/>
  <c r="F43" i="10"/>
  <c r="F214" i="10"/>
  <c r="G178" i="10"/>
  <c r="G94" i="10"/>
  <c r="F82" i="10"/>
  <c r="G214" i="11"/>
  <c r="H178" i="11"/>
  <c r="H94" i="11"/>
  <c r="G82" i="11"/>
  <c r="G171" i="11"/>
  <c r="J89" i="11"/>
  <c r="E65" i="11"/>
  <c r="H173" i="11"/>
  <c r="G179" i="11"/>
  <c r="G42" i="11" s="1"/>
  <c r="X193" i="11"/>
  <c r="F7" i="11"/>
  <c r="H94" i="10"/>
  <c r="G82" i="10"/>
  <c r="H178" i="10"/>
  <c r="G214" i="10"/>
  <c r="Y193" i="10"/>
  <c r="G7" i="10"/>
  <c r="G171" i="10"/>
  <c r="H89" i="10"/>
  <c r="F65" i="10"/>
  <c r="H179" i="10"/>
  <c r="H42" i="10" s="1"/>
  <c r="I173" i="10"/>
  <c r="W193" i="11"/>
  <c r="E7" i="11"/>
  <c r="K89" i="11"/>
  <c r="G43" i="11"/>
  <c r="H179" i="11"/>
  <c r="H42" i="11" s="1"/>
  <c r="H43" i="11" s="1"/>
  <c r="H65" i="11" s="1"/>
  <c r="I173" i="11"/>
  <c r="I94" i="11"/>
  <c r="H82" i="11"/>
  <c r="H171" i="11"/>
  <c r="H214" i="11"/>
  <c r="I178" i="11"/>
  <c r="J173" i="10"/>
  <c r="H43" i="10"/>
  <c r="I178" i="10"/>
  <c r="H214" i="10"/>
  <c r="X193" i="10"/>
  <c r="F7" i="10"/>
  <c r="I94" i="10"/>
  <c r="H82" i="10"/>
  <c r="H171" i="10"/>
  <c r="I89" i="10"/>
  <c r="X84" i="8"/>
  <c r="Q50" i="8"/>
  <c r="P50" i="8"/>
  <c r="P84" i="8"/>
  <c r="N84" i="8"/>
  <c r="L84" i="8"/>
  <c r="L50" i="8"/>
  <c r="J30" i="8"/>
  <c r="AL38" i="7"/>
  <c r="AL36" i="7"/>
  <c r="AH87" i="8"/>
  <c r="AI87" i="8" s="1"/>
  <c r="C84" i="8"/>
  <c r="B84" i="8"/>
  <c r="B82" i="8" s="1"/>
  <c r="B80" i="8"/>
  <c r="B69" i="8"/>
  <c r="B68" i="8"/>
  <c r="B67" i="8"/>
  <c r="B66" i="8"/>
  <c r="B63" i="8"/>
  <c r="B65" i="8" s="1"/>
  <c r="B59" i="8"/>
  <c r="B47" i="8"/>
  <c r="B42" i="8"/>
  <c r="B43" i="8" s="1"/>
  <c r="B30" i="8"/>
  <c r="AF218" i="8"/>
  <c r="AE218" i="8"/>
  <c r="AD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J218" i="8"/>
  <c r="I218" i="8"/>
  <c r="H218" i="8"/>
  <c r="G218" i="8"/>
  <c r="F218" i="8"/>
  <c r="E218" i="8"/>
  <c r="D218" i="8"/>
  <c r="C218" i="8"/>
  <c r="B218" i="8"/>
  <c r="A218" i="8"/>
  <c r="AF217" i="8"/>
  <c r="AE217" i="8"/>
  <c r="AD217" i="8"/>
  <c r="AC217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D217" i="8"/>
  <c r="C217" i="8"/>
  <c r="B217" i="8"/>
  <c r="A217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B216" i="8"/>
  <c r="A216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B215" i="8"/>
  <c r="A215" i="8"/>
  <c r="B214" i="8"/>
  <c r="S189" i="8"/>
  <c r="AG179" i="8"/>
  <c r="C179" i="8"/>
  <c r="B179" i="8"/>
  <c r="E178" i="8"/>
  <c r="D178" i="8"/>
  <c r="D214" i="8" s="1"/>
  <c r="C178" i="8"/>
  <c r="C214" i="8" s="1"/>
  <c r="I177" i="8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D177" i="8"/>
  <c r="E177" i="8" s="1"/>
  <c r="F177" i="8" s="1"/>
  <c r="G177" i="8" s="1"/>
  <c r="H177" i="8" s="1"/>
  <c r="C177" i="8"/>
  <c r="E176" i="8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C176" i="8"/>
  <c r="D176" i="8" s="1"/>
  <c r="M175" i="8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D175" i="8"/>
  <c r="E175" i="8" s="1"/>
  <c r="F175" i="8" s="1"/>
  <c r="G175" i="8" s="1"/>
  <c r="H175" i="8" s="1"/>
  <c r="I175" i="8" s="1"/>
  <c r="J175" i="8" s="1"/>
  <c r="K175" i="8" s="1"/>
  <c r="L175" i="8" s="1"/>
  <c r="C175" i="8"/>
  <c r="C174" i="8"/>
  <c r="D174" i="8" s="1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C173" i="8"/>
  <c r="D173" i="8" s="1"/>
  <c r="E173" i="8" s="1"/>
  <c r="AG171" i="8"/>
  <c r="B171" i="8"/>
  <c r="M170" i="8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C170" i="8"/>
  <c r="D170" i="8" s="1"/>
  <c r="E170" i="8" s="1"/>
  <c r="F170" i="8" s="1"/>
  <c r="G170" i="8" s="1"/>
  <c r="H170" i="8" s="1"/>
  <c r="I170" i="8" s="1"/>
  <c r="J170" i="8" s="1"/>
  <c r="K170" i="8" s="1"/>
  <c r="L170" i="8" s="1"/>
  <c r="F169" i="8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D169" i="8"/>
  <c r="E169" i="8" s="1"/>
  <c r="C169" i="8"/>
  <c r="C168" i="8"/>
  <c r="D168" i="8" s="1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E167" i="8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D167" i="8"/>
  <c r="C167" i="8"/>
  <c r="K166" i="8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E166" i="8"/>
  <c r="F166" i="8" s="1"/>
  <c r="G166" i="8" s="1"/>
  <c r="H166" i="8" s="1"/>
  <c r="I166" i="8" s="1"/>
  <c r="J166" i="8" s="1"/>
  <c r="C166" i="8"/>
  <c r="D166" i="8" s="1"/>
  <c r="C165" i="8"/>
  <c r="D165" i="8" s="1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C164" i="8"/>
  <c r="D164" i="8" s="1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B163" i="8"/>
  <c r="AC163" i="8" s="1"/>
  <c r="AD163" i="8" s="1"/>
  <c r="AE163" i="8" s="1"/>
  <c r="AF163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C163" i="8"/>
  <c r="AA162" i="8"/>
  <c r="AB162" i="8" s="1"/>
  <c r="AC162" i="8" s="1"/>
  <c r="AD162" i="8" s="1"/>
  <c r="AE162" i="8" s="1"/>
  <c r="AF162" i="8" s="1"/>
  <c r="I162" i="8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G162" i="8"/>
  <c r="H162" i="8" s="1"/>
  <c r="F162" i="8"/>
  <c r="C162" i="8"/>
  <c r="D162" i="8" s="1"/>
  <c r="E162" i="8" s="1"/>
  <c r="AA161" i="8"/>
  <c r="AB161" i="8" s="1"/>
  <c r="AC161" i="8" s="1"/>
  <c r="AD161" i="8" s="1"/>
  <c r="AE161" i="8" s="1"/>
  <c r="AF161" i="8" s="1"/>
  <c r="H161" i="8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E161" i="8"/>
  <c r="F161" i="8" s="1"/>
  <c r="G161" i="8" s="1"/>
  <c r="D161" i="8"/>
  <c r="C161" i="8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C160" i="8"/>
  <c r="M159" i="8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E159" i="8"/>
  <c r="F159" i="8" s="1"/>
  <c r="G159" i="8" s="1"/>
  <c r="H159" i="8" s="1"/>
  <c r="I159" i="8" s="1"/>
  <c r="J159" i="8" s="1"/>
  <c r="K159" i="8" s="1"/>
  <c r="L159" i="8" s="1"/>
  <c r="D159" i="8"/>
  <c r="C159" i="8"/>
  <c r="E158" i="8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D158" i="8"/>
  <c r="C158" i="8"/>
  <c r="C157" i="8"/>
  <c r="D157" i="8" s="1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C156" i="8"/>
  <c r="E155" i="8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D155" i="8"/>
  <c r="C155" i="8"/>
  <c r="C154" i="8"/>
  <c r="D154" i="8" s="1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F153" i="8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C153" i="8"/>
  <c r="D153" i="8" s="1"/>
  <c r="E153" i="8" s="1"/>
  <c r="O152" i="8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E152" i="8"/>
  <c r="F152" i="8" s="1"/>
  <c r="G152" i="8" s="1"/>
  <c r="H152" i="8" s="1"/>
  <c r="I152" i="8" s="1"/>
  <c r="J152" i="8" s="1"/>
  <c r="K152" i="8" s="1"/>
  <c r="L152" i="8" s="1"/>
  <c r="M152" i="8" s="1"/>
  <c r="N152" i="8" s="1"/>
  <c r="D152" i="8"/>
  <c r="C152" i="8"/>
  <c r="O151" i="8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E151" i="8"/>
  <c r="F151" i="8" s="1"/>
  <c r="G151" i="8" s="1"/>
  <c r="H151" i="8" s="1"/>
  <c r="I151" i="8" s="1"/>
  <c r="J151" i="8" s="1"/>
  <c r="K151" i="8" s="1"/>
  <c r="L151" i="8" s="1"/>
  <c r="M151" i="8" s="1"/>
  <c r="N151" i="8" s="1"/>
  <c r="C151" i="8"/>
  <c r="D151" i="8" s="1"/>
  <c r="C150" i="8"/>
  <c r="D150" i="8" s="1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C149" i="8"/>
  <c r="D149" i="8" s="1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J148" i="8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G148" i="8"/>
  <c r="H148" i="8" s="1"/>
  <c r="I148" i="8" s="1"/>
  <c r="F148" i="8"/>
  <c r="E148" i="8"/>
  <c r="D148" i="8"/>
  <c r="C148" i="8"/>
  <c r="C147" i="8"/>
  <c r="D147" i="8" s="1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H146" i="8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D146" i="8"/>
  <c r="E146" i="8" s="1"/>
  <c r="F146" i="8" s="1"/>
  <c r="G146" i="8" s="1"/>
  <c r="C146" i="8"/>
  <c r="AB145" i="8"/>
  <c r="AC145" i="8" s="1"/>
  <c r="AD145" i="8" s="1"/>
  <c r="AE145" i="8" s="1"/>
  <c r="AF145" i="8" s="1"/>
  <c r="G145" i="8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F145" i="8"/>
  <c r="D145" i="8"/>
  <c r="E145" i="8" s="1"/>
  <c r="C145" i="8"/>
  <c r="V144" i="8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H144" i="8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D144" i="8"/>
  <c r="E144" i="8" s="1"/>
  <c r="F144" i="8" s="1"/>
  <c r="G144" i="8" s="1"/>
  <c r="C144" i="8"/>
  <c r="G143" i="8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C143" i="8"/>
  <c r="D143" i="8" s="1"/>
  <c r="E143" i="8" s="1"/>
  <c r="F143" i="8" s="1"/>
  <c r="E142" i="8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D142" i="8"/>
  <c r="C142" i="8"/>
  <c r="C141" i="8"/>
  <c r="D141" i="8" s="1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F140" i="8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D140" i="8"/>
  <c r="E140" i="8" s="1"/>
  <c r="C140" i="8"/>
  <c r="M139" i="8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D139" i="8"/>
  <c r="E139" i="8" s="1"/>
  <c r="F139" i="8" s="1"/>
  <c r="G139" i="8" s="1"/>
  <c r="H139" i="8" s="1"/>
  <c r="I139" i="8" s="1"/>
  <c r="J139" i="8" s="1"/>
  <c r="K139" i="8" s="1"/>
  <c r="L139" i="8" s="1"/>
  <c r="C139" i="8"/>
  <c r="C138" i="8"/>
  <c r="D138" i="8" s="1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G137" i="8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C137" i="8"/>
  <c r="D137" i="8" s="1"/>
  <c r="E137" i="8" s="1"/>
  <c r="F137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C136" i="8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C135" i="8"/>
  <c r="C134" i="8"/>
  <c r="D134" i="8" s="1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R133" i="8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C133" i="8"/>
  <c r="D133" i="8" s="1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P132" i="8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E132" i="8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D132" i="8"/>
  <c r="C132" i="8"/>
  <c r="C131" i="8"/>
  <c r="D131" i="8" s="1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I130" i="8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C130" i="8"/>
  <c r="D130" i="8" s="1"/>
  <c r="E130" i="8" s="1"/>
  <c r="F130" i="8" s="1"/>
  <c r="G130" i="8" s="1"/>
  <c r="H130" i="8" s="1"/>
  <c r="F129" i="8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C129" i="8"/>
  <c r="D129" i="8" s="1"/>
  <c r="E129" i="8" s="1"/>
  <c r="G128" i="8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E128" i="8"/>
  <c r="F128" i="8" s="1"/>
  <c r="D128" i="8"/>
  <c r="C128" i="8"/>
  <c r="C127" i="8"/>
  <c r="D127" i="8" s="1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C126" i="8"/>
  <c r="D126" i="8" s="1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G125" i="8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C125" i="8"/>
  <c r="D125" i="8" s="1"/>
  <c r="E125" i="8" s="1"/>
  <c r="F125" i="8" s="1"/>
  <c r="M124" i="8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D124" i="8"/>
  <c r="E124" i="8" s="1"/>
  <c r="F124" i="8" s="1"/>
  <c r="G124" i="8" s="1"/>
  <c r="H124" i="8" s="1"/>
  <c r="I124" i="8" s="1"/>
  <c r="J124" i="8" s="1"/>
  <c r="K124" i="8" s="1"/>
  <c r="L124" i="8" s="1"/>
  <c r="C124" i="8"/>
  <c r="AE123" i="8"/>
  <c r="AF123" i="8" s="1"/>
  <c r="F123" i="8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E123" i="8"/>
  <c r="C123" i="8"/>
  <c r="D123" i="8" s="1"/>
  <c r="U122" i="8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I122" i="8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C122" i="8"/>
  <c r="D122" i="8" s="1"/>
  <c r="E122" i="8" s="1"/>
  <c r="F122" i="8" s="1"/>
  <c r="G122" i="8" s="1"/>
  <c r="H122" i="8" s="1"/>
  <c r="G121" i="8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C121" i="8"/>
  <c r="D121" i="8" s="1"/>
  <c r="E121" i="8" s="1"/>
  <c r="F121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C120" i="8"/>
  <c r="E119" i="8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C119" i="8"/>
  <c r="D119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C118" i="8"/>
  <c r="C117" i="8"/>
  <c r="D117" i="8" s="1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C116" i="8"/>
  <c r="D116" i="8" s="1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E115" i="8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D115" i="8"/>
  <c r="C115" i="8"/>
  <c r="J114" i="8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E114" i="8"/>
  <c r="F114" i="8" s="1"/>
  <c r="G114" i="8" s="1"/>
  <c r="H114" i="8" s="1"/>
  <c r="I114" i="8" s="1"/>
  <c r="C114" i="8"/>
  <c r="D114" i="8" s="1"/>
  <c r="C113" i="8"/>
  <c r="D113" i="8" s="1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F112" i="8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C112" i="8"/>
  <c r="D112" i="8" s="1"/>
  <c r="E112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C111" i="8"/>
  <c r="J110" i="8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E110" i="8"/>
  <c r="F110" i="8" s="1"/>
  <c r="G110" i="8" s="1"/>
  <c r="H110" i="8" s="1"/>
  <c r="I110" i="8" s="1"/>
  <c r="C110" i="8"/>
  <c r="D110" i="8" s="1"/>
  <c r="H109" i="8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C109" i="8"/>
  <c r="D109" i="8" s="1"/>
  <c r="E109" i="8" s="1"/>
  <c r="F109" i="8" s="1"/>
  <c r="G109" i="8" s="1"/>
  <c r="G108" i="8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F108" i="8"/>
  <c r="C108" i="8"/>
  <c r="D108" i="8" s="1"/>
  <c r="E108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C107" i="8"/>
  <c r="C106" i="8"/>
  <c r="D106" i="8" s="1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C105" i="8"/>
  <c r="G104" i="8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D104" i="8"/>
  <c r="E104" i="8" s="1"/>
  <c r="F104" i="8" s="1"/>
  <c r="C104" i="8"/>
  <c r="E103" i="8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D103" i="8"/>
  <c r="C103" i="8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C102" i="8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C101" i="8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C100" i="8"/>
  <c r="L99" i="8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J99" i="8"/>
  <c r="K99" i="8" s="1"/>
  <c r="D99" i="8"/>
  <c r="E99" i="8" s="1"/>
  <c r="F99" i="8" s="1"/>
  <c r="G99" i="8" s="1"/>
  <c r="H99" i="8" s="1"/>
  <c r="C99" i="8"/>
  <c r="E98" i="8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D98" i="8"/>
  <c r="C98" i="8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C97" i="8"/>
  <c r="C96" i="8"/>
  <c r="D96" i="8" s="1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C95" i="8"/>
  <c r="D95" i="8" s="1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C94" i="8"/>
  <c r="D94" i="8" s="1"/>
  <c r="E94" i="8" s="1"/>
  <c r="C93" i="8"/>
  <c r="D93" i="8" s="1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F92" i="8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E92" i="8"/>
  <c r="C92" i="8"/>
  <c r="D92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C91" i="8"/>
  <c r="G90" i="8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F90" i="8"/>
  <c r="D90" i="8"/>
  <c r="E90" i="8" s="1"/>
  <c r="C90" i="8"/>
  <c r="D89" i="8"/>
  <c r="C89" i="8"/>
  <c r="AH86" i="8"/>
  <c r="AI86" i="8" s="1"/>
  <c r="AH85" i="8"/>
  <c r="AI85" i="8" s="1"/>
  <c r="AH84" i="8"/>
  <c r="AI84" i="8" s="1"/>
  <c r="AH83" i="8"/>
  <c r="AI83" i="8" s="1"/>
  <c r="C82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I79" i="8"/>
  <c r="AH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I72" i="8"/>
  <c r="AH72" i="8"/>
  <c r="AG71" i="8"/>
  <c r="AI70" i="8"/>
  <c r="AH70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F67" i="8"/>
  <c r="AE67" i="8"/>
  <c r="AD67" i="8"/>
  <c r="AD71" i="8" s="1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N71" i="8" s="1"/>
  <c r="M67" i="8"/>
  <c r="L67" i="8"/>
  <c r="K67" i="8"/>
  <c r="J67" i="8"/>
  <c r="I67" i="8"/>
  <c r="H67" i="8"/>
  <c r="G67" i="8"/>
  <c r="F67" i="8"/>
  <c r="F71" i="8" s="1"/>
  <c r="E67" i="8"/>
  <c r="D67" i="8"/>
  <c r="C67" i="8"/>
  <c r="AF66" i="8"/>
  <c r="AE66" i="8"/>
  <c r="AD66" i="8"/>
  <c r="AC66" i="8"/>
  <c r="AB66" i="8"/>
  <c r="AA66" i="8"/>
  <c r="AA71" i="8" s="1"/>
  <c r="Z66" i="8"/>
  <c r="Y66" i="8"/>
  <c r="X66" i="8"/>
  <c r="X71" i="8" s="1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E71" i="8" s="1"/>
  <c r="D66" i="8"/>
  <c r="C66" i="8"/>
  <c r="AI64" i="8"/>
  <c r="AH64" i="8"/>
  <c r="AG63" i="8"/>
  <c r="AG65" i="8" s="1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I62" i="8"/>
  <c r="AH62" i="8"/>
  <c r="AI61" i="8"/>
  <c r="AH61" i="8"/>
  <c r="AI60" i="8"/>
  <c r="AH60" i="8"/>
  <c r="AG59" i="8"/>
  <c r="AF59" i="8"/>
  <c r="AF5" i="8" s="1"/>
  <c r="AE59" i="8"/>
  <c r="AE5" i="8" s="1"/>
  <c r="AD59" i="8"/>
  <c r="AC59" i="8"/>
  <c r="AC5" i="8" s="1"/>
  <c r="AB59" i="8"/>
  <c r="AA59" i="8"/>
  <c r="AA5" i="8" s="1"/>
  <c r="Z59" i="8"/>
  <c r="Z5" i="8" s="1"/>
  <c r="Y59" i="8"/>
  <c r="Y5" i="8" s="1"/>
  <c r="X59" i="8"/>
  <c r="X5" i="8" s="1"/>
  <c r="W59" i="8"/>
  <c r="W5" i="8" s="1"/>
  <c r="V59" i="8"/>
  <c r="V5" i="8" s="1"/>
  <c r="U59" i="8"/>
  <c r="U5" i="8" s="1"/>
  <c r="T59" i="8"/>
  <c r="S59" i="8"/>
  <c r="R59" i="8"/>
  <c r="R5" i="8" s="1"/>
  <c r="Q59" i="8"/>
  <c r="P59" i="8"/>
  <c r="P5" i="8" s="1"/>
  <c r="O59" i="8"/>
  <c r="O5" i="8" s="1"/>
  <c r="N59" i="8"/>
  <c r="N5" i="8" s="1"/>
  <c r="M59" i="8"/>
  <c r="M5" i="8" s="1"/>
  <c r="L59" i="8"/>
  <c r="L5" i="8" s="1"/>
  <c r="K59" i="8"/>
  <c r="J59" i="8"/>
  <c r="I59" i="8"/>
  <c r="H59" i="8"/>
  <c r="H5" i="8" s="1"/>
  <c r="G59" i="8"/>
  <c r="G5" i="8" s="1"/>
  <c r="F59" i="8"/>
  <c r="F5" i="8" s="1"/>
  <c r="E59" i="8"/>
  <c r="E5" i="8" s="1"/>
  <c r="D59" i="8"/>
  <c r="D5" i="8" s="1"/>
  <c r="C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G47" i="8"/>
  <c r="AF47" i="8"/>
  <c r="AE47" i="8"/>
  <c r="AD47" i="8"/>
  <c r="AC47" i="8"/>
  <c r="AB47" i="8"/>
  <c r="AA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I46" i="8"/>
  <c r="AH46" i="8"/>
  <c r="AI45" i="8"/>
  <c r="AH45" i="8"/>
  <c r="AI44" i="8"/>
  <c r="AH44" i="8"/>
  <c r="AG43" i="8"/>
  <c r="AG3" i="8" s="1"/>
  <c r="AG6" i="8" s="1"/>
  <c r="AG42" i="8"/>
  <c r="C42" i="8"/>
  <c r="C43" i="8" s="1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G30" i="8"/>
  <c r="AF30" i="8"/>
  <c r="AE30" i="8"/>
  <c r="AD30" i="8"/>
  <c r="AC30" i="8"/>
  <c r="AB30" i="8"/>
  <c r="AA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I30" i="8"/>
  <c r="H30" i="8"/>
  <c r="G30" i="8"/>
  <c r="F30" i="8"/>
  <c r="E30" i="8"/>
  <c r="D30" i="8"/>
  <c r="C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D5" i="8"/>
  <c r="AB5" i="8"/>
  <c r="T5" i="8"/>
  <c r="S5" i="8"/>
  <c r="Q5" i="8"/>
  <c r="K5" i="8"/>
  <c r="J5" i="8"/>
  <c r="I5" i="8"/>
  <c r="B5" i="8"/>
  <c r="AG4" i="8"/>
  <c r="K4" i="8"/>
  <c r="C4" i="8"/>
  <c r="D190" i="8" s="1"/>
  <c r="AG2" i="8"/>
  <c r="AF84" i="7"/>
  <c r="AE84" i="7"/>
  <c r="AC84" i="7"/>
  <c r="J178" i="11"/>
  <c r="I214" i="11"/>
  <c r="G65" i="11"/>
  <c r="L89" i="11"/>
  <c r="J94" i="11"/>
  <c r="I82" i="11"/>
  <c r="I171" i="11"/>
  <c r="I179" i="11"/>
  <c r="I42" i="11" s="1"/>
  <c r="J173" i="11"/>
  <c r="Z193" i="11"/>
  <c r="H7" i="11"/>
  <c r="I171" i="10"/>
  <c r="J89" i="10"/>
  <c r="J94" i="10"/>
  <c r="I82" i="10"/>
  <c r="I214" i="10"/>
  <c r="J178" i="10"/>
  <c r="H65" i="10"/>
  <c r="K173" i="10"/>
  <c r="I179" i="10"/>
  <c r="I42" i="10" s="1"/>
  <c r="AF71" i="8"/>
  <c r="AE71" i="8"/>
  <c r="AB71" i="8"/>
  <c r="AC71" i="8"/>
  <c r="Z71" i="8"/>
  <c r="T71" i="8"/>
  <c r="V71" i="8"/>
  <c r="U71" i="8"/>
  <c r="Y71" i="8"/>
  <c r="S71" i="8"/>
  <c r="W71" i="8"/>
  <c r="R71" i="8"/>
  <c r="Q71" i="8"/>
  <c r="P71" i="8"/>
  <c r="O71" i="8"/>
  <c r="M71" i="8"/>
  <c r="L71" i="8"/>
  <c r="K71" i="8"/>
  <c r="J71" i="8"/>
  <c r="I71" i="8"/>
  <c r="H71" i="8"/>
  <c r="G71" i="8"/>
  <c r="AH47" i="8"/>
  <c r="AI69" i="8"/>
  <c r="AI47" i="8"/>
  <c r="D71" i="8"/>
  <c r="AI80" i="8"/>
  <c r="AI59" i="8"/>
  <c r="AH30" i="8"/>
  <c r="C5" i="8"/>
  <c r="AI68" i="8"/>
  <c r="AH66" i="8"/>
  <c r="C71" i="8"/>
  <c r="AI67" i="8"/>
  <c r="AH59" i="8"/>
  <c r="C65" i="8"/>
  <c r="U193" i="8" s="1"/>
  <c r="AH68" i="8"/>
  <c r="B71" i="8"/>
  <c r="F94" i="8"/>
  <c r="E82" i="8"/>
  <c r="D82" i="8"/>
  <c r="AI30" i="8"/>
  <c r="AH63" i="8"/>
  <c r="AH69" i="8"/>
  <c r="AI66" i="8"/>
  <c r="AH67" i="8"/>
  <c r="AI63" i="8"/>
  <c r="D171" i="8"/>
  <c r="E89" i="8"/>
  <c r="AH80" i="8"/>
  <c r="C171" i="8"/>
  <c r="F173" i="8"/>
  <c r="E179" i="8"/>
  <c r="E42" i="8" s="1"/>
  <c r="E43" i="8" s="1"/>
  <c r="E65" i="8" s="1"/>
  <c r="E214" i="8"/>
  <c r="F178" i="8"/>
  <c r="D179" i="8"/>
  <c r="D42" i="8" s="1"/>
  <c r="D43" i="8" s="1"/>
  <c r="D65" i="8" s="1"/>
  <c r="AH87" i="7"/>
  <c r="AI87" i="7" s="1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218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A217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216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A215" i="7"/>
  <c r="C214" i="7"/>
  <c r="B214" i="7"/>
  <c r="S189" i="7"/>
  <c r="AG179" i="7"/>
  <c r="B179" i="7"/>
  <c r="D178" i="7"/>
  <c r="C178" i="7"/>
  <c r="E177" i="7"/>
  <c r="F177" i="7" s="1"/>
  <c r="G177" i="7" s="1"/>
  <c r="H177" i="7" s="1"/>
  <c r="I177" i="7" s="1"/>
  <c r="J177" i="7" s="1"/>
  <c r="K177" i="7" s="1"/>
  <c r="L177" i="7" s="1"/>
  <c r="M177" i="7" s="1"/>
  <c r="N177" i="7" s="1"/>
  <c r="O177" i="7" s="1"/>
  <c r="P177" i="7" s="1"/>
  <c r="Q177" i="7" s="1"/>
  <c r="R177" i="7" s="1"/>
  <c r="S177" i="7" s="1"/>
  <c r="T177" i="7" s="1"/>
  <c r="U177" i="7" s="1"/>
  <c r="V177" i="7" s="1"/>
  <c r="W177" i="7" s="1"/>
  <c r="X177" i="7" s="1"/>
  <c r="Y177" i="7" s="1"/>
  <c r="Z177" i="7" s="1"/>
  <c r="AA177" i="7" s="1"/>
  <c r="AB177" i="7" s="1"/>
  <c r="AC177" i="7" s="1"/>
  <c r="AD177" i="7" s="1"/>
  <c r="AE177" i="7" s="1"/>
  <c r="AF177" i="7" s="1"/>
  <c r="D177" i="7"/>
  <c r="C177" i="7"/>
  <c r="C176" i="7"/>
  <c r="D176" i="7" s="1"/>
  <c r="E176" i="7" s="1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AB175" i="7"/>
  <c r="AC175" i="7" s="1"/>
  <c r="AD175" i="7" s="1"/>
  <c r="AE175" i="7" s="1"/>
  <c r="AF175" i="7" s="1"/>
  <c r="C175" i="7"/>
  <c r="D175" i="7" s="1"/>
  <c r="E175" i="7" s="1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I174" i="7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D174" i="7"/>
  <c r="E174" i="7" s="1"/>
  <c r="F174" i="7" s="1"/>
  <c r="G174" i="7" s="1"/>
  <c r="H174" i="7" s="1"/>
  <c r="C174" i="7"/>
  <c r="C173" i="7"/>
  <c r="AG171" i="7"/>
  <c r="B171" i="7"/>
  <c r="E170" i="7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C170" i="7"/>
  <c r="D170" i="7" s="1"/>
  <c r="D169" i="7"/>
  <c r="E169" i="7" s="1"/>
  <c r="F169" i="7" s="1"/>
  <c r="G169" i="7" s="1"/>
  <c r="H169" i="7" s="1"/>
  <c r="I169" i="7" s="1"/>
  <c r="J169" i="7" s="1"/>
  <c r="K169" i="7" s="1"/>
  <c r="L169" i="7" s="1"/>
  <c r="M169" i="7" s="1"/>
  <c r="N169" i="7" s="1"/>
  <c r="O169" i="7" s="1"/>
  <c r="P169" i="7" s="1"/>
  <c r="Q169" i="7" s="1"/>
  <c r="R169" i="7" s="1"/>
  <c r="S169" i="7" s="1"/>
  <c r="T169" i="7" s="1"/>
  <c r="U169" i="7" s="1"/>
  <c r="V169" i="7" s="1"/>
  <c r="W169" i="7" s="1"/>
  <c r="X169" i="7" s="1"/>
  <c r="Y169" i="7" s="1"/>
  <c r="Z169" i="7" s="1"/>
  <c r="AA169" i="7" s="1"/>
  <c r="AB169" i="7" s="1"/>
  <c r="AC169" i="7" s="1"/>
  <c r="AD169" i="7" s="1"/>
  <c r="AE169" i="7" s="1"/>
  <c r="AF169" i="7" s="1"/>
  <c r="C169" i="7"/>
  <c r="J168" i="7"/>
  <c r="K168" i="7" s="1"/>
  <c r="L168" i="7" s="1"/>
  <c r="M168" i="7" s="1"/>
  <c r="N168" i="7" s="1"/>
  <c r="O168" i="7" s="1"/>
  <c r="P168" i="7" s="1"/>
  <c r="Q168" i="7" s="1"/>
  <c r="R168" i="7" s="1"/>
  <c r="S168" i="7" s="1"/>
  <c r="T168" i="7" s="1"/>
  <c r="U168" i="7" s="1"/>
  <c r="V168" i="7" s="1"/>
  <c r="W168" i="7" s="1"/>
  <c r="X168" i="7" s="1"/>
  <c r="Y168" i="7" s="1"/>
  <c r="Z168" i="7" s="1"/>
  <c r="AA168" i="7" s="1"/>
  <c r="AB168" i="7" s="1"/>
  <c r="AC168" i="7" s="1"/>
  <c r="AD168" i="7" s="1"/>
  <c r="AE168" i="7" s="1"/>
  <c r="AF168" i="7" s="1"/>
  <c r="C168" i="7"/>
  <c r="D168" i="7" s="1"/>
  <c r="E168" i="7" s="1"/>
  <c r="F168" i="7" s="1"/>
  <c r="G168" i="7" s="1"/>
  <c r="H168" i="7" s="1"/>
  <c r="I168" i="7" s="1"/>
  <c r="E167" i="7"/>
  <c r="F167" i="7" s="1"/>
  <c r="G167" i="7" s="1"/>
  <c r="H167" i="7" s="1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C167" i="7"/>
  <c r="D167" i="7" s="1"/>
  <c r="E166" i="7"/>
  <c r="F166" i="7" s="1"/>
  <c r="G166" i="7" s="1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C166" i="7"/>
  <c r="D166" i="7" s="1"/>
  <c r="D165" i="7"/>
  <c r="E165" i="7" s="1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C165" i="7"/>
  <c r="E164" i="7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C164" i="7"/>
  <c r="D164" i="7" s="1"/>
  <c r="I163" i="7"/>
  <c r="J163" i="7" s="1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H163" i="7"/>
  <c r="D163" i="7"/>
  <c r="E163" i="7" s="1"/>
  <c r="F163" i="7" s="1"/>
  <c r="G163" i="7" s="1"/>
  <c r="C163" i="7"/>
  <c r="G162" i="7"/>
  <c r="H162" i="7" s="1"/>
  <c r="I162" i="7" s="1"/>
  <c r="J162" i="7" s="1"/>
  <c r="K162" i="7" s="1"/>
  <c r="L162" i="7" s="1"/>
  <c r="M162" i="7" s="1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C162" i="7"/>
  <c r="D162" i="7" s="1"/>
  <c r="E162" i="7" s="1"/>
  <c r="F162" i="7" s="1"/>
  <c r="O161" i="7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C161" i="7"/>
  <c r="D161" i="7" s="1"/>
  <c r="E161" i="7" s="1"/>
  <c r="F161" i="7" s="1"/>
  <c r="G161" i="7" s="1"/>
  <c r="H161" i="7" s="1"/>
  <c r="I161" i="7" s="1"/>
  <c r="J161" i="7" s="1"/>
  <c r="K161" i="7" s="1"/>
  <c r="L161" i="7" s="1"/>
  <c r="M161" i="7" s="1"/>
  <c r="N161" i="7" s="1"/>
  <c r="D160" i="7"/>
  <c r="E160" i="7" s="1"/>
  <c r="F160" i="7" s="1"/>
  <c r="G160" i="7" s="1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C160" i="7"/>
  <c r="S159" i="7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E159" i="7"/>
  <c r="F159" i="7" s="1"/>
  <c r="G159" i="7" s="1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D159" i="7"/>
  <c r="C159" i="7"/>
  <c r="W158" i="7"/>
  <c r="X158" i="7" s="1"/>
  <c r="Y158" i="7" s="1"/>
  <c r="Z158" i="7" s="1"/>
  <c r="AA158" i="7" s="1"/>
  <c r="AB158" i="7" s="1"/>
  <c r="AC158" i="7" s="1"/>
  <c r="AD158" i="7" s="1"/>
  <c r="AE158" i="7" s="1"/>
  <c r="AF158" i="7" s="1"/>
  <c r="J158" i="7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E158" i="7"/>
  <c r="F158" i="7" s="1"/>
  <c r="G158" i="7" s="1"/>
  <c r="H158" i="7" s="1"/>
  <c r="I158" i="7" s="1"/>
  <c r="D158" i="7"/>
  <c r="C158" i="7"/>
  <c r="G157" i="7"/>
  <c r="H157" i="7" s="1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D157" i="7"/>
  <c r="E157" i="7" s="1"/>
  <c r="F157" i="7" s="1"/>
  <c r="C157" i="7"/>
  <c r="J156" i="7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D156" i="7"/>
  <c r="E156" i="7" s="1"/>
  <c r="F156" i="7" s="1"/>
  <c r="G156" i="7" s="1"/>
  <c r="H156" i="7" s="1"/>
  <c r="I156" i="7" s="1"/>
  <c r="C156" i="7"/>
  <c r="E155" i="7"/>
  <c r="F155" i="7" s="1"/>
  <c r="G155" i="7" s="1"/>
  <c r="H155" i="7" s="1"/>
  <c r="I155" i="7" s="1"/>
  <c r="J155" i="7" s="1"/>
  <c r="K155" i="7" s="1"/>
  <c r="L155" i="7" s="1"/>
  <c r="M155" i="7" s="1"/>
  <c r="N155" i="7" s="1"/>
  <c r="O155" i="7" s="1"/>
  <c r="P155" i="7" s="1"/>
  <c r="Q155" i="7" s="1"/>
  <c r="R155" i="7" s="1"/>
  <c r="S155" i="7" s="1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D155" i="7"/>
  <c r="C155" i="7"/>
  <c r="E154" i="7"/>
  <c r="F154" i="7" s="1"/>
  <c r="G154" i="7" s="1"/>
  <c r="H154" i="7" s="1"/>
  <c r="I154" i="7" s="1"/>
  <c r="J154" i="7" s="1"/>
  <c r="K154" i="7" s="1"/>
  <c r="L154" i="7" s="1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D154" i="7"/>
  <c r="C154" i="7"/>
  <c r="H153" i="7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C153" i="7"/>
  <c r="D153" i="7" s="1"/>
  <c r="E153" i="7" s="1"/>
  <c r="F153" i="7" s="1"/>
  <c r="G153" i="7" s="1"/>
  <c r="AD152" i="7"/>
  <c r="AE152" i="7" s="1"/>
  <c r="AF152" i="7" s="1"/>
  <c r="C152" i="7"/>
  <c r="D152" i="7" s="1"/>
  <c r="E152" i="7" s="1"/>
  <c r="F152" i="7" s="1"/>
  <c r="G152" i="7" s="1"/>
  <c r="H152" i="7" s="1"/>
  <c r="I152" i="7" s="1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D151" i="7"/>
  <c r="E151" i="7" s="1"/>
  <c r="F151" i="7" s="1"/>
  <c r="G151" i="7" s="1"/>
  <c r="H151" i="7" s="1"/>
  <c r="I151" i="7" s="1"/>
  <c r="J151" i="7" s="1"/>
  <c r="K151" i="7" s="1"/>
  <c r="L151" i="7" s="1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C151" i="7"/>
  <c r="G150" i="7"/>
  <c r="H150" i="7" s="1"/>
  <c r="I150" i="7" s="1"/>
  <c r="J150" i="7" s="1"/>
  <c r="K150" i="7" s="1"/>
  <c r="L150" i="7" s="1"/>
  <c r="M150" i="7" s="1"/>
  <c r="N150" i="7" s="1"/>
  <c r="O150" i="7" s="1"/>
  <c r="P150" i="7" s="1"/>
  <c r="Q150" i="7" s="1"/>
  <c r="R150" i="7" s="1"/>
  <c r="S150" i="7" s="1"/>
  <c r="T150" i="7" s="1"/>
  <c r="U150" i="7" s="1"/>
  <c r="V150" i="7" s="1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D150" i="7"/>
  <c r="E150" i="7" s="1"/>
  <c r="F150" i="7" s="1"/>
  <c r="C150" i="7"/>
  <c r="C149" i="7"/>
  <c r="D149" i="7" s="1"/>
  <c r="E149" i="7" s="1"/>
  <c r="F149" i="7" s="1"/>
  <c r="G149" i="7" s="1"/>
  <c r="H149" i="7" s="1"/>
  <c r="I149" i="7" s="1"/>
  <c r="J149" i="7" s="1"/>
  <c r="K149" i="7" s="1"/>
  <c r="L149" i="7" s="1"/>
  <c r="M149" i="7" s="1"/>
  <c r="N149" i="7" s="1"/>
  <c r="O149" i="7" s="1"/>
  <c r="P149" i="7" s="1"/>
  <c r="Q149" i="7" s="1"/>
  <c r="R149" i="7" s="1"/>
  <c r="S149" i="7" s="1"/>
  <c r="T149" i="7" s="1"/>
  <c r="U149" i="7" s="1"/>
  <c r="V149" i="7" s="1"/>
  <c r="W149" i="7" s="1"/>
  <c r="X149" i="7" s="1"/>
  <c r="Y149" i="7" s="1"/>
  <c r="Z149" i="7" s="1"/>
  <c r="AA149" i="7" s="1"/>
  <c r="AB149" i="7" s="1"/>
  <c r="AC149" i="7" s="1"/>
  <c r="AD149" i="7" s="1"/>
  <c r="AE149" i="7" s="1"/>
  <c r="AF149" i="7" s="1"/>
  <c r="C148" i="7"/>
  <c r="D148" i="7" s="1"/>
  <c r="E148" i="7" s="1"/>
  <c r="F148" i="7" s="1"/>
  <c r="G148" i="7" s="1"/>
  <c r="H148" i="7" s="1"/>
  <c r="I148" i="7" s="1"/>
  <c r="J148" i="7" s="1"/>
  <c r="K148" i="7" s="1"/>
  <c r="L148" i="7" s="1"/>
  <c r="M148" i="7" s="1"/>
  <c r="N148" i="7" s="1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E147" i="7"/>
  <c r="F147" i="7" s="1"/>
  <c r="G147" i="7" s="1"/>
  <c r="H147" i="7" s="1"/>
  <c r="I147" i="7" s="1"/>
  <c r="J147" i="7" s="1"/>
  <c r="K147" i="7" s="1"/>
  <c r="L147" i="7" s="1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D147" i="7"/>
  <c r="C147" i="7"/>
  <c r="C146" i="7"/>
  <c r="D146" i="7" s="1"/>
  <c r="E146" i="7" s="1"/>
  <c r="F146" i="7" s="1"/>
  <c r="G146" i="7" s="1"/>
  <c r="H146" i="7" s="1"/>
  <c r="I146" i="7" s="1"/>
  <c r="J146" i="7" s="1"/>
  <c r="K146" i="7" s="1"/>
  <c r="L146" i="7" s="1"/>
  <c r="M146" i="7" s="1"/>
  <c r="N146" i="7" s="1"/>
  <c r="O146" i="7" s="1"/>
  <c r="P146" i="7" s="1"/>
  <c r="Q146" i="7" s="1"/>
  <c r="R146" i="7" s="1"/>
  <c r="S146" i="7" s="1"/>
  <c r="T146" i="7" s="1"/>
  <c r="U146" i="7" s="1"/>
  <c r="V146" i="7" s="1"/>
  <c r="W146" i="7" s="1"/>
  <c r="X146" i="7" s="1"/>
  <c r="Y146" i="7" s="1"/>
  <c r="Z146" i="7" s="1"/>
  <c r="AA146" i="7" s="1"/>
  <c r="AB146" i="7" s="1"/>
  <c r="AC146" i="7" s="1"/>
  <c r="AD146" i="7" s="1"/>
  <c r="AE146" i="7" s="1"/>
  <c r="AF146" i="7" s="1"/>
  <c r="C145" i="7"/>
  <c r="D145" i="7" s="1"/>
  <c r="E145" i="7" s="1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G144" i="7"/>
  <c r="H144" i="7" s="1"/>
  <c r="I144" i="7" s="1"/>
  <c r="J144" i="7" s="1"/>
  <c r="K144" i="7" s="1"/>
  <c r="L144" i="7" s="1"/>
  <c r="M144" i="7" s="1"/>
  <c r="N144" i="7" s="1"/>
  <c r="O144" i="7" s="1"/>
  <c r="P144" i="7" s="1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C144" i="7"/>
  <c r="D144" i="7" s="1"/>
  <c r="E144" i="7" s="1"/>
  <c r="F144" i="7" s="1"/>
  <c r="L143" i="7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D143" i="7"/>
  <c r="E143" i="7" s="1"/>
  <c r="F143" i="7" s="1"/>
  <c r="G143" i="7" s="1"/>
  <c r="H143" i="7" s="1"/>
  <c r="I143" i="7" s="1"/>
  <c r="J143" i="7" s="1"/>
  <c r="K143" i="7" s="1"/>
  <c r="C143" i="7"/>
  <c r="E142" i="7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C142" i="7"/>
  <c r="D142" i="7" s="1"/>
  <c r="I141" i="7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C141" i="7"/>
  <c r="D141" i="7" s="1"/>
  <c r="E141" i="7" s="1"/>
  <c r="F141" i="7" s="1"/>
  <c r="G141" i="7" s="1"/>
  <c r="H141" i="7" s="1"/>
  <c r="F140" i="7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C140" i="7"/>
  <c r="D140" i="7" s="1"/>
  <c r="E140" i="7" s="1"/>
  <c r="T139" i="7"/>
  <c r="U139" i="7" s="1"/>
  <c r="V139" i="7" s="1"/>
  <c r="W139" i="7" s="1"/>
  <c r="X139" i="7" s="1"/>
  <c r="Y139" i="7" s="1"/>
  <c r="Z139" i="7" s="1"/>
  <c r="AA139" i="7" s="1"/>
  <c r="AB139" i="7" s="1"/>
  <c r="AC139" i="7" s="1"/>
  <c r="AD139" i="7" s="1"/>
  <c r="AE139" i="7" s="1"/>
  <c r="AF139" i="7" s="1"/>
  <c r="C139" i="7"/>
  <c r="D139" i="7" s="1"/>
  <c r="E139" i="7" s="1"/>
  <c r="F139" i="7" s="1"/>
  <c r="G139" i="7" s="1"/>
  <c r="H139" i="7" s="1"/>
  <c r="I139" i="7" s="1"/>
  <c r="J139" i="7" s="1"/>
  <c r="K139" i="7" s="1"/>
  <c r="L139" i="7" s="1"/>
  <c r="M139" i="7" s="1"/>
  <c r="N139" i="7" s="1"/>
  <c r="O139" i="7" s="1"/>
  <c r="P139" i="7" s="1"/>
  <c r="Q139" i="7" s="1"/>
  <c r="R139" i="7" s="1"/>
  <c r="S139" i="7" s="1"/>
  <c r="Q138" i="7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D138" i="7"/>
  <c r="E138" i="7" s="1"/>
  <c r="F138" i="7" s="1"/>
  <c r="G138" i="7" s="1"/>
  <c r="H138" i="7" s="1"/>
  <c r="I138" i="7" s="1"/>
  <c r="J138" i="7" s="1"/>
  <c r="K138" i="7" s="1"/>
  <c r="L138" i="7" s="1"/>
  <c r="M138" i="7" s="1"/>
  <c r="N138" i="7" s="1"/>
  <c r="O138" i="7" s="1"/>
  <c r="P138" i="7" s="1"/>
  <c r="C138" i="7"/>
  <c r="O137" i="7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J137" i="7"/>
  <c r="K137" i="7" s="1"/>
  <c r="L137" i="7" s="1"/>
  <c r="M137" i="7" s="1"/>
  <c r="N137" i="7" s="1"/>
  <c r="C137" i="7"/>
  <c r="D137" i="7" s="1"/>
  <c r="E137" i="7" s="1"/>
  <c r="F137" i="7" s="1"/>
  <c r="G137" i="7" s="1"/>
  <c r="H137" i="7" s="1"/>
  <c r="I137" i="7" s="1"/>
  <c r="G136" i="7"/>
  <c r="H136" i="7" s="1"/>
  <c r="I136" i="7" s="1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E136" i="7"/>
  <c r="F136" i="7" s="1"/>
  <c r="C136" i="7"/>
  <c r="D136" i="7" s="1"/>
  <c r="C135" i="7"/>
  <c r="D135" i="7" s="1"/>
  <c r="E135" i="7" s="1"/>
  <c r="F135" i="7" s="1"/>
  <c r="G135" i="7" s="1"/>
  <c r="H135" i="7" s="1"/>
  <c r="I135" i="7" s="1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C134" i="7"/>
  <c r="D134" i="7" s="1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G133" i="7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E133" i="7"/>
  <c r="F133" i="7" s="1"/>
  <c r="C133" i="7"/>
  <c r="D133" i="7" s="1"/>
  <c r="K132" i="7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C132" i="7"/>
  <c r="D132" i="7" s="1"/>
  <c r="E132" i="7" s="1"/>
  <c r="F132" i="7" s="1"/>
  <c r="G132" i="7" s="1"/>
  <c r="H132" i="7" s="1"/>
  <c r="I132" i="7" s="1"/>
  <c r="J132" i="7" s="1"/>
  <c r="O131" i="7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D131" i="7"/>
  <c r="E131" i="7" s="1"/>
  <c r="F131" i="7" s="1"/>
  <c r="G131" i="7" s="1"/>
  <c r="H131" i="7" s="1"/>
  <c r="I131" i="7" s="1"/>
  <c r="J131" i="7" s="1"/>
  <c r="K131" i="7" s="1"/>
  <c r="L131" i="7" s="1"/>
  <c r="M131" i="7" s="1"/>
  <c r="N131" i="7" s="1"/>
  <c r="C131" i="7"/>
  <c r="K130" i="7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F130" i="7"/>
  <c r="G130" i="7" s="1"/>
  <c r="H130" i="7" s="1"/>
  <c r="I130" i="7" s="1"/>
  <c r="J130" i="7" s="1"/>
  <c r="E130" i="7"/>
  <c r="D130" i="7"/>
  <c r="C130" i="7"/>
  <c r="H129" i="7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D129" i="7"/>
  <c r="E129" i="7" s="1"/>
  <c r="F129" i="7" s="1"/>
  <c r="G129" i="7" s="1"/>
  <c r="C129" i="7"/>
  <c r="P128" i="7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K128" i="7"/>
  <c r="L128" i="7" s="1"/>
  <c r="M128" i="7" s="1"/>
  <c r="N128" i="7" s="1"/>
  <c r="O128" i="7" s="1"/>
  <c r="G128" i="7"/>
  <c r="H128" i="7" s="1"/>
  <c r="I128" i="7" s="1"/>
  <c r="J128" i="7" s="1"/>
  <c r="E128" i="7"/>
  <c r="F128" i="7" s="1"/>
  <c r="C128" i="7"/>
  <c r="D128" i="7" s="1"/>
  <c r="W127" i="7"/>
  <c r="X127" i="7" s="1"/>
  <c r="Y127" i="7" s="1"/>
  <c r="Z127" i="7" s="1"/>
  <c r="AA127" i="7" s="1"/>
  <c r="AB127" i="7" s="1"/>
  <c r="AC127" i="7" s="1"/>
  <c r="AD127" i="7" s="1"/>
  <c r="AE127" i="7" s="1"/>
  <c r="AF127" i="7" s="1"/>
  <c r="D127" i="7"/>
  <c r="E127" i="7" s="1"/>
  <c r="F127" i="7" s="1"/>
  <c r="G127" i="7" s="1"/>
  <c r="H127" i="7" s="1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C127" i="7"/>
  <c r="G126" i="7"/>
  <c r="H126" i="7" s="1"/>
  <c r="I126" i="7" s="1"/>
  <c r="J126" i="7" s="1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C126" i="7"/>
  <c r="D126" i="7" s="1"/>
  <c r="E126" i="7" s="1"/>
  <c r="F126" i="7" s="1"/>
  <c r="I125" i="7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E125" i="7"/>
  <c r="F125" i="7" s="1"/>
  <c r="G125" i="7" s="1"/>
  <c r="H125" i="7" s="1"/>
  <c r="C125" i="7"/>
  <c r="D125" i="7" s="1"/>
  <c r="F124" i="7"/>
  <c r="G124" i="7" s="1"/>
  <c r="H124" i="7" s="1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C124" i="7"/>
  <c r="D124" i="7" s="1"/>
  <c r="E124" i="7" s="1"/>
  <c r="C123" i="7"/>
  <c r="D123" i="7" s="1"/>
  <c r="E123" i="7" s="1"/>
  <c r="F123" i="7" s="1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D122" i="7"/>
  <c r="E122" i="7" s="1"/>
  <c r="F122" i="7" s="1"/>
  <c r="G122" i="7" s="1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C122" i="7"/>
  <c r="AC121" i="7"/>
  <c r="AD121" i="7" s="1"/>
  <c r="AE121" i="7" s="1"/>
  <c r="AF121" i="7" s="1"/>
  <c r="Y121" i="7"/>
  <c r="Z121" i="7" s="1"/>
  <c r="AA121" i="7" s="1"/>
  <c r="AB121" i="7" s="1"/>
  <c r="J121" i="7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G121" i="7"/>
  <c r="H121" i="7" s="1"/>
  <c r="I121" i="7" s="1"/>
  <c r="D121" i="7"/>
  <c r="E121" i="7" s="1"/>
  <c r="F121" i="7" s="1"/>
  <c r="C121" i="7"/>
  <c r="I120" i="7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E120" i="7"/>
  <c r="F120" i="7" s="1"/>
  <c r="G120" i="7" s="1"/>
  <c r="H120" i="7" s="1"/>
  <c r="C120" i="7"/>
  <c r="D120" i="7" s="1"/>
  <c r="P119" i="7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I119" i="7"/>
  <c r="J119" i="7" s="1"/>
  <c r="K119" i="7" s="1"/>
  <c r="L119" i="7" s="1"/>
  <c r="M119" i="7" s="1"/>
  <c r="N119" i="7" s="1"/>
  <c r="O119" i="7" s="1"/>
  <c r="G119" i="7"/>
  <c r="H119" i="7" s="1"/>
  <c r="C119" i="7"/>
  <c r="D119" i="7" s="1"/>
  <c r="E119" i="7" s="1"/>
  <c r="F119" i="7" s="1"/>
  <c r="C118" i="7"/>
  <c r="D118" i="7" s="1"/>
  <c r="E118" i="7" s="1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H117" i="7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C117" i="7"/>
  <c r="D117" i="7" s="1"/>
  <c r="E117" i="7" s="1"/>
  <c r="F117" i="7" s="1"/>
  <c r="G117" i="7" s="1"/>
  <c r="Z116" i="7"/>
  <c r="AA116" i="7" s="1"/>
  <c r="AB116" i="7" s="1"/>
  <c r="AC116" i="7" s="1"/>
  <c r="AD116" i="7" s="1"/>
  <c r="AE116" i="7" s="1"/>
  <c r="AF116" i="7" s="1"/>
  <c r="O116" i="7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H116" i="7"/>
  <c r="I116" i="7" s="1"/>
  <c r="J116" i="7" s="1"/>
  <c r="K116" i="7" s="1"/>
  <c r="L116" i="7" s="1"/>
  <c r="M116" i="7" s="1"/>
  <c r="N116" i="7" s="1"/>
  <c r="F116" i="7"/>
  <c r="G116" i="7" s="1"/>
  <c r="E116" i="7"/>
  <c r="C116" i="7"/>
  <c r="D116" i="7" s="1"/>
  <c r="P115" i="7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G115" i="7"/>
  <c r="H115" i="7" s="1"/>
  <c r="I115" i="7" s="1"/>
  <c r="J115" i="7" s="1"/>
  <c r="K115" i="7" s="1"/>
  <c r="L115" i="7" s="1"/>
  <c r="M115" i="7" s="1"/>
  <c r="N115" i="7" s="1"/>
  <c r="O115" i="7" s="1"/>
  <c r="C115" i="7"/>
  <c r="D115" i="7" s="1"/>
  <c r="E115" i="7" s="1"/>
  <c r="F115" i="7" s="1"/>
  <c r="M114" i="7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F114" i="7"/>
  <c r="G114" i="7" s="1"/>
  <c r="H114" i="7" s="1"/>
  <c r="I114" i="7" s="1"/>
  <c r="J114" i="7" s="1"/>
  <c r="K114" i="7" s="1"/>
  <c r="L114" i="7" s="1"/>
  <c r="D114" i="7"/>
  <c r="E114" i="7" s="1"/>
  <c r="C114" i="7"/>
  <c r="G113" i="7"/>
  <c r="H113" i="7" s="1"/>
  <c r="I113" i="7" s="1"/>
  <c r="J113" i="7" s="1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C113" i="7"/>
  <c r="D113" i="7" s="1"/>
  <c r="E113" i="7" s="1"/>
  <c r="F113" i="7" s="1"/>
  <c r="C112" i="7"/>
  <c r="D112" i="7" s="1"/>
  <c r="E112" i="7" s="1"/>
  <c r="F112" i="7" s="1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N111" i="7"/>
  <c r="O111" i="7" s="1"/>
  <c r="P111" i="7" s="1"/>
  <c r="Q111" i="7" s="1"/>
  <c r="R111" i="7" s="1"/>
  <c r="S111" i="7" s="1"/>
  <c r="T111" i="7" s="1"/>
  <c r="U111" i="7" s="1"/>
  <c r="V111" i="7" s="1"/>
  <c r="W111" i="7" s="1"/>
  <c r="X111" i="7" s="1"/>
  <c r="Y111" i="7" s="1"/>
  <c r="Z111" i="7" s="1"/>
  <c r="AA111" i="7" s="1"/>
  <c r="AB111" i="7" s="1"/>
  <c r="AC111" i="7" s="1"/>
  <c r="AD111" i="7" s="1"/>
  <c r="AE111" i="7" s="1"/>
  <c r="AF111" i="7" s="1"/>
  <c r="F111" i="7"/>
  <c r="G111" i="7" s="1"/>
  <c r="H111" i="7" s="1"/>
  <c r="I111" i="7" s="1"/>
  <c r="J111" i="7" s="1"/>
  <c r="K111" i="7" s="1"/>
  <c r="L111" i="7" s="1"/>
  <c r="M111" i="7" s="1"/>
  <c r="D111" i="7"/>
  <c r="E111" i="7" s="1"/>
  <c r="C111" i="7"/>
  <c r="J110" i="7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F110" i="7"/>
  <c r="G110" i="7" s="1"/>
  <c r="H110" i="7" s="1"/>
  <c r="I110" i="7" s="1"/>
  <c r="C110" i="7"/>
  <c r="D110" i="7" s="1"/>
  <c r="E110" i="7" s="1"/>
  <c r="D109" i="7"/>
  <c r="E109" i="7" s="1"/>
  <c r="F109" i="7" s="1"/>
  <c r="G109" i="7" s="1"/>
  <c r="H109" i="7" s="1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C109" i="7"/>
  <c r="K108" i="7"/>
  <c r="L108" i="7" s="1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G108" i="7"/>
  <c r="H108" i="7" s="1"/>
  <c r="I108" i="7" s="1"/>
  <c r="J108" i="7" s="1"/>
  <c r="F108" i="7"/>
  <c r="C108" i="7"/>
  <c r="D108" i="7" s="1"/>
  <c r="E108" i="7" s="1"/>
  <c r="F107" i="7"/>
  <c r="G107" i="7" s="1"/>
  <c r="H107" i="7" s="1"/>
  <c r="I107" i="7" s="1"/>
  <c r="J107" i="7" s="1"/>
  <c r="K107" i="7" s="1"/>
  <c r="L107" i="7" s="1"/>
  <c r="M107" i="7" s="1"/>
  <c r="N107" i="7" s="1"/>
  <c r="O107" i="7" s="1"/>
  <c r="P107" i="7" s="1"/>
  <c r="Q107" i="7" s="1"/>
  <c r="R107" i="7" s="1"/>
  <c r="S107" i="7" s="1"/>
  <c r="T107" i="7" s="1"/>
  <c r="U107" i="7" s="1"/>
  <c r="V107" i="7" s="1"/>
  <c r="W107" i="7" s="1"/>
  <c r="X107" i="7" s="1"/>
  <c r="Y107" i="7" s="1"/>
  <c r="Z107" i="7" s="1"/>
  <c r="AA107" i="7" s="1"/>
  <c r="AB107" i="7" s="1"/>
  <c r="AC107" i="7" s="1"/>
  <c r="AD107" i="7" s="1"/>
  <c r="AE107" i="7" s="1"/>
  <c r="AF107" i="7" s="1"/>
  <c r="D107" i="7"/>
  <c r="E107" i="7" s="1"/>
  <c r="C107" i="7"/>
  <c r="I106" i="7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F106" i="7"/>
  <c r="G106" i="7" s="1"/>
  <c r="H106" i="7" s="1"/>
  <c r="E106" i="7"/>
  <c r="C106" i="7"/>
  <c r="D106" i="7" s="1"/>
  <c r="O105" i="7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K105" i="7"/>
  <c r="L105" i="7" s="1"/>
  <c r="M105" i="7" s="1"/>
  <c r="N105" i="7" s="1"/>
  <c r="E105" i="7"/>
  <c r="F105" i="7" s="1"/>
  <c r="G105" i="7" s="1"/>
  <c r="H105" i="7" s="1"/>
  <c r="I105" i="7" s="1"/>
  <c r="J105" i="7" s="1"/>
  <c r="D105" i="7"/>
  <c r="C105" i="7"/>
  <c r="G104" i="7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E104" i="7"/>
  <c r="F104" i="7" s="1"/>
  <c r="C104" i="7"/>
  <c r="D104" i="7" s="1"/>
  <c r="F103" i="7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D103" i="7"/>
  <c r="E103" i="7" s="1"/>
  <c r="C103" i="7"/>
  <c r="E102" i="7"/>
  <c r="F102" i="7" s="1"/>
  <c r="G102" i="7" s="1"/>
  <c r="H102" i="7" s="1"/>
  <c r="I102" i="7" s="1"/>
  <c r="J102" i="7" s="1"/>
  <c r="K102" i="7" s="1"/>
  <c r="L102" i="7" s="1"/>
  <c r="M102" i="7" s="1"/>
  <c r="N102" i="7" s="1"/>
  <c r="O102" i="7" s="1"/>
  <c r="P102" i="7" s="1"/>
  <c r="Q102" i="7" s="1"/>
  <c r="R102" i="7" s="1"/>
  <c r="S102" i="7" s="1"/>
  <c r="T102" i="7" s="1"/>
  <c r="U102" i="7" s="1"/>
  <c r="V102" i="7" s="1"/>
  <c r="W102" i="7" s="1"/>
  <c r="X102" i="7" s="1"/>
  <c r="Y102" i="7" s="1"/>
  <c r="Z102" i="7" s="1"/>
  <c r="AA102" i="7" s="1"/>
  <c r="AB102" i="7" s="1"/>
  <c r="AC102" i="7" s="1"/>
  <c r="AD102" i="7" s="1"/>
  <c r="AE102" i="7" s="1"/>
  <c r="AF102" i="7" s="1"/>
  <c r="C102" i="7"/>
  <c r="D102" i="7" s="1"/>
  <c r="I101" i="7"/>
  <c r="J101" i="7" s="1"/>
  <c r="K101" i="7" s="1"/>
  <c r="L101" i="7" s="1"/>
  <c r="M101" i="7" s="1"/>
  <c r="N101" i="7" s="1"/>
  <c r="O101" i="7" s="1"/>
  <c r="P101" i="7" s="1"/>
  <c r="Q101" i="7" s="1"/>
  <c r="R101" i="7" s="1"/>
  <c r="S101" i="7" s="1"/>
  <c r="T101" i="7" s="1"/>
  <c r="U101" i="7" s="1"/>
  <c r="V101" i="7" s="1"/>
  <c r="W101" i="7" s="1"/>
  <c r="X101" i="7" s="1"/>
  <c r="Y101" i="7" s="1"/>
  <c r="Z101" i="7" s="1"/>
  <c r="AA101" i="7" s="1"/>
  <c r="AB101" i="7" s="1"/>
  <c r="AC101" i="7" s="1"/>
  <c r="AD101" i="7" s="1"/>
  <c r="AE101" i="7" s="1"/>
  <c r="AF101" i="7" s="1"/>
  <c r="C101" i="7"/>
  <c r="D101" i="7" s="1"/>
  <c r="E101" i="7" s="1"/>
  <c r="F101" i="7" s="1"/>
  <c r="G101" i="7" s="1"/>
  <c r="H101" i="7" s="1"/>
  <c r="C100" i="7"/>
  <c r="D100" i="7" s="1"/>
  <c r="E100" i="7" s="1"/>
  <c r="F100" i="7" s="1"/>
  <c r="G100" i="7" s="1"/>
  <c r="H100" i="7" s="1"/>
  <c r="I100" i="7" s="1"/>
  <c r="J100" i="7" s="1"/>
  <c r="K100" i="7" s="1"/>
  <c r="L100" i="7" s="1"/>
  <c r="M100" i="7" s="1"/>
  <c r="N100" i="7" s="1"/>
  <c r="O100" i="7" s="1"/>
  <c r="P100" i="7" s="1"/>
  <c r="Q100" i="7" s="1"/>
  <c r="R100" i="7" s="1"/>
  <c r="S100" i="7" s="1"/>
  <c r="T100" i="7" s="1"/>
  <c r="U100" i="7" s="1"/>
  <c r="V100" i="7" s="1"/>
  <c r="W100" i="7" s="1"/>
  <c r="X100" i="7" s="1"/>
  <c r="Y100" i="7" s="1"/>
  <c r="Z100" i="7" s="1"/>
  <c r="AA100" i="7" s="1"/>
  <c r="AB100" i="7" s="1"/>
  <c r="AC100" i="7" s="1"/>
  <c r="AD100" i="7" s="1"/>
  <c r="AE100" i="7" s="1"/>
  <c r="AF100" i="7" s="1"/>
  <c r="O99" i="7"/>
  <c r="P99" i="7" s="1"/>
  <c r="Q99" i="7" s="1"/>
  <c r="R99" i="7" s="1"/>
  <c r="S99" i="7" s="1"/>
  <c r="T99" i="7" s="1"/>
  <c r="U99" i="7" s="1"/>
  <c r="V99" i="7" s="1"/>
  <c r="W99" i="7" s="1"/>
  <c r="X99" i="7" s="1"/>
  <c r="Y99" i="7" s="1"/>
  <c r="Z99" i="7" s="1"/>
  <c r="AA99" i="7" s="1"/>
  <c r="AB99" i="7" s="1"/>
  <c r="AC99" i="7" s="1"/>
  <c r="AD99" i="7" s="1"/>
  <c r="AE99" i="7" s="1"/>
  <c r="AF99" i="7" s="1"/>
  <c r="J99" i="7"/>
  <c r="K99" i="7" s="1"/>
  <c r="L99" i="7" s="1"/>
  <c r="M99" i="7" s="1"/>
  <c r="N99" i="7" s="1"/>
  <c r="F99" i="7"/>
  <c r="G99" i="7" s="1"/>
  <c r="H99" i="7" s="1"/>
  <c r="D99" i="7"/>
  <c r="E99" i="7" s="1"/>
  <c r="C99" i="7"/>
  <c r="L98" i="7"/>
  <c r="M98" i="7" s="1"/>
  <c r="N98" i="7" s="1"/>
  <c r="O98" i="7" s="1"/>
  <c r="P98" i="7" s="1"/>
  <c r="Q98" i="7" s="1"/>
  <c r="R98" i="7" s="1"/>
  <c r="S98" i="7" s="1"/>
  <c r="T98" i="7" s="1"/>
  <c r="U98" i="7" s="1"/>
  <c r="V98" i="7" s="1"/>
  <c r="W98" i="7" s="1"/>
  <c r="X98" i="7" s="1"/>
  <c r="Y98" i="7" s="1"/>
  <c r="Z98" i="7" s="1"/>
  <c r="AA98" i="7" s="1"/>
  <c r="AB98" i="7" s="1"/>
  <c r="AC98" i="7" s="1"/>
  <c r="AD98" i="7" s="1"/>
  <c r="AE98" i="7" s="1"/>
  <c r="AF98" i="7" s="1"/>
  <c r="G98" i="7"/>
  <c r="H98" i="7" s="1"/>
  <c r="I98" i="7" s="1"/>
  <c r="J98" i="7" s="1"/>
  <c r="K98" i="7" s="1"/>
  <c r="D98" i="7"/>
  <c r="E98" i="7" s="1"/>
  <c r="F98" i="7" s="1"/>
  <c r="C98" i="7"/>
  <c r="E97" i="7"/>
  <c r="F97" i="7" s="1"/>
  <c r="G97" i="7" s="1"/>
  <c r="H97" i="7" s="1"/>
  <c r="I97" i="7" s="1"/>
  <c r="J97" i="7" s="1"/>
  <c r="K97" i="7" s="1"/>
  <c r="L97" i="7" s="1"/>
  <c r="M97" i="7" s="1"/>
  <c r="N97" i="7" s="1"/>
  <c r="O97" i="7" s="1"/>
  <c r="P97" i="7" s="1"/>
  <c r="Q97" i="7" s="1"/>
  <c r="R97" i="7" s="1"/>
  <c r="S97" i="7" s="1"/>
  <c r="T97" i="7" s="1"/>
  <c r="U97" i="7" s="1"/>
  <c r="V97" i="7" s="1"/>
  <c r="W97" i="7" s="1"/>
  <c r="X97" i="7" s="1"/>
  <c r="Y97" i="7" s="1"/>
  <c r="Z97" i="7" s="1"/>
  <c r="AA97" i="7" s="1"/>
  <c r="AB97" i="7" s="1"/>
  <c r="AC97" i="7" s="1"/>
  <c r="AD97" i="7" s="1"/>
  <c r="AE97" i="7" s="1"/>
  <c r="AF97" i="7" s="1"/>
  <c r="D97" i="7"/>
  <c r="C97" i="7"/>
  <c r="C96" i="7"/>
  <c r="D96" i="7" s="1"/>
  <c r="E96" i="7" s="1"/>
  <c r="F96" i="7" s="1"/>
  <c r="G96" i="7" s="1"/>
  <c r="H96" i="7" s="1"/>
  <c r="I96" i="7" s="1"/>
  <c r="J96" i="7" s="1"/>
  <c r="K96" i="7" s="1"/>
  <c r="L96" i="7" s="1"/>
  <c r="M96" i="7" s="1"/>
  <c r="N96" i="7" s="1"/>
  <c r="O96" i="7" s="1"/>
  <c r="P96" i="7" s="1"/>
  <c r="Q96" i="7" s="1"/>
  <c r="R96" i="7" s="1"/>
  <c r="S96" i="7" s="1"/>
  <c r="T96" i="7" s="1"/>
  <c r="U96" i="7" s="1"/>
  <c r="V96" i="7" s="1"/>
  <c r="W96" i="7" s="1"/>
  <c r="X96" i="7" s="1"/>
  <c r="Y96" i="7" s="1"/>
  <c r="Z96" i="7" s="1"/>
  <c r="AA96" i="7" s="1"/>
  <c r="AB96" i="7" s="1"/>
  <c r="AC96" i="7" s="1"/>
  <c r="AD96" i="7" s="1"/>
  <c r="AE96" i="7" s="1"/>
  <c r="AF96" i="7" s="1"/>
  <c r="D95" i="7"/>
  <c r="E95" i="7" s="1"/>
  <c r="F95" i="7" s="1"/>
  <c r="G95" i="7" s="1"/>
  <c r="H95" i="7" s="1"/>
  <c r="I95" i="7" s="1"/>
  <c r="J95" i="7" s="1"/>
  <c r="K95" i="7" s="1"/>
  <c r="L95" i="7" s="1"/>
  <c r="M95" i="7" s="1"/>
  <c r="N95" i="7" s="1"/>
  <c r="O95" i="7" s="1"/>
  <c r="P95" i="7" s="1"/>
  <c r="Q95" i="7" s="1"/>
  <c r="R95" i="7" s="1"/>
  <c r="S95" i="7" s="1"/>
  <c r="T95" i="7" s="1"/>
  <c r="U95" i="7" s="1"/>
  <c r="V95" i="7" s="1"/>
  <c r="W95" i="7" s="1"/>
  <c r="X95" i="7" s="1"/>
  <c r="Y95" i="7" s="1"/>
  <c r="Z95" i="7" s="1"/>
  <c r="AA95" i="7" s="1"/>
  <c r="AB95" i="7" s="1"/>
  <c r="AC95" i="7" s="1"/>
  <c r="AD95" i="7" s="1"/>
  <c r="AE95" i="7" s="1"/>
  <c r="AF95" i="7" s="1"/>
  <c r="C95" i="7"/>
  <c r="C94" i="7"/>
  <c r="D94" i="7" s="1"/>
  <c r="E94" i="7" s="1"/>
  <c r="F94" i="7" s="1"/>
  <c r="C93" i="7"/>
  <c r="D93" i="7" s="1"/>
  <c r="E93" i="7" s="1"/>
  <c r="F93" i="7" s="1"/>
  <c r="G93" i="7" s="1"/>
  <c r="H93" i="7" s="1"/>
  <c r="I93" i="7" s="1"/>
  <c r="J93" i="7" s="1"/>
  <c r="K93" i="7" s="1"/>
  <c r="L93" i="7" s="1"/>
  <c r="M93" i="7" s="1"/>
  <c r="N93" i="7" s="1"/>
  <c r="O93" i="7" s="1"/>
  <c r="P93" i="7" s="1"/>
  <c r="Q93" i="7" s="1"/>
  <c r="R93" i="7" s="1"/>
  <c r="S93" i="7" s="1"/>
  <c r="T93" i="7" s="1"/>
  <c r="U93" i="7" s="1"/>
  <c r="V93" i="7" s="1"/>
  <c r="W93" i="7" s="1"/>
  <c r="X93" i="7" s="1"/>
  <c r="Y93" i="7" s="1"/>
  <c r="Z93" i="7" s="1"/>
  <c r="AA93" i="7" s="1"/>
  <c r="AB93" i="7" s="1"/>
  <c r="AC93" i="7" s="1"/>
  <c r="AD93" i="7" s="1"/>
  <c r="AE93" i="7" s="1"/>
  <c r="AF93" i="7" s="1"/>
  <c r="G92" i="7"/>
  <c r="H92" i="7" s="1"/>
  <c r="I92" i="7" s="1"/>
  <c r="J92" i="7" s="1"/>
  <c r="K92" i="7" s="1"/>
  <c r="L92" i="7" s="1"/>
  <c r="M92" i="7" s="1"/>
  <c r="N92" i="7" s="1"/>
  <c r="O92" i="7" s="1"/>
  <c r="P92" i="7" s="1"/>
  <c r="Q92" i="7" s="1"/>
  <c r="R92" i="7" s="1"/>
  <c r="S92" i="7" s="1"/>
  <c r="T92" i="7" s="1"/>
  <c r="U92" i="7" s="1"/>
  <c r="V92" i="7" s="1"/>
  <c r="W92" i="7" s="1"/>
  <c r="X92" i="7" s="1"/>
  <c r="Y92" i="7" s="1"/>
  <c r="Z92" i="7" s="1"/>
  <c r="AA92" i="7" s="1"/>
  <c r="AB92" i="7" s="1"/>
  <c r="AC92" i="7" s="1"/>
  <c r="AD92" i="7" s="1"/>
  <c r="AE92" i="7" s="1"/>
  <c r="AF92" i="7" s="1"/>
  <c r="C92" i="7"/>
  <c r="D92" i="7" s="1"/>
  <c r="E92" i="7" s="1"/>
  <c r="F92" i="7" s="1"/>
  <c r="E91" i="7"/>
  <c r="F91" i="7" s="1"/>
  <c r="G91" i="7" s="1"/>
  <c r="H91" i="7" s="1"/>
  <c r="I91" i="7" s="1"/>
  <c r="J91" i="7" s="1"/>
  <c r="K91" i="7" s="1"/>
  <c r="L91" i="7" s="1"/>
  <c r="M91" i="7" s="1"/>
  <c r="N91" i="7" s="1"/>
  <c r="O91" i="7" s="1"/>
  <c r="P91" i="7" s="1"/>
  <c r="Q91" i="7" s="1"/>
  <c r="R91" i="7" s="1"/>
  <c r="S91" i="7" s="1"/>
  <c r="T91" i="7" s="1"/>
  <c r="U91" i="7" s="1"/>
  <c r="V91" i="7" s="1"/>
  <c r="W91" i="7" s="1"/>
  <c r="X91" i="7" s="1"/>
  <c r="Y91" i="7" s="1"/>
  <c r="Z91" i="7" s="1"/>
  <c r="AA91" i="7" s="1"/>
  <c r="AB91" i="7" s="1"/>
  <c r="AC91" i="7" s="1"/>
  <c r="AD91" i="7" s="1"/>
  <c r="AE91" i="7" s="1"/>
  <c r="AF91" i="7" s="1"/>
  <c r="D91" i="7"/>
  <c r="C91" i="7"/>
  <c r="G90" i="7"/>
  <c r="H90" i="7" s="1"/>
  <c r="I90" i="7" s="1"/>
  <c r="J90" i="7" s="1"/>
  <c r="K90" i="7" s="1"/>
  <c r="L90" i="7" s="1"/>
  <c r="M90" i="7" s="1"/>
  <c r="N90" i="7" s="1"/>
  <c r="O90" i="7" s="1"/>
  <c r="P90" i="7" s="1"/>
  <c r="Q90" i="7" s="1"/>
  <c r="R90" i="7" s="1"/>
  <c r="S90" i="7" s="1"/>
  <c r="T90" i="7" s="1"/>
  <c r="U90" i="7" s="1"/>
  <c r="V90" i="7" s="1"/>
  <c r="W90" i="7" s="1"/>
  <c r="X90" i="7" s="1"/>
  <c r="Y90" i="7" s="1"/>
  <c r="Z90" i="7" s="1"/>
  <c r="AA90" i="7" s="1"/>
  <c r="AB90" i="7" s="1"/>
  <c r="AC90" i="7" s="1"/>
  <c r="AD90" i="7" s="1"/>
  <c r="AE90" i="7" s="1"/>
  <c r="AF90" i="7" s="1"/>
  <c r="E90" i="7"/>
  <c r="F90" i="7" s="1"/>
  <c r="C90" i="7"/>
  <c r="D90" i="7" s="1"/>
  <c r="C89" i="7"/>
  <c r="AH86" i="7"/>
  <c r="AI86" i="7" s="1"/>
  <c r="AH85" i="7"/>
  <c r="AI85" i="7" s="1"/>
  <c r="AH84" i="7"/>
  <c r="AI84" i="7" s="1"/>
  <c r="AH83" i="7"/>
  <c r="AI83" i="7" s="1"/>
  <c r="E82" i="7"/>
  <c r="D82" i="7"/>
  <c r="C82" i="7"/>
  <c r="B82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I72" i="7"/>
  <c r="AH72" i="7"/>
  <c r="AG71" i="7"/>
  <c r="G71" i="7"/>
  <c r="AI70" i="7"/>
  <c r="AH70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O71" i="7" s="1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F66" i="7"/>
  <c r="AF71" i="7" s="1"/>
  <c r="AE66" i="7"/>
  <c r="AD66" i="7"/>
  <c r="AC66" i="7"/>
  <c r="AB66" i="7"/>
  <c r="AA66" i="7"/>
  <c r="Z66" i="7"/>
  <c r="Y66" i="7"/>
  <c r="X66" i="7"/>
  <c r="X71" i="7" s="1"/>
  <c r="W66" i="7"/>
  <c r="V66" i="7"/>
  <c r="U66" i="7"/>
  <c r="T66" i="7"/>
  <c r="S66" i="7"/>
  <c r="S71" i="7" s="1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F71" i="7" s="1"/>
  <c r="E66" i="7"/>
  <c r="D66" i="7"/>
  <c r="C66" i="7"/>
  <c r="B66" i="7"/>
  <c r="AI64" i="7"/>
  <c r="AH64" i="7"/>
  <c r="AG63" i="7"/>
  <c r="AG65" i="7" s="1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I63" i="7" s="1"/>
  <c r="AI62" i="7"/>
  <c r="AH62" i="7"/>
  <c r="AI61" i="7"/>
  <c r="AH61" i="7"/>
  <c r="AI60" i="7"/>
  <c r="AH60" i="7"/>
  <c r="AG59" i="7"/>
  <c r="AF59" i="7"/>
  <c r="AF5" i="7" s="1"/>
  <c r="AE59" i="7"/>
  <c r="AE5" i="7" s="1"/>
  <c r="AD59" i="7"/>
  <c r="AD5" i="7" s="1"/>
  <c r="AC59" i="7"/>
  <c r="AC5" i="7" s="1"/>
  <c r="AB59" i="7"/>
  <c r="AB5" i="7" s="1"/>
  <c r="AA59" i="7"/>
  <c r="Z59" i="7"/>
  <c r="Y59" i="7"/>
  <c r="X59" i="7"/>
  <c r="X5" i="7" s="1"/>
  <c r="W59" i="7"/>
  <c r="V59" i="7"/>
  <c r="V5" i="7" s="1"/>
  <c r="U59" i="7"/>
  <c r="U5" i="7" s="1"/>
  <c r="T59" i="7"/>
  <c r="S59" i="7"/>
  <c r="S5" i="7" s="1"/>
  <c r="R59" i="7"/>
  <c r="R5" i="7" s="1"/>
  <c r="Q59" i="7"/>
  <c r="Q5" i="7" s="1"/>
  <c r="P59" i="7"/>
  <c r="P5" i="7" s="1"/>
  <c r="O59" i="7"/>
  <c r="O5" i="7" s="1"/>
  <c r="N59" i="7"/>
  <c r="N5" i="7" s="1"/>
  <c r="M59" i="7"/>
  <c r="M5" i="7" s="1"/>
  <c r="L59" i="7"/>
  <c r="L5" i="7" s="1"/>
  <c r="K59" i="7"/>
  <c r="K5" i="7" s="1"/>
  <c r="J59" i="7"/>
  <c r="J5" i="7" s="1"/>
  <c r="I59" i="7"/>
  <c r="I5" i="7" s="1"/>
  <c r="H59" i="7"/>
  <c r="H5" i="7" s="1"/>
  <c r="G59" i="7"/>
  <c r="F59" i="7"/>
  <c r="F5" i="7" s="1"/>
  <c r="E59" i="7"/>
  <c r="E5" i="7" s="1"/>
  <c r="D59" i="7"/>
  <c r="D5" i="7" s="1"/>
  <c r="C59" i="7"/>
  <c r="C5" i="7" s="1"/>
  <c r="B59" i="7"/>
  <c r="AI58" i="7"/>
  <c r="AH58" i="7"/>
  <c r="AI57" i="7"/>
  <c r="AH57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I46" i="7"/>
  <c r="AH46" i="7"/>
  <c r="AI45" i="7"/>
  <c r="AH45" i="7"/>
  <c r="AI44" i="7"/>
  <c r="AH44" i="7"/>
  <c r="AG43" i="7"/>
  <c r="AG3" i="7" s="1"/>
  <c r="AG6" i="7" s="1"/>
  <c r="AG42" i="7"/>
  <c r="B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A5" i="7"/>
  <c r="Z5" i="7"/>
  <c r="Y5" i="7"/>
  <c r="W5" i="7"/>
  <c r="T5" i="7"/>
  <c r="G5" i="7"/>
  <c r="AG4" i="7"/>
  <c r="K4" i="7"/>
  <c r="C4" i="7"/>
  <c r="D4" i="7" s="1"/>
  <c r="AG2" i="7"/>
  <c r="M89" i="11"/>
  <c r="J179" i="11"/>
  <c r="J42" i="11" s="1"/>
  <c r="J43" i="11" s="1"/>
  <c r="J65" i="11" s="1"/>
  <c r="K173" i="11"/>
  <c r="K94" i="11"/>
  <c r="J82" i="11"/>
  <c r="J171" i="11"/>
  <c r="I43" i="11"/>
  <c r="Y193" i="11"/>
  <c r="G7" i="11"/>
  <c r="K178" i="11"/>
  <c r="J214" i="11"/>
  <c r="Z193" i="10"/>
  <c r="H7" i="10"/>
  <c r="K178" i="10"/>
  <c r="J214" i="10"/>
  <c r="I43" i="10"/>
  <c r="I65" i="10" s="1"/>
  <c r="L173" i="10"/>
  <c r="J179" i="10"/>
  <c r="J42" i="10" s="1"/>
  <c r="J43" i="10" s="1"/>
  <c r="J65" i="10" s="1"/>
  <c r="J82" i="10"/>
  <c r="K94" i="10"/>
  <c r="J171" i="10"/>
  <c r="K89" i="10"/>
  <c r="C7" i="8"/>
  <c r="G173" i="8"/>
  <c r="F179" i="8"/>
  <c r="F42" i="8" s="1"/>
  <c r="F82" i="8"/>
  <c r="G94" i="8"/>
  <c r="AI71" i="8"/>
  <c r="AH71" i="8"/>
  <c r="V193" i="8"/>
  <c r="D7" i="8"/>
  <c r="G178" i="8"/>
  <c r="F214" i="8"/>
  <c r="W193" i="8"/>
  <c r="E7" i="8"/>
  <c r="E171" i="8"/>
  <c r="F89" i="8"/>
  <c r="AE71" i="7"/>
  <c r="AD71" i="7"/>
  <c r="AB71" i="7"/>
  <c r="AA71" i="7"/>
  <c r="V71" i="7"/>
  <c r="Y71" i="7"/>
  <c r="T71" i="7"/>
  <c r="W71" i="7"/>
  <c r="Z71" i="7"/>
  <c r="R71" i="7"/>
  <c r="Q71" i="7"/>
  <c r="P71" i="7"/>
  <c r="N71" i="7"/>
  <c r="L71" i="7"/>
  <c r="K71" i="7"/>
  <c r="J71" i="7"/>
  <c r="H71" i="7"/>
  <c r="AI69" i="7"/>
  <c r="AI68" i="7"/>
  <c r="D71" i="7"/>
  <c r="AI66" i="7"/>
  <c r="AI67" i="7"/>
  <c r="AI59" i="7"/>
  <c r="C71" i="7"/>
  <c r="AH80" i="7"/>
  <c r="AI47" i="7"/>
  <c r="AI30" i="7"/>
  <c r="B71" i="7"/>
  <c r="AH67" i="7"/>
  <c r="B5" i="7"/>
  <c r="G94" i="7"/>
  <c r="F82" i="7"/>
  <c r="AH30" i="7"/>
  <c r="AI80" i="7"/>
  <c r="AH66" i="7"/>
  <c r="AH69" i="7"/>
  <c r="C171" i="7"/>
  <c r="D89" i="7"/>
  <c r="AH47" i="7"/>
  <c r="AH68" i="7"/>
  <c r="I71" i="7"/>
  <c r="B43" i="7"/>
  <c r="AH59" i="7"/>
  <c r="AH63" i="7"/>
  <c r="E71" i="7"/>
  <c r="M71" i="7"/>
  <c r="U71" i="7"/>
  <c r="AC71" i="7"/>
  <c r="E178" i="7"/>
  <c r="D214" i="7"/>
  <c r="D173" i="7"/>
  <c r="C179" i="7"/>
  <c r="C42" i="7" s="1"/>
  <c r="C43" i="7" s="1"/>
  <c r="C65" i="7" s="1"/>
  <c r="I65" i="11"/>
  <c r="K82" i="11"/>
  <c r="L94" i="11"/>
  <c r="K171" i="11"/>
  <c r="K179" i="11"/>
  <c r="K42" i="11" s="1"/>
  <c r="K43" i="11" s="1"/>
  <c r="K65" i="11" s="1"/>
  <c r="L173" i="11"/>
  <c r="AB193" i="11"/>
  <c r="J7" i="11"/>
  <c r="N89" i="11"/>
  <c r="L178" i="11"/>
  <c r="K214" i="11"/>
  <c r="K82" i="10"/>
  <c r="L94" i="10"/>
  <c r="K214" i="10"/>
  <c r="L178" i="10"/>
  <c r="AB193" i="10"/>
  <c r="J7" i="10"/>
  <c r="K179" i="10"/>
  <c r="K42" i="10" s="1"/>
  <c r="K43" i="10" s="1"/>
  <c r="K65" i="10" s="1"/>
  <c r="M173" i="10"/>
  <c r="K171" i="10"/>
  <c r="L89" i="10"/>
  <c r="AA193" i="10"/>
  <c r="I7" i="10"/>
  <c r="F171" i="8"/>
  <c r="G89" i="8"/>
  <c r="H178" i="8"/>
  <c r="G214" i="8"/>
  <c r="T193" i="8"/>
  <c r="B7" i="8"/>
  <c r="H94" i="8"/>
  <c r="G82" i="8"/>
  <c r="F43" i="8"/>
  <c r="H173" i="8"/>
  <c r="G179" i="8"/>
  <c r="G42" i="8" s="1"/>
  <c r="G43" i="8" s="1"/>
  <c r="G65" i="8" s="1"/>
  <c r="AH71" i="7"/>
  <c r="U193" i="7"/>
  <c r="C7" i="7"/>
  <c r="AI71" i="7"/>
  <c r="B65" i="7"/>
  <c r="D179" i="7"/>
  <c r="D42" i="7" s="1"/>
  <c r="E173" i="7"/>
  <c r="D171" i="7"/>
  <c r="E89" i="7"/>
  <c r="E214" i="7"/>
  <c r="F178" i="7"/>
  <c r="H94" i="7"/>
  <c r="G82" i="7"/>
  <c r="AC193" i="11"/>
  <c r="K7" i="11"/>
  <c r="L214" i="11"/>
  <c r="M178" i="11"/>
  <c r="L82" i="11"/>
  <c r="M94" i="11"/>
  <c r="L171" i="11"/>
  <c r="O89" i="11"/>
  <c r="L179" i="11"/>
  <c r="L42" i="11" s="1"/>
  <c r="L43" i="11" s="1"/>
  <c r="L65" i="11" s="1"/>
  <c r="M173" i="11"/>
  <c r="AA193" i="11"/>
  <c r="I7" i="11"/>
  <c r="L171" i="10"/>
  <c r="M89" i="10"/>
  <c r="M178" i="10"/>
  <c r="L214" i="10"/>
  <c r="AC193" i="10"/>
  <c r="K7" i="10"/>
  <c r="L179" i="10"/>
  <c r="L42" i="10" s="1"/>
  <c r="L43" i="10" s="1"/>
  <c r="L65" i="10" s="1"/>
  <c r="L82" i="10"/>
  <c r="M94" i="10"/>
  <c r="M179" i="10"/>
  <c r="M42" i="10" s="1"/>
  <c r="M43" i="10" s="1"/>
  <c r="M65" i="10" s="1"/>
  <c r="N173" i="10"/>
  <c r="F65" i="8"/>
  <c r="G171" i="8"/>
  <c r="H89" i="8"/>
  <c r="I94" i="8"/>
  <c r="H82" i="8"/>
  <c r="Y193" i="8"/>
  <c r="G7" i="8"/>
  <c r="H179" i="8"/>
  <c r="H42" i="8" s="1"/>
  <c r="H43" i="8" s="1"/>
  <c r="H65" i="8" s="1"/>
  <c r="I173" i="8"/>
  <c r="H214" i="8"/>
  <c r="I178" i="8"/>
  <c r="F173" i="7"/>
  <c r="E179" i="7"/>
  <c r="E42" i="7" s="1"/>
  <c r="E43" i="7" s="1"/>
  <c r="E65" i="7" s="1"/>
  <c r="D43" i="7"/>
  <c r="I94" i="7"/>
  <c r="H82" i="7"/>
  <c r="T193" i="7"/>
  <c r="B7" i="7"/>
  <c r="F214" i="7"/>
  <c r="G178" i="7"/>
  <c r="E171" i="7"/>
  <c r="F89" i="7"/>
  <c r="M82" i="11"/>
  <c r="N94" i="11"/>
  <c r="M171" i="11"/>
  <c r="M214" i="11"/>
  <c r="N178" i="11"/>
  <c r="M179" i="11"/>
  <c r="M42" i="11" s="1"/>
  <c r="M43" i="11" s="1"/>
  <c r="M65" i="11" s="1"/>
  <c r="N173" i="11"/>
  <c r="AD193" i="11"/>
  <c r="L7" i="11"/>
  <c r="P89" i="11"/>
  <c r="B188" i="10"/>
  <c r="O173" i="10"/>
  <c r="AE193" i="10"/>
  <c r="M7" i="10"/>
  <c r="M214" i="10"/>
  <c r="N178" i="10"/>
  <c r="N94" i="10"/>
  <c r="M82" i="10"/>
  <c r="M171" i="10"/>
  <c r="N89" i="10"/>
  <c r="AD193" i="10"/>
  <c r="L7" i="10"/>
  <c r="C188" i="10"/>
  <c r="Z193" i="8"/>
  <c r="H7" i="8"/>
  <c r="H171" i="8"/>
  <c r="I89" i="8"/>
  <c r="I82" i="8"/>
  <c r="J94" i="8"/>
  <c r="I179" i="8"/>
  <c r="I42" i="8" s="1"/>
  <c r="J173" i="8"/>
  <c r="X193" i="8"/>
  <c r="F7" i="8"/>
  <c r="J178" i="8"/>
  <c r="I214" i="8"/>
  <c r="H178" i="7"/>
  <c r="G214" i="7"/>
  <c r="J94" i="7"/>
  <c r="I82" i="7"/>
  <c r="D65" i="7"/>
  <c r="W193" i="7"/>
  <c r="E7" i="7"/>
  <c r="F179" i="7"/>
  <c r="F42" i="7" s="1"/>
  <c r="G173" i="7"/>
  <c r="F171" i="7"/>
  <c r="G89" i="7"/>
  <c r="Q89" i="11"/>
  <c r="AE193" i="11"/>
  <c r="M7" i="11"/>
  <c r="B188" i="11"/>
  <c r="C188" i="11"/>
  <c r="N214" i="11"/>
  <c r="O178" i="11"/>
  <c r="N82" i="11"/>
  <c r="O94" i="11"/>
  <c r="N171" i="11"/>
  <c r="N179" i="11"/>
  <c r="N42" i="11" s="1"/>
  <c r="N43" i="11" s="1"/>
  <c r="N65" i="11" s="1"/>
  <c r="O173" i="11"/>
  <c r="K6" i="10"/>
  <c r="N214" i="10"/>
  <c r="O178" i="10"/>
  <c r="N171" i="10"/>
  <c r="O89" i="10"/>
  <c r="N179" i="10"/>
  <c r="N42" i="10" s="1"/>
  <c r="N43" i="10" s="1"/>
  <c r="N65" i="10" s="1"/>
  <c r="O179" i="10"/>
  <c r="O42" i="10" s="1"/>
  <c r="O43" i="10" s="1"/>
  <c r="O65" i="10" s="1"/>
  <c r="P173" i="10"/>
  <c r="O94" i="10"/>
  <c r="N82" i="10"/>
  <c r="K94" i="8"/>
  <c r="J82" i="8"/>
  <c r="I171" i="8"/>
  <c r="J89" i="8"/>
  <c r="J179" i="8"/>
  <c r="J42" i="8" s="1"/>
  <c r="J43" i="8" s="1"/>
  <c r="J65" i="8" s="1"/>
  <c r="K173" i="8"/>
  <c r="J214" i="8"/>
  <c r="K178" i="8"/>
  <c r="I43" i="8"/>
  <c r="F43" i="7"/>
  <c r="J82" i="7"/>
  <c r="K94" i="7"/>
  <c r="G171" i="7"/>
  <c r="H89" i="7"/>
  <c r="V193" i="7"/>
  <c r="D7" i="7"/>
  <c r="H173" i="7"/>
  <c r="G179" i="7"/>
  <c r="G42" i="7" s="1"/>
  <c r="G43" i="7" s="1"/>
  <c r="G65" i="7" s="1"/>
  <c r="H214" i="7"/>
  <c r="I178" i="7"/>
  <c r="P173" i="11"/>
  <c r="O179" i="11"/>
  <c r="O42" i="11" s="1"/>
  <c r="O43" i="11" s="1"/>
  <c r="O65" i="11" s="1"/>
  <c r="AF193" i="11"/>
  <c r="N7" i="11"/>
  <c r="K6" i="11"/>
  <c r="R89" i="11"/>
  <c r="P94" i="11"/>
  <c r="O82" i="11"/>
  <c r="O171" i="11"/>
  <c r="O214" i="11"/>
  <c r="P178" i="11"/>
  <c r="Q173" i="10"/>
  <c r="P94" i="10"/>
  <c r="O82" i="10"/>
  <c r="AG193" i="10"/>
  <c r="O7" i="10"/>
  <c r="O171" i="10"/>
  <c r="P89" i="10"/>
  <c r="P178" i="10"/>
  <c r="O214" i="10"/>
  <c r="AF193" i="10"/>
  <c r="N7" i="10"/>
  <c r="L173" i="8"/>
  <c r="K179" i="8"/>
  <c r="K42" i="8" s="1"/>
  <c r="K43" i="8" s="1"/>
  <c r="K65" i="8" s="1"/>
  <c r="J171" i="8"/>
  <c r="K89" i="8"/>
  <c r="I65" i="8"/>
  <c r="AB193" i="8"/>
  <c r="J7" i="8"/>
  <c r="L178" i="8"/>
  <c r="K214" i="8"/>
  <c r="K82" i="8"/>
  <c r="L94" i="8"/>
  <c r="Y193" i="7"/>
  <c r="G7" i="7"/>
  <c r="H179" i="7"/>
  <c r="H42" i="7" s="1"/>
  <c r="H43" i="7" s="1"/>
  <c r="H65" i="7" s="1"/>
  <c r="I173" i="7"/>
  <c r="I214" i="7"/>
  <c r="J178" i="7"/>
  <c r="H171" i="7"/>
  <c r="I89" i="7"/>
  <c r="L94" i="7"/>
  <c r="K82" i="7"/>
  <c r="F65" i="7"/>
  <c r="P82" i="11"/>
  <c r="Q94" i="11"/>
  <c r="P171" i="11"/>
  <c r="S89" i="11"/>
  <c r="AG193" i="11"/>
  <c r="O7" i="11"/>
  <c r="P214" i="11"/>
  <c r="Q178" i="11"/>
  <c r="P179" i="11"/>
  <c r="P42" i="11" s="1"/>
  <c r="P43" i="11" s="1"/>
  <c r="P65" i="11" s="1"/>
  <c r="Q173" i="11"/>
  <c r="Q94" i="10"/>
  <c r="P82" i="10"/>
  <c r="P171" i="10"/>
  <c r="Q89" i="10"/>
  <c r="R173" i="10"/>
  <c r="Q178" i="10"/>
  <c r="P214" i="10"/>
  <c r="P179" i="10"/>
  <c r="P42" i="10" s="1"/>
  <c r="P43" i="10" s="1"/>
  <c r="P65" i="10" s="1"/>
  <c r="M94" i="8"/>
  <c r="L82" i="8"/>
  <c r="AA193" i="8"/>
  <c r="I7" i="8"/>
  <c r="K171" i="8"/>
  <c r="L89" i="8"/>
  <c r="M178" i="8"/>
  <c r="L214" i="8"/>
  <c r="AC193" i="8"/>
  <c r="K7" i="8"/>
  <c r="M173" i="8"/>
  <c r="L179" i="8"/>
  <c r="L42" i="8" s="1"/>
  <c r="L43" i="8" s="1"/>
  <c r="J214" i="7"/>
  <c r="K178" i="7"/>
  <c r="I179" i="7"/>
  <c r="I42" i="7" s="1"/>
  <c r="I43" i="7" s="1"/>
  <c r="J173" i="7"/>
  <c r="X193" i="7"/>
  <c r="F7" i="7"/>
  <c r="Z193" i="7"/>
  <c r="H7" i="7"/>
  <c r="M94" i="7"/>
  <c r="L82" i="7"/>
  <c r="I171" i="7"/>
  <c r="J89" i="7"/>
  <c r="AH193" i="11"/>
  <c r="P7" i="11"/>
  <c r="R94" i="11"/>
  <c r="Q82" i="11"/>
  <c r="Q171" i="11"/>
  <c r="T89" i="11"/>
  <c r="Q179" i="11"/>
  <c r="Q42" i="11" s="1"/>
  <c r="Q43" i="11" s="1"/>
  <c r="Q65" i="11" s="1"/>
  <c r="R173" i="11"/>
  <c r="R178" i="11"/>
  <c r="Q214" i="11"/>
  <c r="R178" i="10"/>
  <c r="Q214" i="10"/>
  <c r="R179" i="10"/>
  <c r="R42" i="10" s="1"/>
  <c r="R43" i="10" s="1"/>
  <c r="R65" i="10" s="1"/>
  <c r="S173" i="10"/>
  <c r="Q179" i="10"/>
  <c r="Q42" i="10" s="1"/>
  <c r="Q43" i="10" s="1"/>
  <c r="Q65" i="10" s="1"/>
  <c r="Q171" i="10"/>
  <c r="R89" i="10"/>
  <c r="AH193" i="10"/>
  <c r="P7" i="10"/>
  <c r="R94" i="10"/>
  <c r="Q82" i="10"/>
  <c r="L65" i="8"/>
  <c r="M214" i="8"/>
  <c r="N178" i="8"/>
  <c r="L171" i="8"/>
  <c r="M89" i="8"/>
  <c r="N173" i="8"/>
  <c r="M179" i="8"/>
  <c r="M42" i="8" s="1"/>
  <c r="M43" i="8" s="1"/>
  <c r="M65" i="8" s="1"/>
  <c r="M82" i="8"/>
  <c r="N94" i="8"/>
  <c r="N94" i="7"/>
  <c r="M82" i="7"/>
  <c r="J171" i="7"/>
  <c r="K89" i="7"/>
  <c r="K173" i="7"/>
  <c r="J179" i="7"/>
  <c r="J42" i="7" s="1"/>
  <c r="J43" i="7" s="1"/>
  <c r="J65" i="7" s="1"/>
  <c r="I65" i="7"/>
  <c r="L178" i="7"/>
  <c r="K214" i="7"/>
  <c r="AI193" i="11"/>
  <c r="Q7" i="11"/>
  <c r="S94" i="11"/>
  <c r="R82" i="11"/>
  <c r="R171" i="11"/>
  <c r="U89" i="11"/>
  <c r="R214" i="11"/>
  <c r="S178" i="11"/>
  <c r="R179" i="11"/>
  <c r="R42" i="11" s="1"/>
  <c r="R43" i="11" s="1"/>
  <c r="R65" i="11" s="1"/>
  <c r="S173" i="11"/>
  <c r="R171" i="10"/>
  <c r="S89" i="10"/>
  <c r="AI193" i="10"/>
  <c r="Q7" i="10"/>
  <c r="S179" i="10"/>
  <c r="S42" i="10" s="1"/>
  <c r="S43" i="10" s="1"/>
  <c r="S65" i="10" s="1"/>
  <c r="T173" i="10"/>
  <c r="AJ193" i="10"/>
  <c r="R7" i="10"/>
  <c r="S94" i="10"/>
  <c r="R82" i="10"/>
  <c r="S178" i="10"/>
  <c r="R214" i="10"/>
  <c r="AE193" i="8"/>
  <c r="M7" i="8"/>
  <c r="M171" i="8"/>
  <c r="N89" i="8"/>
  <c r="N214" i="8"/>
  <c r="O178" i="8"/>
  <c r="N82" i="8"/>
  <c r="O94" i="8"/>
  <c r="N179" i="8"/>
  <c r="N42" i="8" s="1"/>
  <c r="N43" i="8" s="1"/>
  <c r="N65" i="8" s="1"/>
  <c r="O173" i="8"/>
  <c r="AD193" i="8"/>
  <c r="L7" i="8"/>
  <c r="B188" i="8"/>
  <c r="C188" i="8"/>
  <c r="K171" i="7"/>
  <c r="L89" i="7"/>
  <c r="AA193" i="7"/>
  <c r="I7" i="7"/>
  <c r="AB193" i="7"/>
  <c r="J7" i="7"/>
  <c r="K179" i="7"/>
  <c r="K42" i="7" s="1"/>
  <c r="K43" i="7" s="1"/>
  <c r="K65" i="7" s="1"/>
  <c r="L173" i="7"/>
  <c r="L214" i="7"/>
  <c r="M178" i="7"/>
  <c r="N82" i="7"/>
  <c r="O94" i="7"/>
  <c r="V89" i="11"/>
  <c r="S179" i="11"/>
  <c r="S42" i="11" s="1"/>
  <c r="S43" i="11" s="1"/>
  <c r="S65" i="11" s="1"/>
  <c r="T173" i="11"/>
  <c r="T94" i="11"/>
  <c r="S82" i="11"/>
  <c r="S171" i="11"/>
  <c r="AJ193" i="11"/>
  <c r="R7" i="11"/>
  <c r="T178" i="11"/>
  <c r="S214" i="11"/>
  <c r="U173" i="10"/>
  <c r="T178" i="10"/>
  <c r="S214" i="10"/>
  <c r="S171" i="10"/>
  <c r="T89" i="10"/>
  <c r="AK193" i="10"/>
  <c r="S7" i="10"/>
  <c r="T94" i="10"/>
  <c r="S82" i="10"/>
  <c r="P178" i="8"/>
  <c r="O214" i="8"/>
  <c r="P94" i="8"/>
  <c r="O82" i="8"/>
  <c r="N171" i="8"/>
  <c r="O89" i="8"/>
  <c r="P173" i="8"/>
  <c r="O179" i="8"/>
  <c r="O42" i="8" s="1"/>
  <c r="O43" i="8" s="1"/>
  <c r="O65" i="8" s="1"/>
  <c r="K6" i="8"/>
  <c r="AF193" i="8"/>
  <c r="N7" i="8"/>
  <c r="AC193" i="7"/>
  <c r="K7" i="7"/>
  <c r="M214" i="7"/>
  <c r="N178" i="7"/>
  <c r="M173" i="7"/>
  <c r="L179" i="7"/>
  <c r="L42" i="7" s="1"/>
  <c r="L43" i="7" s="1"/>
  <c r="L65" i="7" s="1"/>
  <c r="L171" i="7"/>
  <c r="M89" i="7"/>
  <c r="P94" i="7"/>
  <c r="O82" i="7"/>
  <c r="U94" i="11"/>
  <c r="T82" i="11"/>
  <c r="T171" i="11"/>
  <c r="T179" i="11"/>
  <c r="T42" i="11" s="1"/>
  <c r="T43" i="11" s="1"/>
  <c r="T65" i="11" s="1"/>
  <c r="U173" i="11"/>
  <c r="U178" i="11"/>
  <c r="T214" i="11"/>
  <c r="W89" i="11"/>
  <c r="AK193" i="11"/>
  <c r="S7" i="11"/>
  <c r="T214" i="10"/>
  <c r="U178" i="10"/>
  <c r="T171" i="10"/>
  <c r="U89" i="10"/>
  <c r="T179" i="10"/>
  <c r="T42" i="10" s="1"/>
  <c r="T43" i="10" s="1"/>
  <c r="T65" i="10" s="1"/>
  <c r="T82" i="10"/>
  <c r="U94" i="10"/>
  <c r="V173" i="10"/>
  <c r="AG193" i="8"/>
  <c r="O7" i="8"/>
  <c r="Q173" i="8"/>
  <c r="P179" i="8"/>
  <c r="P42" i="8" s="1"/>
  <c r="P43" i="8" s="1"/>
  <c r="P65" i="8" s="1"/>
  <c r="O171" i="8"/>
  <c r="P89" i="8"/>
  <c r="Q94" i="8"/>
  <c r="P82" i="8"/>
  <c r="P214" i="8"/>
  <c r="Q178" i="8"/>
  <c r="N173" i="7"/>
  <c r="M179" i="7"/>
  <c r="M42" i="7" s="1"/>
  <c r="M43" i="7" s="1"/>
  <c r="M65" i="7" s="1"/>
  <c r="C188" i="7" s="1"/>
  <c r="N214" i="7"/>
  <c r="O178" i="7"/>
  <c r="Q94" i="7"/>
  <c r="P82" i="7"/>
  <c r="M171" i="7"/>
  <c r="N89" i="7"/>
  <c r="AD193" i="7"/>
  <c r="L7" i="7"/>
  <c r="P84" i="6"/>
  <c r="O84" i="6"/>
  <c r="O50" i="6"/>
  <c r="N84" i="6"/>
  <c r="N50" i="6"/>
  <c r="M84" i="6"/>
  <c r="M50" i="6"/>
  <c r="L84" i="6"/>
  <c r="L50" i="6"/>
  <c r="V178" i="11"/>
  <c r="U214" i="11"/>
  <c r="U179" i="11"/>
  <c r="U42" i="11" s="1"/>
  <c r="U43" i="11" s="1"/>
  <c r="U65" i="11" s="1"/>
  <c r="V173" i="11"/>
  <c r="AL193" i="11"/>
  <c r="T7" i="11"/>
  <c r="X89" i="11"/>
  <c r="U82" i="11"/>
  <c r="V94" i="11"/>
  <c r="U171" i="11"/>
  <c r="V94" i="10"/>
  <c r="U82" i="10"/>
  <c r="U171" i="10"/>
  <c r="V89" i="10"/>
  <c r="W173" i="10"/>
  <c r="U214" i="10"/>
  <c r="V178" i="10"/>
  <c r="V179" i="10" s="1"/>
  <c r="V42" i="10" s="1"/>
  <c r="V43" i="10" s="1"/>
  <c r="V65" i="10" s="1"/>
  <c r="AL193" i="10"/>
  <c r="T7" i="10"/>
  <c r="U179" i="10"/>
  <c r="U42" i="10" s="1"/>
  <c r="U43" i="10" s="1"/>
  <c r="U65" i="10" s="1"/>
  <c r="AH193" i="8"/>
  <c r="P7" i="8"/>
  <c r="Q214" i="8"/>
  <c r="R178" i="8"/>
  <c r="Q179" i="8"/>
  <c r="Q42" i="8" s="1"/>
  <c r="Q43" i="8" s="1"/>
  <c r="Q65" i="8" s="1"/>
  <c r="R173" i="8"/>
  <c r="P171" i="8"/>
  <c r="Q89" i="8"/>
  <c r="R94" i="8"/>
  <c r="Q82" i="8"/>
  <c r="N171" i="7"/>
  <c r="O89" i="7"/>
  <c r="R94" i="7"/>
  <c r="Q82" i="7"/>
  <c r="P178" i="7"/>
  <c r="O214" i="7"/>
  <c r="AE193" i="7"/>
  <c r="M7" i="7"/>
  <c r="B188" i="7"/>
  <c r="K6" i="7" s="1"/>
  <c r="N179" i="7"/>
  <c r="N42" i="7" s="1"/>
  <c r="N43" i="7" s="1"/>
  <c r="N65" i="7" s="1"/>
  <c r="O173" i="7"/>
  <c r="AM193" i="11"/>
  <c r="U7" i="11"/>
  <c r="Y89" i="11"/>
  <c r="W173" i="11"/>
  <c r="V179" i="11"/>
  <c r="V42" i="11" s="1"/>
  <c r="V43" i="11" s="1"/>
  <c r="V65" i="11" s="1"/>
  <c r="V82" i="11"/>
  <c r="W94" i="11"/>
  <c r="V171" i="11"/>
  <c r="V214" i="11"/>
  <c r="W178" i="11"/>
  <c r="AN193" i="10"/>
  <c r="V7" i="10"/>
  <c r="V171" i="10"/>
  <c r="W89" i="10"/>
  <c r="AM193" i="10"/>
  <c r="U7" i="10"/>
  <c r="V214" i="10"/>
  <c r="W178" i="10"/>
  <c r="X173" i="10"/>
  <c r="W94" i="10"/>
  <c r="V82" i="10"/>
  <c r="AI193" i="8"/>
  <c r="Q7" i="8"/>
  <c r="R179" i="8"/>
  <c r="R42" i="8" s="1"/>
  <c r="R43" i="8" s="1"/>
  <c r="R65" i="8" s="1"/>
  <c r="S173" i="8"/>
  <c r="S178" i="8"/>
  <c r="R214" i="8"/>
  <c r="Q171" i="8"/>
  <c r="R89" i="8"/>
  <c r="R82" i="8"/>
  <c r="S94" i="8"/>
  <c r="Q178" i="7"/>
  <c r="P214" i="7"/>
  <c r="O179" i="7"/>
  <c r="O42" i="7" s="1"/>
  <c r="O43" i="7" s="1"/>
  <c r="O65" i="7" s="1"/>
  <c r="P173" i="7"/>
  <c r="S94" i="7"/>
  <c r="R82" i="7"/>
  <c r="AF193" i="7"/>
  <c r="N7" i="7"/>
  <c r="O171" i="7"/>
  <c r="P89" i="7"/>
  <c r="X94" i="11"/>
  <c r="W82" i="11"/>
  <c r="W171" i="11"/>
  <c r="W214" i="11"/>
  <c r="X178" i="11"/>
  <c r="AN193" i="11"/>
  <c r="V7" i="11"/>
  <c r="Z89" i="11"/>
  <c r="X173" i="11"/>
  <c r="W179" i="11"/>
  <c r="W42" i="11" s="1"/>
  <c r="W43" i="11" s="1"/>
  <c r="W65" i="11" s="1"/>
  <c r="X178" i="10"/>
  <c r="W214" i="10"/>
  <c r="W171" i="10"/>
  <c r="X89" i="10"/>
  <c r="X94" i="10"/>
  <c r="W82" i="10"/>
  <c r="W179" i="10"/>
  <c r="W42" i="10" s="1"/>
  <c r="W43" i="10" s="1"/>
  <c r="W65" i="10" s="1"/>
  <c r="X179" i="10"/>
  <c r="X42" i="10" s="1"/>
  <c r="X43" i="10" s="1"/>
  <c r="X65" i="10" s="1"/>
  <c r="Y173" i="10"/>
  <c r="AJ193" i="8"/>
  <c r="R7" i="8"/>
  <c r="R171" i="8"/>
  <c r="S89" i="8"/>
  <c r="S214" i="8"/>
  <c r="T178" i="8"/>
  <c r="T94" i="8"/>
  <c r="S82" i="8"/>
  <c r="S179" i="8"/>
  <c r="S42" i="8" s="1"/>
  <c r="S43" i="8" s="1"/>
  <c r="S65" i="8" s="1"/>
  <c r="T173" i="8"/>
  <c r="S82" i="7"/>
  <c r="T94" i="7"/>
  <c r="P179" i="7"/>
  <c r="P42" i="7" s="1"/>
  <c r="P43" i="7" s="1"/>
  <c r="P65" i="7" s="1"/>
  <c r="Q173" i="7"/>
  <c r="AG193" i="7"/>
  <c r="O7" i="7"/>
  <c r="P171" i="7"/>
  <c r="Q89" i="7"/>
  <c r="Q214" i="7"/>
  <c r="R178" i="7"/>
  <c r="AO193" i="11"/>
  <c r="W7" i="11"/>
  <c r="X214" i="11"/>
  <c r="Y178" i="11"/>
  <c r="X179" i="11"/>
  <c r="X42" i="11" s="1"/>
  <c r="X43" i="11" s="1"/>
  <c r="X65" i="11" s="1"/>
  <c r="Y173" i="11"/>
  <c r="AA89" i="11"/>
  <c r="X82" i="11"/>
  <c r="Y94" i="11"/>
  <c r="X171" i="11"/>
  <c r="AP193" i="10"/>
  <c r="X7" i="10"/>
  <c r="AO193" i="10"/>
  <c r="W7" i="10"/>
  <c r="Y94" i="10"/>
  <c r="X82" i="10"/>
  <c r="X171" i="10"/>
  <c r="Y89" i="10"/>
  <c r="Z173" i="10"/>
  <c r="Y178" i="10"/>
  <c r="X214" i="10"/>
  <c r="U94" i="8"/>
  <c r="T82" i="8"/>
  <c r="U178" i="8"/>
  <c r="T214" i="8"/>
  <c r="S171" i="8"/>
  <c r="T89" i="8"/>
  <c r="U173" i="8"/>
  <c r="T179" i="8"/>
  <c r="T42" i="8" s="1"/>
  <c r="T43" i="8" s="1"/>
  <c r="T65" i="8" s="1"/>
  <c r="AK193" i="8"/>
  <c r="S7" i="8"/>
  <c r="Q171" i="7"/>
  <c r="R89" i="7"/>
  <c r="Q179" i="7"/>
  <c r="Q42" i="7" s="1"/>
  <c r="Q43" i="7" s="1"/>
  <c r="Q65" i="7" s="1"/>
  <c r="R173" i="7"/>
  <c r="AH193" i="7"/>
  <c r="P7" i="7"/>
  <c r="R214" i="7"/>
  <c r="S178" i="7"/>
  <c r="U94" i="7"/>
  <c r="T82" i="7"/>
  <c r="Z173" i="11"/>
  <c r="Y179" i="11"/>
  <c r="Y42" i="11" s="1"/>
  <c r="Y43" i="11" s="1"/>
  <c r="Y65" i="11" s="1"/>
  <c r="AB89" i="11"/>
  <c r="AP193" i="11"/>
  <c r="X7" i="11"/>
  <c r="Y82" i="11"/>
  <c r="Z94" i="11"/>
  <c r="Y171" i="11"/>
  <c r="Z178" i="11"/>
  <c r="Y214" i="11"/>
  <c r="Z178" i="10"/>
  <c r="Y214" i="10"/>
  <c r="Z94" i="10"/>
  <c r="Y82" i="10"/>
  <c r="Z179" i="10"/>
  <c r="AA173" i="10"/>
  <c r="Y171" i="10"/>
  <c r="Z89" i="10"/>
  <c r="Y179" i="10"/>
  <c r="Y42" i="10" s="1"/>
  <c r="Y43" i="10" s="1"/>
  <c r="Y65" i="10" s="1"/>
  <c r="AL193" i="8"/>
  <c r="T7" i="8"/>
  <c r="V173" i="8"/>
  <c r="U179" i="8"/>
  <c r="U42" i="8" s="1"/>
  <c r="U43" i="8" s="1"/>
  <c r="U65" i="8" s="1"/>
  <c r="T171" i="8"/>
  <c r="U89" i="8"/>
  <c r="U214" i="8"/>
  <c r="V178" i="8"/>
  <c r="V94" i="8"/>
  <c r="U82" i="8"/>
  <c r="S214" i="7"/>
  <c r="T178" i="7"/>
  <c r="R179" i="7"/>
  <c r="R42" i="7" s="1"/>
  <c r="R43" i="7" s="1"/>
  <c r="R65" i="7" s="1"/>
  <c r="S173" i="7"/>
  <c r="AI193" i="7"/>
  <c r="Q7" i="7"/>
  <c r="R171" i="7"/>
  <c r="S89" i="7"/>
  <c r="V94" i="7"/>
  <c r="U82" i="7"/>
  <c r="AA94" i="11"/>
  <c r="Z82" i="11"/>
  <c r="Z171" i="11"/>
  <c r="AC89" i="11"/>
  <c r="Z214" i="11"/>
  <c r="AA178" i="11"/>
  <c r="AQ193" i="11"/>
  <c r="Y7" i="11"/>
  <c r="Z179" i="11"/>
  <c r="Z43" i="11" s="1"/>
  <c r="Z65" i="11" s="1"/>
  <c r="AA173" i="11"/>
  <c r="AB173" i="10"/>
  <c r="AA94" i="10"/>
  <c r="Z82" i="10"/>
  <c r="Z171" i="10"/>
  <c r="AA89" i="10"/>
  <c r="AQ193" i="10"/>
  <c r="Y7" i="10"/>
  <c r="AA178" i="10"/>
  <c r="Z214" i="10"/>
  <c r="V214" i="8"/>
  <c r="W178" i="8"/>
  <c r="U171" i="8"/>
  <c r="V89" i="8"/>
  <c r="AM193" i="8"/>
  <c r="U7" i="8"/>
  <c r="W173" i="8"/>
  <c r="V179" i="8"/>
  <c r="V42" i="8" s="1"/>
  <c r="V43" i="8" s="1"/>
  <c r="V65" i="8" s="1"/>
  <c r="V82" i="8"/>
  <c r="W94" i="8"/>
  <c r="S171" i="7"/>
  <c r="T89" i="7"/>
  <c r="S179" i="7"/>
  <c r="S42" i="7" s="1"/>
  <c r="S43" i="7" s="1"/>
  <c r="S65" i="7" s="1"/>
  <c r="T173" i="7"/>
  <c r="AJ193" i="7"/>
  <c r="R7" i="7"/>
  <c r="T214" i="7"/>
  <c r="U178" i="7"/>
  <c r="W94" i="7"/>
  <c r="V82" i="7"/>
  <c r="AB178" i="11"/>
  <c r="AA214" i="11"/>
  <c r="AD89" i="11"/>
  <c r="AA179" i="11"/>
  <c r="AA42" i="11" s="1"/>
  <c r="AA43" i="11" s="1"/>
  <c r="AA65" i="11" s="1"/>
  <c r="AB173" i="11"/>
  <c r="AR193" i="11"/>
  <c r="Z7" i="11"/>
  <c r="AB94" i="11"/>
  <c r="AA82" i="11"/>
  <c r="AA171" i="11"/>
  <c r="AA171" i="10"/>
  <c r="AB89" i="10"/>
  <c r="AC173" i="10"/>
  <c r="AA82" i="10"/>
  <c r="AB94" i="10"/>
  <c r="AB178" i="10"/>
  <c r="AA214" i="10"/>
  <c r="AA179" i="10"/>
  <c r="AA42" i="10" s="1"/>
  <c r="AA43" i="10" s="1"/>
  <c r="AA65" i="10" s="1"/>
  <c r="V171" i="8"/>
  <c r="W89" i="8"/>
  <c r="X94" i="8"/>
  <c r="W82" i="8"/>
  <c r="X178" i="8"/>
  <c r="W214" i="8"/>
  <c r="AN193" i="8"/>
  <c r="V7" i="8"/>
  <c r="X173" i="8"/>
  <c r="W179" i="8"/>
  <c r="W42" i="8" s="1"/>
  <c r="W43" i="8" s="1"/>
  <c r="W65" i="8" s="1"/>
  <c r="U214" i="7"/>
  <c r="V178" i="7"/>
  <c r="T179" i="7"/>
  <c r="T42" i="7" s="1"/>
  <c r="T43" i="7" s="1"/>
  <c r="T65" i="7" s="1"/>
  <c r="U173" i="7"/>
  <c r="AK193" i="7"/>
  <c r="S7" i="7"/>
  <c r="T171" i="7"/>
  <c r="U89" i="7"/>
  <c r="X94" i="7"/>
  <c r="W82" i="7"/>
  <c r="AE89" i="11"/>
  <c r="AS193" i="11"/>
  <c r="AA7" i="11"/>
  <c r="AC173" i="11"/>
  <c r="AB179" i="11"/>
  <c r="AB42" i="11" s="1"/>
  <c r="AB43" i="11" s="1"/>
  <c r="AB65" i="11" s="1"/>
  <c r="AC94" i="11"/>
  <c r="AB82" i="11"/>
  <c r="AB171" i="11"/>
  <c r="AB214" i="11"/>
  <c r="AC178" i="11"/>
  <c r="AC178" i="10"/>
  <c r="AB214" i="10"/>
  <c r="AB82" i="10"/>
  <c r="AC94" i="10"/>
  <c r="AB179" i="10"/>
  <c r="AB42" i="10" s="1"/>
  <c r="AB43" i="10" s="1"/>
  <c r="AB65" i="10" s="1"/>
  <c r="AC179" i="10"/>
  <c r="AC42" i="10" s="1"/>
  <c r="AC43" i="10" s="1"/>
  <c r="AC65" i="10" s="1"/>
  <c r="AD173" i="10"/>
  <c r="AB171" i="10"/>
  <c r="AC89" i="10"/>
  <c r="AS193" i="10"/>
  <c r="AA7" i="10"/>
  <c r="X82" i="8"/>
  <c r="Y94" i="8"/>
  <c r="AO193" i="8"/>
  <c r="W7" i="8"/>
  <c r="W171" i="8"/>
  <c r="X89" i="8"/>
  <c r="X214" i="8"/>
  <c r="Y178" i="8"/>
  <c r="Y173" i="8"/>
  <c r="X179" i="8"/>
  <c r="X42" i="8" s="1"/>
  <c r="X43" i="8" s="1"/>
  <c r="X65" i="8" s="1"/>
  <c r="V173" i="7"/>
  <c r="U179" i="7"/>
  <c r="U42" i="7" s="1"/>
  <c r="U43" i="7" s="1"/>
  <c r="U65" i="7" s="1"/>
  <c r="AL193" i="7"/>
  <c r="T7" i="7"/>
  <c r="U171" i="7"/>
  <c r="V89" i="7"/>
  <c r="V214" i="7"/>
  <c r="W178" i="7"/>
  <c r="Y94" i="7"/>
  <c r="X82" i="7"/>
  <c r="AT193" i="11"/>
  <c r="AB7" i="11"/>
  <c r="AC179" i="11"/>
  <c r="AC42" i="11" s="1"/>
  <c r="AC43" i="11" s="1"/>
  <c r="AC65" i="11" s="1"/>
  <c r="AD173" i="11"/>
  <c r="AC214" i="11"/>
  <c r="AD178" i="11"/>
  <c r="AD94" i="11"/>
  <c r="AC82" i="11"/>
  <c r="AC171" i="11"/>
  <c r="AF89" i="11"/>
  <c r="AE173" i="10"/>
  <c r="AD94" i="10"/>
  <c r="AC82" i="10"/>
  <c r="AU193" i="10"/>
  <c r="AC7" i="10"/>
  <c r="AT193" i="10"/>
  <c r="AB7" i="10"/>
  <c r="AC171" i="10"/>
  <c r="AD89" i="10"/>
  <c r="AC214" i="10"/>
  <c r="AD178" i="10"/>
  <c r="X171" i="8"/>
  <c r="Y89" i="8"/>
  <c r="Y214" i="8"/>
  <c r="Z178" i="8"/>
  <c r="AP193" i="8"/>
  <c r="X7" i="8"/>
  <c r="Z94" i="8"/>
  <c r="Y82" i="8"/>
  <c r="Y179" i="8"/>
  <c r="Y42" i="8" s="1"/>
  <c r="Y43" i="8" s="1"/>
  <c r="Y65" i="8" s="1"/>
  <c r="Z173" i="8"/>
  <c r="X178" i="7"/>
  <c r="W214" i="7"/>
  <c r="V171" i="7"/>
  <c r="W89" i="7"/>
  <c r="AM193" i="7"/>
  <c r="U7" i="7"/>
  <c r="Z94" i="7"/>
  <c r="Y82" i="7"/>
  <c r="W173" i="7"/>
  <c r="V179" i="7"/>
  <c r="V42" i="7" s="1"/>
  <c r="V43" i="7" s="1"/>
  <c r="V65" i="7" s="1"/>
  <c r="AD82" i="11"/>
  <c r="AE94" i="11"/>
  <c r="AD171" i="11"/>
  <c r="AE173" i="11"/>
  <c r="AD179" i="11"/>
  <c r="AD42" i="11" s="1"/>
  <c r="AD43" i="11" s="1"/>
  <c r="AD65" i="11" s="1"/>
  <c r="AU193" i="11"/>
  <c r="AC7" i="11"/>
  <c r="AD214" i="11"/>
  <c r="AE178" i="11"/>
  <c r="AE94" i="10"/>
  <c r="AD82" i="10"/>
  <c r="AD214" i="10"/>
  <c r="AE178" i="10"/>
  <c r="AD171" i="10"/>
  <c r="AE89" i="10"/>
  <c r="AD179" i="10"/>
  <c r="AD42" i="10" s="1"/>
  <c r="AD43" i="10" s="1"/>
  <c r="AD65" i="10" s="1"/>
  <c r="AF173" i="10"/>
  <c r="Z214" i="8"/>
  <c r="AA178" i="8"/>
  <c r="AA94" i="8"/>
  <c r="Z82" i="8"/>
  <c r="AA173" i="8"/>
  <c r="Z179" i="8"/>
  <c r="Z65" i="8" s="1"/>
  <c r="Y171" i="8"/>
  <c r="Z89" i="8"/>
  <c r="AQ193" i="8"/>
  <c r="Y7" i="8"/>
  <c r="AN193" i="7"/>
  <c r="V7" i="7"/>
  <c r="Z82" i="7"/>
  <c r="AA94" i="7"/>
  <c r="W171" i="7"/>
  <c r="X89" i="7"/>
  <c r="W179" i="7"/>
  <c r="W42" i="7" s="1"/>
  <c r="W43" i="7" s="1"/>
  <c r="W65" i="7" s="1"/>
  <c r="X173" i="7"/>
  <c r="X214" i="7"/>
  <c r="Y178" i="7"/>
  <c r="AV193" i="11"/>
  <c r="AD7" i="11"/>
  <c r="AF94" i="11"/>
  <c r="AE82" i="11"/>
  <c r="AE171" i="11"/>
  <c r="AF173" i="11"/>
  <c r="AF179" i="11" s="1"/>
  <c r="AF42" i="11" s="1"/>
  <c r="AE179" i="11"/>
  <c r="AE42" i="11" s="1"/>
  <c r="AE43" i="11" s="1"/>
  <c r="AE65" i="11" s="1"/>
  <c r="AE214" i="11"/>
  <c r="AF178" i="11"/>
  <c r="AF214" i="11" s="1"/>
  <c r="AE171" i="10"/>
  <c r="AF89" i="10"/>
  <c r="AV193" i="10"/>
  <c r="AD7" i="10"/>
  <c r="AE214" i="10"/>
  <c r="AF178" i="10"/>
  <c r="AF214" i="10" s="1"/>
  <c r="AE179" i="10"/>
  <c r="AE42" i="10" s="1"/>
  <c r="AE43" i="10" s="1"/>
  <c r="AE65" i="10" s="1"/>
  <c r="AE82" i="10"/>
  <c r="AF94" i="10"/>
  <c r="AF82" i="10" s="1"/>
  <c r="Z171" i="8"/>
  <c r="AA89" i="8"/>
  <c r="AA179" i="8"/>
  <c r="AA42" i="8" s="1"/>
  <c r="AA43" i="8" s="1"/>
  <c r="AA65" i="8" s="1"/>
  <c r="AB173" i="8"/>
  <c r="AB178" i="8"/>
  <c r="AA214" i="8"/>
  <c r="AR193" i="8"/>
  <c r="Z7" i="8"/>
  <c r="AA82" i="8"/>
  <c r="AB94" i="8"/>
  <c r="X179" i="7"/>
  <c r="X42" i="7" s="1"/>
  <c r="X43" i="7" s="1"/>
  <c r="X65" i="7" s="1"/>
  <c r="Y173" i="7"/>
  <c r="X171" i="7"/>
  <c r="Y89" i="7"/>
  <c r="AB94" i="7"/>
  <c r="AA82" i="7"/>
  <c r="Y214" i="7"/>
  <c r="Z178" i="7"/>
  <c r="AO193" i="7"/>
  <c r="W7" i="7"/>
  <c r="AW193" i="11"/>
  <c r="AE7" i="11"/>
  <c r="AF43" i="11"/>
  <c r="AI42" i="11"/>
  <c r="AH42" i="11"/>
  <c r="AF82" i="11"/>
  <c r="AF171" i="11"/>
  <c r="AF171" i="10"/>
  <c r="AH82" i="10"/>
  <c r="AI82" i="10"/>
  <c r="AW193" i="10"/>
  <c r="AE7" i="10"/>
  <c r="AF179" i="10"/>
  <c r="AF42" i="10" s="1"/>
  <c r="AS193" i="8"/>
  <c r="AA7" i="8"/>
  <c r="AB214" i="8"/>
  <c r="AC178" i="8"/>
  <c r="AB179" i="8"/>
  <c r="AB42" i="8" s="1"/>
  <c r="AB43" i="8" s="1"/>
  <c r="AB65" i="8" s="1"/>
  <c r="AC173" i="8"/>
  <c r="AC94" i="8"/>
  <c r="AB82" i="8"/>
  <c r="AA171" i="8"/>
  <c r="AB89" i="8"/>
  <c r="AB82" i="7"/>
  <c r="AC94" i="7"/>
  <c r="Y171" i="7"/>
  <c r="Z89" i="7"/>
  <c r="AA178" i="7"/>
  <c r="Z214" i="7"/>
  <c r="Y179" i="7"/>
  <c r="Y42" i="7" s="1"/>
  <c r="Y43" i="7" s="1"/>
  <c r="Y65" i="7" s="1"/>
  <c r="Z173" i="7"/>
  <c r="AP193" i="7"/>
  <c r="X7" i="7"/>
  <c r="AH82" i="11"/>
  <c r="AI82" i="11"/>
  <c r="AF65" i="11"/>
  <c r="AH43" i="11"/>
  <c r="AI43" i="11"/>
  <c r="AF43" i="10"/>
  <c r="AI42" i="10"/>
  <c r="AH42" i="10"/>
  <c r="AT193" i="8"/>
  <c r="AB7" i="8"/>
  <c r="AD94" i="8"/>
  <c r="AC82" i="8"/>
  <c r="AD173" i="8"/>
  <c r="AC179" i="8"/>
  <c r="AC42" i="8" s="1"/>
  <c r="AC43" i="8" s="1"/>
  <c r="AC65" i="8" s="1"/>
  <c r="AC214" i="8"/>
  <c r="AD178" i="8"/>
  <c r="AB171" i="8"/>
  <c r="AC89" i="8"/>
  <c r="AQ193" i="7"/>
  <c r="Y7" i="7"/>
  <c r="AB178" i="7"/>
  <c r="AA214" i="7"/>
  <c r="Z171" i="7"/>
  <c r="AA89" i="7"/>
  <c r="Z179" i="7"/>
  <c r="Z43" i="7" s="1"/>
  <c r="Z65" i="7" s="1"/>
  <c r="AA173" i="7"/>
  <c r="AD94" i="7"/>
  <c r="AC82" i="7"/>
  <c r="AX193" i="11"/>
  <c r="AF7" i="11"/>
  <c r="A7" i="11" s="1"/>
  <c r="AI65" i="11"/>
  <c r="AH65" i="11"/>
  <c r="AF65" i="10"/>
  <c r="AI43" i="10"/>
  <c r="AH43" i="10"/>
  <c r="AE178" i="8"/>
  <c r="AD214" i="8"/>
  <c r="AC171" i="8"/>
  <c r="AD89" i="8"/>
  <c r="AU193" i="8"/>
  <c r="AC7" i="8"/>
  <c r="AD179" i="8"/>
  <c r="AD42" i="8" s="1"/>
  <c r="AD43" i="8" s="1"/>
  <c r="AD65" i="8" s="1"/>
  <c r="AE173" i="8"/>
  <c r="AD82" i="8"/>
  <c r="AE94" i="8"/>
  <c r="AA179" i="7"/>
  <c r="AA42" i="7" s="1"/>
  <c r="AA43" i="7" s="1"/>
  <c r="AA65" i="7" s="1"/>
  <c r="AB173" i="7"/>
  <c r="AA171" i="7"/>
  <c r="AB89" i="7"/>
  <c r="AR193" i="7"/>
  <c r="Z7" i="7"/>
  <c r="AB214" i="7"/>
  <c r="AC178" i="7"/>
  <c r="AE94" i="7"/>
  <c r="AD82" i="7"/>
  <c r="AX193" i="10"/>
  <c r="AF7" i="10"/>
  <c r="A7" i="10" s="1"/>
  <c r="AI65" i="10"/>
  <c r="AH65" i="10"/>
  <c r="AF173" i="8"/>
  <c r="AE179" i="8"/>
  <c r="AE42" i="8" s="1"/>
  <c r="AE43" i="8" s="1"/>
  <c r="AE65" i="8" s="1"/>
  <c r="AD171" i="8"/>
  <c r="AE89" i="8"/>
  <c r="AF94" i="8"/>
  <c r="AF82" i="8" s="1"/>
  <c r="AE82" i="8"/>
  <c r="AV193" i="8"/>
  <c r="AD7" i="8"/>
  <c r="AF178" i="8"/>
  <c r="AF214" i="8" s="1"/>
  <c r="AE214" i="8"/>
  <c r="AC214" i="7"/>
  <c r="AD178" i="7"/>
  <c r="AB171" i="7"/>
  <c r="AC89" i="7"/>
  <c r="AB179" i="7"/>
  <c r="AB42" i="7" s="1"/>
  <c r="AB43" i="7" s="1"/>
  <c r="AB65" i="7" s="1"/>
  <c r="AC173" i="7"/>
  <c r="AF94" i="7"/>
  <c r="AF82" i="7" s="1"/>
  <c r="AE82" i="7"/>
  <c r="AS193" i="7"/>
  <c r="AA7" i="7"/>
  <c r="AH82" i="8"/>
  <c r="AI82" i="8"/>
  <c r="AW193" i="8"/>
  <c r="AE7" i="8"/>
  <c r="AE171" i="8"/>
  <c r="AF89" i="8"/>
  <c r="AF171" i="8" s="1"/>
  <c r="AF179" i="8"/>
  <c r="AF42" i="8" s="1"/>
  <c r="AT193" i="7"/>
  <c r="AB7" i="7"/>
  <c r="AC171" i="7"/>
  <c r="AD89" i="7"/>
  <c r="AH82" i="7"/>
  <c r="AI82" i="7"/>
  <c r="AD173" i="7"/>
  <c r="AC179" i="7"/>
  <c r="AC42" i="7" s="1"/>
  <c r="AC43" i="7" s="1"/>
  <c r="AC65" i="7" s="1"/>
  <c r="AD214" i="7"/>
  <c r="AE178" i="7"/>
  <c r="AF43" i="8"/>
  <c r="AI42" i="8"/>
  <c r="AH42" i="8"/>
  <c r="AU193" i="7"/>
  <c r="AC7" i="7"/>
  <c r="AD171" i="7"/>
  <c r="AE89" i="7"/>
  <c r="AE173" i="7"/>
  <c r="AD179" i="7"/>
  <c r="AD42" i="7" s="1"/>
  <c r="AD43" i="7" s="1"/>
  <c r="AD65" i="7" s="1"/>
  <c r="AF178" i="7"/>
  <c r="AF214" i="7" s="1"/>
  <c r="AE214" i="7"/>
  <c r="AF65" i="8"/>
  <c r="AI43" i="8"/>
  <c r="AH43" i="8"/>
  <c r="AV193" i="7"/>
  <c r="AD7" i="7"/>
  <c r="AF173" i="7"/>
  <c r="AF179" i="7" s="1"/>
  <c r="AF42" i="7" s="1"/>
  <c r="AE179" i="7"/>
  <c r="AE42" i="7" s="1"/>
  <c r="AE43" i="7" s="1"/>
  <c r="AE65" i="7" s="1"/>
  <c r="AE171" i="7"/>
  <c r="AF89" i="7"/>
  <c r="AF171" i="7" s="1"/>
  <c r="AX193" i="8"/>
  <c r="AF7" i="8"/>
  <c r="A7" i="8" s="1"/>
  <c r="AH65" i="8"/>
  <c r="AI65" i="8"/>
  <c r="AW193" i="7"/>
  <c r="AE7" i="7"/>
  <c r="AF43" i="7"/>
  <c r="AH42" i="7"/>
  <c r="AI42" i="7"/>
  <c r="AF65" i="7"/>
  <c r="AI43" i="7"/>
  <c r="AH43" i="7"/>
  <c r="AX193" i="7"/>
  <c r="AF7" i="7"/>
  <c r="A7" i="7" s="1"/>
  <c r="AH65" i="7"/>
  <c r="AI65" i="7"/>
  <c r="AH87" i="6"/>
  <c r="AI87" i="6" s="1"/>
  <c r="B59" i="6"/>
  <c r="B47" i="6"/>
  <c r="B43" i="6"/>
  <c r="B30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B218" i="6"/>
  <c r="A218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C217" i="6"/>
  <c r="B217" i="6"/>
  <c r="A217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A216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C215" i="6"/>
  <c r="B215" i="6"/>
  <c r="A215" i="6"/>
  <c r="B214" i="6"/>
  <c r="S189" i="6"/>
  <c r="AG179" i="6"/>
  <c r="B179" i="6"/>
  <c r="C178" i="6"/>
  <c r="C214" i="6" s="1"/>
  <c r="C177" i="6"/>
  <c r="D177" i="6" s="1"/>
  <c r="E177" i="6" s="1"/>
  <c r="F177" i="6" s="1"/>
  <c r="G177" i="6" s="1"/>
  <c r="H177" i="6" s="1"/>
  <c r="I177" i="6" s="1"/>
  <c r="J177" i="6" s="1"/>
  <c r="K177" i="6" s="1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C176" i="6"/>
  <c r="D176" i="6" s="1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C175" i="6"/>
  <c r="D175" i="6" s="1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D174" i="6"/>
  <c r="E174" i="6" s="1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C174" i="6"/>
  <c r="C173" i="6"/>
  <c r="AG171" i="6"/>
  <c r="B171" i="6"/>
  <c r="D170" i="6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C170" i="6"/>
  <c r="C169" i="6"/>
  <c r="D169" i="6" s="1"/>
  <c r="E169" i="6" s="1"/>
  <c r="F169" i="6" s="1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D168" i="6"/>
  <c r="E168" i="6" s="1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A168" i="6" s="1"/>
  <c r="AB168" i="6" s="1"/>
  <c r="AC168" i="6" s="1"/>
  <c r="AD168" i="6" s="1"/>
  <c r="AE168" i="6" s="1"/>
  <c r="AF168" i="6" s="1"/>
  <c r="C168" i="6"/>
  <c r="I167" i="6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C167" i="6"/>
  <c r="D167" i="6" s="1"/>
  <c r="E167" i="6" s="1"/>
  <c r="F167" i="6" s="1"/>
  <c r="G167" i="6" s="1"/>
  <c r="H167" i="6" s="1"/>
  <c r="C166" i="6"/>
  <c r="D166" i="6" s="1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C165" i="6"/>
  <c r="D165" i="6" s="1"/>
  <c r="E165" i="6" s="1"/>
  <c r="F165" i="6" s="1"/>
  <c r="G165" i="6" s="1"/>
  <c r="H165" i="6" s="1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F164" i="6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D164" i="6"/>
  <c r="E164" i="6" s="1"/>
  <c r="C164" i="6"/>
  <c r="V163" i="6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D163" i="6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C163" i="6"/>
  <c r="C162" i="6"/>
  <c r="D162" i="6" s="1"/>
  <c r="E162" i="6" s="1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C161" i="6"/>
  <c r="D161" i="6" s="1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AF160" i="6"/>
  <c r="O160" i="6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C160" i="6"/>
  <c r="D160" i="6" s="1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C159" i="6"/>
  <c r="D159" i="6" s="1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C158" i="6"/>
  <c r="D158" i="6" s="1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C157" i="6"/>
  <c r="D157" i="6" s="1"/>
  <c r="E157" i="6" s="1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C156" i="6"/>
  <c r="D156" i="6" s="1"/>
  <c r="E156" i="6" s="1"/>
  <c r="F156" i="6" s="1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Y155" i="6"/>
  <c r="Z155" i="6" s="1"/>
  <c r="AA155" i="6" s="1"/>
  <c r="AB155" i="6" s="1"/>
  <c r="AC155" i="6" s="1"/>
  <c r="AD155" i="6" s="1"/>
  <c r="AE155" i="6" s="1"/>
  <c r="AF155" i="6" s="1"/>
  <c r="N155" i="6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D155" i="6"/>
  <c r="E155" i="6" s="1"/>
  <c r="F155" i="6" s="1"/>
  <c r="G155" i="6" s="1"/>
  <c r="H155" i="6" s="1"/>
  <c r="I155" i="6" s="1"/>
  <c r="J155" i="6" s="1"/>
  <c r="K155" i="6" s="1"/>
  <c r="L155" i="6" s="1"/>
  <c r="M155" i="6" s="1"/>
  <c r="C155" i="6"/>
  <c r="J154" i="6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C154" i="6"/>
  <c r="D154" i="6" s="1"/>
  <c r="E154" i="6" s="1"/>
  <c r="F154" i="6" s="1"/>
  <c r="G154" i="6" s="1"/>
  <c r="H154" i="6" s="1"/>
  <c r="I154" i="6" s="1"/>
  <c r="N153" i="6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C153" i="6"/>
  <c r="D153" i="6" s="1"/>
  <c r="E153" i="6" s="1"/>
  <c r="F153" i="6" s="1"/>
  <c r="G153" i="6" s="1"/>
  <c r="H153" i="6" s="1"/>
  <c r="I153" i="6" s="1"/>
  <c r="J153" i="6" s="1"/>
  <c r="K153" i="6" s="1"/>
  <c r="L153" i="6" s="1"/>
  <c r="M153" i="6" s="1"/>
  <c r="H152" i="6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C152" i="6"/>
  <c r="D152" i="6" s="1"/>
  <c r="E152" i="6" s="1"/>
  <c r="F152" i="6" s="1"/>
  <c r="G152" i="6" s="1"/>
  <c r="D151" i="6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C151" i="6"/>
  <c r="D150" i="6"/>
  <c r="E150" i="6" s="1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C150" i="6"/>
  <c r="D149" i="6"/>
  <c r="E149" i="6" s="1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C149" i="6"/>
  <c r="C148" i="6"/>
  <c r="D148" i="6" s="1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F147" i="6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E147" i="6"/>
  <c r="D147" i="6"/>
  <c r="C147" i="6"/>
  <c r="C146" i="6"/>
  <c r="D146" i="6" s="1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C145" i="6"/>
  <c r="D145" i="6" s="1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J144" i="6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F144" i="6"/>
  <c r="G144" i="6" s="1"/>
  <c r="H144" i="6" s="1"/>
  <c r="I144" i="6" s="1"/>
  <c r="D144" i="6"/>
  <c r="E144" i="6" s="1"/>
  <c r="C144" i="6"/>
  <c r="E143" i="6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D143" i="6"/>
  <c r="C143" i="6"/>
  <c r="G142" i="6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C142" i="6"/>
  <c r="D142" i="6" s="1"/>
  <c r="E142" i="6" s="1"/>
  <c r="F142" i="6" s="1"/>
  <c r="E141" i="6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D141" i="6"/>
  <c r="C141" i="6"/>
  <c r="H140" i="6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D140" i="6"/>
  <c r="E140" i="6" s="1"/>
  <c r="F140" i="6" s="1"/>
  <c r="G140" i="6" s="1"/>
  <c r="C140" i="6"/>
  <c r="J139" i="6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F139" i="6"/>
  <c r="G139" i="6" s="1"/>
  <c r="H139" i="6" s="1"/>
  <c r="I139" i="6" s="1"/>
  <c r="D139" i="6"/>
  <c r="E139" i="6" s="1"/>
  <c r="C139" i="6"/>
  <c r="AC138" i="6"/>
  <c r="AD138" i="6" s="1"/>
  <c r="AE138" i="6" s="1"/>
  <c r="AF138" i="6" s="1"/>
  <c r="D138" i="6"/>
  <c r="E138" i="6" s="1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C138" i="6"/>
  <c r="F137" i="6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D137" i="6"/>
  <c r="E137" i="6" s="1"/>
  <c r="C137" i="6"/>
  <c r="P136" i="6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G136" i="6"/>
  <c r="H136" i="6" s="1"/>
  <c r="I136" i="6" s="1"/>
  <c r="J136" i="6" s="1"/>
  <c r="K136" i="6" s="1"/>
  <c r="L136" i="6" s="1"/>
  <c r="M136" i="6" s="1"/>
  <c r="N136" i="6" s="1"/>
  <c r="O136" i="6" s="1"/>
  <c r="C136" i="6"/>
  <c r="D136" i="6" s="1"/>
  <c r="E136" i="6" s="1"/>
  <c r="F136" i="6" s="1"/>
  <c r="D135" i="6"/>
  <c r="E135" i="6" s="1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C135" i="6"/>
  <c r="V134" i="6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D134" i="6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C134" i="6"/>
  <c r="E133" i="6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C133" i="6"/>
  <c r="D133" i="6" s="1"/>
  <c r="I132" i="6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C132" i="6"/>
  <c r="D132" i="6" s="1"/>
  <c r="E132" i="6" s="1"/>
  <c r="F132" i="6" s="1"/>
  <c r="G132" i="6" s="1"/>
  <c r="H132" i="6" s="1"/>
  <c r="J131" i="6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G131" i="6"/>
  <c r="H131" i="6" s="1"/>
  <c r="I131" i="6" s="1"/>
  <c r="E131" i="6"/>
  <c r="F131" i="6" s="1"/>
  <c r="D131" i="6"/>
  <c r="C131" i="6"/>
  <c r="D130" i="6"/>
  <c r="E130" i="6" s="1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C130" i="6"/>
  <c r="X129" i="6"/>
  <c r="Y129" i="6" s="1"/>
  <c r="Z129" i="6" s="1"/>
  <c r="AA129" i="6" s="1"/>
  <c r="AB129" i="6" s="1"/>
  <c r="AC129" i="6" s="1"/>
  <c r="AD129" i="6" s="1"/>
  <c r="AE129" i="6" s="1"/>
  <c r="AF129" i="6" s="1"/>
  <c r="C129" i="6"/>
  <c r="D129" i="6" s="1"/>
  <c r="E129" i="6" s="1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M128" i="6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C128" i="6"/>
  <c r="D128" i="6" s="1"/>
  <c r="E128" i="6" s="1"/>
  <c r="F128" i="6" s="1"/>
  <c r="G128" i="6" s="1"/>
  <c r="H128" i="6" s="1"/>
  <c r="I128" i="6" s="1"/>
  <c r="J128" i="6" s="1"/>
  <c r="K128" i="6" s="1"/>
  <c r="L128" i="6" s="1"/>
  <c r="K127" i="6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E127" i="6"/>
  <c r="F127" i="6" s="1"/>
  <c r="G127" i="6" s="1"/>
  <c r="H127" i="6" s="1"/>
  <c r="I127" i="6" s="1"/>
  <c r="J127" i="6" s="1"/>
  <c r="C127" i="6"/>
  <c r="D127" i="6" s="1"/>
  <c r="AE126" i="6"/>
  <c r="AF126" i="6" s="1"/>
  <c r="I126" i="6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C126" i="6"/>
  <c r="D126" i="6" s="1"/>
  <c r="E126" i="6" s="1"/>
  <c r="F126" i="6" s="1"/>
  <c r="G126" i="6" s="1"/>
  <c r="H126" i="6" s="1"/>
  <c r="G125" i="6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C125" i="6"/>
  <c r="D125" i="6" s="1"/>
  <c r="E125" i="6" s="1"/>
  <c r="F125" i="6" s="1"/>
  <c r="G124" i="6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C124" i="6"/>
  <c r="D124" i="6" s="1"/>
  <c r="E124" i="6" s="1"/>
  <c r="F124" i="6" s="1"/>
  <c r="D123" i="6"/>
  <c r="E123" i="6" s="1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C123" i="6"/>
  <c r="D122" i="6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C122" i="6"/>
  <c r="N121" i="6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G121" i="6"/>
  <c r="H121" i="6" s="1"/>
  <c r="I121" i="6" s="1"/>
  <c r="J121" i="6" s="1"/>
  <c r="K121" i="6" s="1"/>
  <c r="L121" i="6" s="1"/>
  <c r="M121" i="6" s="1"/>
  <c r="F121" i="6"/>
  <c r="E121" i="6"/>
  <c r="D121" i="6"/>
  <c r="C121" i="6"/>
  <c r="M120" i="6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F120" i="6"/>
  <c r="G120" i="6" s="1"/>
  <c r="H120" i="6" s="1"/>
  <c r="I120" i="6" s="1"/>
  <c r="J120" i="6" s="1"/>
  <c r="K120" i="6" s="1"/>
  <c r="L120" i="6" s="1"/>
  <c r="D120" i="6"/>
  <c r="E120" i="6" s="1"/>
  <c r="C120" i="6"/>
  <c r="F119" i="6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E119" i="6"/>
  <c r="D119" i="6"/>
  <c r="C119" i="6"/>
  <c r="D118" i="6"/>
  <c r="E118" i="6" s="1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C118" i="6"/>
  <c r="S117" i="6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C117" i="6"/>
  <c r="D117" i="6" s="1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F116" i="6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D116" i="6"/>
  <c r="E116" i="6" s="1"/>
  <c r="C116" i="6"/>
  <c r="F115" i="6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C115" i="6"/>
  <c r="D115" i="6" s="1"/>
  <c r="E115" i="6" s="1"/>
  <c r="D114" i="6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C114" i="6"/>
  <c r="C113" i="6"/>
  <c r="D113" i="6" s="1"/>
  <c r="E113" i="6" s="1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C112" i="6"/>
  <c r="D112" i="6" s="1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G111" i="6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C111" i="6"/>
  <c r="D111" i="6" s="1"/>
  <c r="E111" i="6" s="1"/>
  <c r="F111" i="6" s="1"/>
  <c r="Q110" i="6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E110" i="6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D110" i="6"/>
  <c r="C110" i="6"/>
  <c r="K109" i="6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G109" i="6"/>
  <c r="H109" i="6" s="1"/>
  <c r="I109" i="6" s="1"/>
  <c r="J109" i="6" s="1"/>
  <c r="C109" i="6"/>
  <c r="D109" i="6" s="1"/>
  <c r="E109" i="6" s="1"/>
  <c r="F109" i="6" s="1"/>
  <c r="E108" i="6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C108" i="6"/>
  <c r="D108" i="6" s="1"/>
  <c r="F107" i="6"/>
  <c r="G107" i="6" s="1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C107" i="6"/>
  <c r="D107" i="6" s="1"/>
  <c r="E107" i="6" s="1"/>
  <c r="D106" i="6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C106" i="6"/>
  <c r="C105" i="6"/>
  <c r="D105" i="6" s="1"/>
  <c r="E105" i="6" s="1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C104" i="6"/>
  <c r="D104" i="6" s="1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C103" i="6"/>
  <c r="D103" i="6" s="1"/>
  <c r="E103" i="6" s="1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D102" i="6"/>
  <c r="E102" i="6" s="1"/>
  <c r="F102" i="6" s="1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C102" i="6"/>
  <c r="C101" i="6"/>
  <c r="D101" i="6" s="1"/>
  <c r="E101" i="6" s="1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C100" i="6"/>
  <c r="D100" i="6" s="1"/>
  <c r="E100" i="6" s="1"/>
  <c r="F100" i="6" s="1"/>
  <c r="G100" i="6" s="1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L99" i="6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K99" i="6"/>
  <c r="J99" i="6"/>
  <c r="C99" i="6"/>
  <c r="D99" i="6" s="1"/>
  <c r="E99" i="6" s="1"/>
  <c r="F99" i="6" s="1"/>
  <c r="G99" i="6" s="1"/>
  <c r="H99" i="6" s="1"/>
  <c r="C98" i="6"/>
  <c r="D98" i="6" s="1"/>
  <c r="E98" i="6" s="1"/>
  <c r="F98" i="6" s="1"/>
  <c r="G98" i="6" s="1"/>
  <c r="H98" i="6" s="1"/>
  <c r="I98" i="6" s="1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I97" i="6"/>
  <c r="J97" i="6" s="1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A97" i="6" s="1"/>
  <c r="AB97" i="6" s="1"/>
  <c r="AC97" i="6" s="1"/>
  <c r="AD97" i="6" s="1"/>
  <c r="AE97" i="6" s="1"/>
  <c r="AF97" i="6" s="1"/>
  <c r="F97" i="6"/>
  <c r="G97" i="6" s="1"/>
  <c r="H97" i="6" s="1"/>
  <c r="D97" i="6"/>
  <c r="E97" i="6" s="1"/>
  <c r="C97" i="6"/>
  <c r="D96" i="6"/>
  <c r="E96" i="6" s="1"/>
  <c r="F96" i="6" s="1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A96" i="6" s="1"/>
  <c r="AB96" i="6" s="1"/>
  <c r="AC96" i="6" s="1"/>
  <c r="AD96" i="6" s="1"/>
  <c r="AE96" i="6" s="1"/>
  <c r="AF96" i="6" s="1"/>
  <c r="C96" i="6"/>
  <c r="C95" i="6"/>
  <c r="D95" i="6" s="1"/>
  <c r="E95" i="6" s="1"/>
  <c r="F95" i="6" s="1"/>
  <c r="G95" i="6" s="1"/>
  <c r="H95" i="6" s="1"/>
  <c r="I95" i="6" s="1"/>
  <c r="J95" i="6" s="1"/>
  <c r="K95" i="6" s="1"/>
  <c r="L95" i="6" s="1"/>
  <c r="M95" i="6" s="1"/>
  <c r="N95" i="6" s="1"/>
  <c r="O95" i="6" s="1"/>
  <c r="P95" i="6" s="1"/>
  <c r="Q95" i="6" s="1"/>
  <c r="R95" i="6" s="1"/>
  <c r="S95" i="6" s="1"/>
  <c r="T95" i="6" s="1"/>
  <c r="U95" i="6" s="1"/>
  <c r="V95" i="6" s="1"/>
  <c r="W95" i="6" s="1"/>
  <c r="X95" i="6" s="1"/>
  <c r="Y95" i="6" s="1"/>
  <c r="Z95" i="6" s="1"/>
  <c r="AA95" i="6" s="1"/>
  <c r="AB95" i="6" s="1"/>
  <c r="AC95" i="6" s="1"/>
  <c r="AD95" i="6" s="1"/>
  <c r="AE95" i="6" s="1"/>
  <c r="AF95" i="6" s="1"/>
  <c r="D94" i="6"/>
  <c r="E94" i="6" s="1"/>
  <c r="E82" i="6" s="1"/>
  <c r="C94" i="6"/>
  <c r="D93" i="6"/>
  <c r="E93" i="6" s="1"/>
  <c r="F93" i="6" s="1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C93" i="6"/>
  <c r="H92" i="6"/>
  <c r="I92" i="6" s="1"/>
  <c r="J92" i="6" s="1"/>
  <c r="K92" i="6" s="1"/>
  <c r="L92" i="6" s="1"/>
  <c r="M92" i="6" s="1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D92" i="6"/>
  <c r="E92" i="6" s="1"/>
  <c r="F92" i="6" s="1"/>
  <c r="G92" i="6" s="1"/>
  <c r="C92" i="6"/>
  <c r="F91" i="6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C91" i="6"/>
  <c r="D91" i="6" s="1"/>
  <c r="E91" i="6" s="1"/>
  <c r="F90" i="6"/>
  <c r="G90" i="6" s="1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D90" i="6"/>
  <c r="E90" i="6" s="1"/>
  <c r="C90" i="6"/>
  <c r="D89" i="6"/>
  <c r="C89" i="6"/>
  <c r="AH86" i="6"/>
  <c r="AI86" i="6" s="1"/>
  <c r="AH85" i="6"/>
  <c r="AI85" i="6" s="1"/>
  <c r="AH84" i="6"/>
  <c r="AI84" i="6" s="1"/>
  <c r="AH83" i="6"/>
  <c r="AI83" i="6" s="1"/>
  <c r="C82" i="6"/>
  <c r="B82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I79" i="6"/>
  <c r="AH79" i="6"/>
  <c r="AI78" i="6"/>
  <c r="AH78" i="6"/>
  <c r="AI77" i="6"/>
  <c r="AH77" i="6"/>
  <c r="AI76" i="6"/>
  <c r="AH76" i="6"/>
  <c r="AI75" i="6"/>
  <c r="AH75" i="6"/>
  <c r="AI74" i="6"/>
  <c r="AH74" i="6"/>
  <c r="AI73" i="6"/>
  <c r="AH73" i="6"/>
  <c r="AI72" i="6"/>
  <c r="AH72" i="6"/>
  <c r="AG71" i="6"/>
  <c r="G71" i="6"/>
  <c r="AI70" i="6"/>
  <c r="AH70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E71" i="6" s="1"/>
  <c r="D69" i="6"/>
  <c r="C69" i="6"/>
  <c r="B69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O71" i="6" s="1"/>
  <c r="N68" i="6"/>
  <c r="M68" i="6"/>
  <c r="L68" i="6"/>
  <c r="K68" i="6"/>
  <c r="J68" i="6"/>
  <c r="I68" i="6"/>
  <c r="I71" i="6" s="1"/>
  <c r="H68" i="6"/>
  <c r="G68" i="6"/>
  <c r="F68" i="6"/>
  <c r="E68" i="6"/>
  <c r="D68" i="6"/>
  <c r="C68" i="6"/>
  <c r="B68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F66" i="6"/>
  <c r="AF71" i="6" s="1"/>
  <c r="AE66" i="6"/>
  <c r="AD66" i="6"/>
  <c r="AC66" i="6"/>
  <c r="AC71" i="6" s="1"/>
  <c r="AB66" i="6"/>
  <c r="AA66" i="6"/>
  <c r="AA71" i="6" s="1"/>
  <c r="Z66" i="6"/>
  <c r="Y66" i="6"/>
  <c r="X66" i="6"/>
  <c r="W66" i="6"/>
  <c r="W71" i="6" s="1"/>
  <c r="V66" i="6"/>
  <c r="V71" i="6" s="1"/>
  <c r="U66" i="6"/>
  <c r="U71" i="6" s="1"/>
  <c r="T66" i="6"/>
  <c r="S66" i="6"/>
  <c r="R66" i="6"/>
  <c r="Q66" i="6"/>
  <c r="P66" i="6"/>
  <c r="O66" i="6"/>
  <c r="N66" i="6"/>
  <c r="M66" i="6"/>
  <c r="M71" i="6" s="1"/>
  <c r="L66" i="6"/>
  <c r="K66" i="6"/>
  <c r="K71" i="6" s="1"/>
  <c r="J66" i="6"/>
  <c r="I66" i="6"/>
  <c r="H66" i="6"/>
  <c r="G66" i="6"/>
  <c r="F66" i="6"/>
  <c r="E66" i="6"/>
  <c r="D66" i="6"/>
  <c r="C66" i="6"/>
  <c r="B66" i="6"/>
  <c r="AI64" i="6"/>
  <c r="AH64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AI63" i="6" s="1"/>
  <c r="B63" i="6"/>
  <c r="AI62" i="6"/>
  <c r="AH62" i="6"/>
  <c r="AI61" i="6"/>
  <c r="AH61" i="6"/>
  <c r="AI60" i="6"/>
  <c r="AH60" i="6"/>
  <c r="AG59" i="6"/>
  <c r="AF59" i="6"/>
  <c r="AE59" i="6"/>
  <c r="AE5" i="6" s="1"/>
  <c r="AD59" i="6"/>
  <c r="AD5" i="6" s="1"/>
  <c r="AC59" i="6"/>
  <c r="AC5" i="6" s="1"/>
  <c r="AB59" i="6"/>
  <c r="AA59" i="6"/>
  <c r="AA5" i="6" s="1"/>
  <c r="Z59" i="6"/>
  <c r="Y59" i="6"/>
  <c r="Y5" i="6" s="1"/>
  <c r="X59" i="6"/>
  <c r="X5" i="6" s="1"/>
  <c r="W59" i="6"/>
  <c r="W5" i="6" s="1"/>
  <c r="V59" i="6"/>
  <c r="U59" i="6"/>
  <c r="U5" i="6" s="1"/>
  <c r="T59" i="6"/>
  <c r="S59" i="6"/>
  <c r="S5" i="6" s="1"/>
  <c r="R59" i="6"/>
  <c r="R5" i="6" s="1"/>
  <c r="Q59" i="6"/>
  <c r="Q5" i="6" s="1"/>
  <c r="P59" i="6"/>
  <c r="O59" i="6"/>
  <c r="N59" i="6"/>
  <c r="M59" i="6"/>
  <c r="M5" i="6" s="1"/>
  <c r="L59" i="6"/>
  <c r="L5" i="6" s="1"/>
  <c r="K59" i="6"/>
  <c r="K5" i="6" s="1"/>
  <c r="J59" i="6"/>
  <c r="I59" i="6"/>
  <c r="I5" i="6" s="1"/>
  <c r="H59" i="6"/>
  <c r="G59" i="6"/>
  <c r="G5" i="6" s="1"/>
  <c r="F59" i="6"/>
  <c r="E59" i="6"/>
  <c r="E5" i="6" s="1"/>
  <c r="D59" i="6"/>
  <c r="D5" i="6" s="1"/>
  <c r="C59" i="6"/>
  <c r="C5" i="6" s="1"/>
  <c r="AI58" i="6"/>
  <c r="AH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G47" i="6"/>
  <c r="AG4" i="6" s="1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AI46" i="6"/>
  <c r="AH46" i="6"/>
  <c r="AI45" i="6"/>
  <c r="AH45" i="6"/>
  <c r="AI44" i="6"/>
  <c r="AH44" i="6"/>
  <c r="AG43" i="6"/>
  <c r="AG3" i="6" s="1"/>
  <c r="AG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AB5" i="6"/>
  <c r="Z5" i="6"/>
  <c r="V5" i="6"/>
  <c r="T5" i="6"/>
  <c r="P5" i="6"/>
  <c r="O5" i="6"/>
  <c r="N5" i="6"/>
  <c r="J5" i="6"/>
  <c r="H5" i="6"/>
  <c r="F5" i="6"/>
  <c r="K4" i="6"/>
  <c r="C4" i="6"/>
  <c r="S190" i="6" s="1"/>
  <c r="AG2" i="6"/>
  <c r="AG6" i="6" s="1"/>
  <c r="Q84" i="5"/>
  <c r="Q50" i="5"/>
  <c r="P84" i="5"/>
  <c r="P50" i="5"/>
  <c r="O84" i="5"/>
  <c r="O50" i="5"/>
  <c r="N84" i="5"/>
  <c r="N50" i="5"/>
  <c r="M84" i="5"/>
  <c r="M50" i="5"/>
  <c r="L84" i="5"/>
  <c r="L50" i="5"/>
  <c r="D49" i="5"/>
  <c r="AH87" i="5"/>
  <c r="AI87" i="5" s="1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B214" i="5"/>
  <c r="S189" i="5"/>
  <c r="AG179" i="5"/>
  <c r="B179" i="5"/>
  <c r="C178" i="5"/>
  <c r="K177" i="5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J177" i="5"/>
  <c r="C177" i="5"/>
  <c r="D177" i="5" s="1"/>
  <c r="E177" i="5" s="1"/>
  <c r="F177" i="5" s="1"/>
  <c r="G177" i="5" s="1"/>
  <c r="H177" i="5" s="1"/>
  <c r="I177" i="5" s="1"/>
  <c r="C176" i="5"/>
  <c r="D176" i="5" s="1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V175" i="5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C175" i="5"/>
  <c r="D175" i="5" s="1"/>
  <c r="E175" i="5" s="1"/>
  <c r="F175" i="5" s="1"/>
  <c r="G175" i="5" s="1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P174" i="5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D174" i="5"/>
  <c r="E174" i="5" s="1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C174" i="5"/>
  <c r="C173" i="5"/>
  <c r="AG171" i="5"/>
  <c r="B171" i="5"/>
  <c r="H170" i="5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G170" i="5"/>
  <c r="E170" i="5"/>
  <c r="F170" i="5" s="1"/>
  <c r="D170" i="5"/>
  <c r="C170" i="5"/>
  <c r="S169" i="5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G169" i="5"/>
  <c r="H169" i="5" s="1"/>
  <c r="I169" i="5" s="1"/>
  <c r="J169" i="5" s="1"/>
  <c r="K169" i="5" s="1"/>
  <c r="L169" i="5" s="1"/>
  <c r="M169" i="5" s="1"/>
  <c r="N169" i="5" s="1"/>
  <c r="O169" i="5" s="1"/>
  <c r="P169" i="5" s="1"/>
  <c r="Q169" i="5" s="1"/>
  <c r="R169" i="5" s="1"/>
  <c r="E169" i="5"/>
  <c r="F169" i="5" s="1"/>
  <c r="C169" i="5"/>
  <c r="D169" i="5" s="1"/>
  <c r="D168" i="5"/>
  <c r="E168" i="5" s="1"/>
  <c r="F168" i="5" s="1"/>
  <c r="G168" i="5" s="1"/>
  <c r="H168" i="5" s="1"/>
  <c r="I168" i="5" s="1"/>
  <c r="J168" i="5" s="1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C168" i="5"/>
  <c r="E167" i="5"/>
  <c r="F167" i="5" s="1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D167" i="5"/>
  <c r="C167" i="5"/>
  <c r="P166" i="5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G166" i="5"/>
  <c r="H166" i="5" s="1"/>
  <c r="I166" i="5" s="1"/>
  <c r="J166" i="5" s="1"/>
  <c r="K166" i="5" s="1"/>
  <c r="L166" i="5" s="1"/>
  <c r="M166" i="5" s="1"/>
  <c r="N166" i="5" s="1"/>
  <c r="O166" i="5" s="1"/>
  <c r="E166" i="5"/>
  <c r="F166" i="5" s="1"/>
  <c r="C166" i="5"/>
  <c r="D166" i="5" s="1"/>
  <c r="C165" i="5"/>
  <c r="D165" i="5" s="1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E164" i="5"/>
  <c r="F164" i="5" s="1"/>
  <c r="G164" i="5" s="1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D164" i="5"/>
  <c r="C164" i="5"/>
  <c r="D163" i="5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C163" i="5"/>
  <c r="K162" i="5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C162" i="5"/>
  <c r="D162" i="5" s="1"/>
  <c r="E162" i="5" s="1"/>
  <c r="F162" i="5" s="1"/>
  <c r="G162" i="5" s="1"/>
  <c r="H162" i="5" s="1"/>
  <c r="I162" i="5" s="1"/>
  <c r="J162" i="5" s="1"/>
  <c r="F161" i="5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C161" i="5"/>
  <c r="D161" i="5" s="1"/>
  <c r="E161" i="5" s="1"/>
  <c r="E160" i="5"/>
  <c r="F160" i="5" s="1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C160" i="5"/>
  <c r="D160" i="5" s="1"/>
  <c r="C159" i="5"/>
  <c r="D159" i="5" s="1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K158" i="5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E158" i="5"/>
  <c r="F158" i="5" s="1"/>
  <c r="G158" i="5" s="1"/>
  <c r="H158" i="5" s="1"/>
  <c r="I158" i="5" s="1"/>
  <c r="J158" i="5" s="1"/>
  <c r="C158" i="5"/>
  <c r="D158" i="5" s="1"/>
  <c r="K157" i="5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C157" i="5"/>
  <c r="D157" i="5" s="1"/>
  <c r="E157" i="5" s="1"/>
  <c r="F157" i="5" s="1"/>
  <c r="G157" i="5" s="1"/>
  <c r="H157" i="5" s="1"/>
  <c r="I157" i="5" s="1"/>
  <c r="J157" i="5" s="1"/>
  <c r="L156" i="5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D156" i="5"/>
  <c r="E156" i="5" s="1"/>
  <c r="F156" i="5" s="1"/>
  <c r="G156" i="5" s="1"/>
  <c r="H156" i="5" s="1"/>
  <c r="I156" i="5" s="1"/>
  <c r="J156" i="5" s="1"/>
  <c r="K156" i="5" s="1"/>
  <c r="C156" i="5"/>
  <c r="F155" i="5"/>
  <c r="G155" i="5" s="1"/>
  <c r="H155" i="5" s="1"/>
  <c r="I155" i="5" s="1"/>
  <c r="J155" i="5" s="1"/>
  <c r="K155" i="5" s="1"/>
  <c r="L155" i="5" s="1"/>
  <c r="M155" i="5" s="1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D155" i="5"/>
  <c r="E155" i="5" s="1"/>
  <c r="C155" i="5"/>
  <c r="G154" i="5"/>
  <c r="H154" i="5" s="1"/>
  <c r="I154" i="5" s="1"/>
  <c r="J154" i="5" s="1"/>
  <c r="K154" i="5" s="1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AF154" i="5" s="1"/>
  <c r="C154" i="5"/>
  <c r="D154" i="5" s="1"/>
  <c r="E154" i="5" s="1"/>
  <c r="F154" i="5" s="1"/>
  <c r="C153" i="5"/>
  <c r="D153" i="5" s="1"/>
  <c r="E153" i="5" s="1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C152" i="5"/>
  <c r="D152" i="5" s="1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J151" i="5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H151" i="5"/>
  <c r="I151" i="5" s="1"/>
  <c r="G151" i="5"/>
  <c r="D151" i="5"/>
  <c r="E151" i="5" s="1"/>
  <c r="F151" i="5" s="1"/>
  <c r="C151" i="5"/>
  <c r="J150" i="5"/>
  <c r="K150" i="5" s="1"/>
  <c r="L150" i="5" s="1"/>
  <c r="M150" i="5" s="1"/>
  <c r="N150" i="5" s="1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AB150" i="5" s="1"/>
  <c r="AC150" i="5" s="1"/>
  <c r="AD150" i="5" s="1"/>
  <c r="AE150" i="5" s="1"/>
  <c r="AF150" i="5" s="1"/>
  <c r="E150" i="5"/>
  <c r="F150" i="5" s="1"/>
  <c r="G150" i="5" s="1"/>
  <c r="H150" i="5" s="1"/>
  <c r="I150" i="5" s="1"/>
  <c r="D150" i="5"/>
  <c r="C150" i="5"/>
  <c r="E149" i="5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D149" i="5"/>
  <c r="C149" i="5"/>
  <c r="G148" i="5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F148" i="5"/>
  <c r="C148" i="5"/>
  <c r="D148" i="5" s="1"/>
  <c r="E148" i="5" s="1"/>
  <c r="M147" i="5"/>
  <c r="N147" i="5" s="1"/>
  <c r="O147" i="5" s="1"/>
  <c r="P147" i="5" s="1"/>
  <c r="Q147" i="5" s="1"/>
  <c r="R147" i="5" s="1"/>
  <c r="S147" i="5" s="1"/>
  <c r="T147" i="5" s="1"/>
  <c r="U147" i="5" s="1"/>
  <c r="V147" i="5" s="1"/>
  <c r="W147" i="5" s="1"/>
  <c r="X147" i="5" s="1"/>
  <c r="Y147" i="5" s="1"/>
  <c r="Z147" i="5" s="1"/>
  <c r="AA147" i="5" s="1"/>
  <c r="AB147" i="5" s="1"/>
  <c r="AC147" i="5" s="1"/>
  <c r="AD147" i="5" s="1"/>
  <c r="AE147" i="5" s="1"/>
  <c r="AF147" i="5" s="1"/>
  <c r="I147" i="5"/>
  <c r="J147" i="5" s="1"/>
  <c r="K147" i="5" s="1"/>
  <c r="L147" i="5" s="1"/>
  <c r="H147" i="5"/>
  <c r="D147" i="5"/>
  <c r="E147" i="5" s="1"/>
  <c r="F147" i="5" s="1"/>
  <c r="G147" i="5" s="1"/>
  <c r="C147" i="5"/>
  <c r="C146" i="5"/>
  <c r="D146" i="5" s="1"/>
  <c r="E146" i="5" s="1"/>
  <c r="F146" i="5" s="1"/>
  <c r="G146" i="5" s="1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C145" i="5"/>
  <c r="D145" i="5" s="1"/>
  <c r="E145" i="5" s="1"/>
  <c r="F145" i="5" s="1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C144" i="5"/>
  <c r="D144" i="5" s="1"/>
  <c r="E144" i="5" s="1"/>
  <c r="F144" i="5" s="1"/>
  <c r="G144" i="5" s="1"/>
  <c r="H144" i="5" s="1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E143" i="5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D143" i="5"/>
  <c r="C143" i="5"/>
  <c r="E142" i="5"/>
  <c r="F142" i="5" s="1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C142" i="5"/>
  <c r="D142" i="5" s="1"/>
  <c r="E141" i="5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D141" i="5"/>
  <c r="C141" i="5"/>
  <c r="Z140" i="5"/>
  <c r="AA140" i="5" s="1"/>
  <c r="AB140" i="5" s="1"/>
  <c r="AC140" i="5" s="1"/>
  <c r="AD140" i="5" s="1"/>
  <c r="AE140" i="5" s="1"/>
  <c r="AF140" i="5" s="1"/>
  <c r="G140" i="5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C140" i="5"/>
  <c r="D140" i="5" s="1"/>
  <c r="E140" i="5" s="1"/>
  <c r="F140" i="5" s="1"/>
  <c r="F139" i="5"/>
  <c r="G139" i="5" s="1"/>
  <c r="H139" i="5" s="1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E139" i="5"/>
  <c r="D139" i="5"/>
  <c r="C139" i="5"/>
  <c r="E138" i="5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D138" i="5"/>
  <c r="C138" i="5"/>
  <c r="F137" i="5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C137" i="5"/>
  <c r="D137" i="5" s="1"/>
  <c r="E137" i="5" s="1"/>
  <c r="O136" i="5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J136" i="5"/>
  <c r="K136" i="5" s="1"/>
  <c r="L136" i="5" s="1"/>
  <c r="M136" i="5" s="1"/>
  <c r="N136" i="5" s="1"/>
  <c r="F136" i="5"/>
  <c r="G136" i="5" s="1"/>
  <c r="H136" i="5" s="1"/>
  <c r="I136" i="5" s="1"/>
  <c r="D136" i="5"/>
  <c r="E136" i="5" s="1"/>
  <c r="C136" i="5"/>
  <c r="H135" i="5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D135" i="5"/>
  <c r="E135" i="5" s="1"/>
  <c r="F135" i="5" s="1"/>
  <c r="G135" i="5" s="1"/>
  <c r="C135" i="5"/>
  <c r="F134" i="5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C134" i="5"/>
  <c r="D134" i="5" s="1"/>
  <c r="E134" i="5" s="1"/>
  <c r="E133" i="5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D133" i="5"/>
  <c r="C133" i="5"/>
  <c r="V132" i="5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H132" i="5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C132" i="5"/>
  <c r="D132" i="5" s="1"/>
  <c r="E132" i="5" s="1"/>
  <c r="F132" i="5" s="1"/>
  <c r="G132" i="5" s="1"/>
  <c r="AC131" i="5"/>
  <c r="AD131" i="5" s="1"/>
  <c r="AE131" i="5" s="1"/>
  <c r="AF131" i="5" s="1"/>
  <c r="F131" i="5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E131" i="5"/>
  <c r="D131" i="5"/>
  <c r="C131" i="5"/>
  <c r="F130" i="5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C130" i="5"/>
  <c r="D130" i="5" s="1"/>
  <c r="E130" i="5" s="1"/>
  <c r="T129" i="5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Q129" i="5"/>
  <c r="R129" i="5" s="1"/>
  <c r="S129" i="5" s="1"/>
  <c r="D129" i="5"/>
  <c r="E129" i="5" s="1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C129" i="5"/>
  <c r="C128" i="5"/>
  <c r="D128" i="5" s="1"/>
  <c r="E128" i="5" s="1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D127" i="5"/>
  <c r="E127" i="5" s="1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C127" i="5"/>
  <c r="K126" i="5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J126" i="5"/>
  <c r="C126" i="5"/>
  <c r="D126" i="5" s="1"/>
  <c r="E126" i="5" s="1"/>
  <c r="F126" i="5" s="1"/>
  <c r="G126" i="5" s="1"/>
  <c r="H126" i="5" s="1"/>
  <c r="I126" i="5" s="1"/>
  <c r="C125" i="5"/>
  <c r="D125" i="5" s="1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C124" i="5"/>
  <c r="D124" i="5" s="1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F123" i="5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D123" i="5"/>
  <c r="E123" i="5" s="1"/>
  <c r="C123" i="5"/>
  <c r="E122" i="5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D122" i="5"/>
  <c r="C122" i="5"/>
  <c r="C121" i="5"/>
  <c r="I120" i="5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G120" i="5"/>
  <c r="H120" i="5" s="1"/>
  <c r="F120" i="5"/>
  <c r="C120" i="5"/>
  <c r="D120" i="5" s="1"/>
  <c r="E120" i="5" s="1"/>
  <c r="AD119" i="5"/>
  <c r="AE119" i="5" s="1"/>
  <c r="AF119" i="5" s="1"/>
  <c r="O119" i="5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I119" i="5"/>
  <c r="J119" i="5" s="1"/>
  <c r="K119" i="5" s="1"/>
  <c r="L119" i="5" s="1"/>
  <c r="M119" i="5" s="1"/>
  <c r="N119" i="5" s="1"/>
  <c r="H119" i="5"/>
  <c r="F119" i="5"/>
  <c r="G119" i="5" s="1"/>
  <c r="D119" i="5"/>
  <c r="E119" i="5" s="1"/>
  <c r="C119" i="5"/>
  <c r="C118" i="5"/>
  <c r="D118" i="5" s="1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AA117" i="5"/>
  <c r="AB117" i="5" s="1"/>
  <c r="AC117" i="5" s="1"/>
  <c r="AD117" i="5" s="1"/>
  <c r="AE117" i="5" s="1"/>
  <c r="AF117" i="5" s="1"/>
  <c r="L117" i="5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J117" i="5"/>
  <c r="K117" i="5" s="1"/>
  <c r="C117" i="5"/>
  <c r="D117" i="5" s="1"/>
  <c r="E117" i="5" s="1"/>
  <c r="F117" i="5" s="1"/>
  <c r="G117" i="5" s="1"/>
  <c r="H117" i="5" s="1"/>
  <c r="I117" i="5" s="1"/>
  <c r="R116" i="5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C116" i="5"/>
  <c r="D116" i="5" s="1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L115" i="5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E115" i="5"/>
  <c r="F115" i="5" s="1"/>
  <c r="G115" i="5" s="1"/>
  <c r="H115" i="5" s="1"/>
  <c r="I115" i="5" s="1"/>
  <c r="J115" i="5" s="1"/>
  <c r="K115" i="5" s="1"/>
  <c r="D115" i="5"/>
  <c r="C115" i="5"/>
  <c r="C114" i="5"/>
  <c r="D114" i="5" s="1"/>
  <c r="E114" i="5" s="1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M113" i="5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C113" i="5"/>
  <c r="D113" i="5" s="1"/>
  <c r="E113" i="5" s="1"/>
  <c r="F113" i="5" s="1"/>
  <c r="G113" i="5" s="1"/>
  <c r="H113" i="5" s="1"/>
  <c r="I113" i="5" s="1"/>
  <c r="J113" i="5" s="1"/>
  <c r="K113" i="5" s="1"/>
  <c r="L113" i="5" s="1"/>
  <c r="T112" i="5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I112" i="5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D112" i="5"/>
  <c r="E112" i="5" s="1"/>
  <c r="F112" i="5" s="1"/>
  <c r="G112" i="5" s="1"/>
  <c r="H112" i="5" s="1"/>
  <c r="C112" i="5"/>
  <c r="L111" i="5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I111" i="5"/>
  <c r="J111" i="5" s="1"/>
  <c r="K111" i="5" s="1"/>
  <c r="G111" i="5"/>
  <c r="H111" i="5" s="1"/>
  <c r="F111" i="5"/>
  <c r="D111" i="5"/>
  <c r="E111" i="5" s="1"/>
  <c r="C111" i="5"/>
  <c r="G110" i="5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E110" i="5"/>
  <c r="F110" i="5" s="1"/>
  <c r="D110" i="5"/>
  <c r="C110" i="5"/>
  <c r="F109" i="5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E109" i="5"/>
  <c r="C109" i="5"/>
  <c r="D109" i="5" s="1"/>
  <c r="D108" i="5"/>
  <c r="E108" i="5" s="1"/>
  <c r="F108" i="5" s="1"/>
  <c r="G108" i="5" s="1"/>
  <c r="H108" i="5" s="1"/>
  <c r="I108" i="5" s="1"/>
  <c r="J108" i="5" s="1"/>
  <c r="K108" i="5" s="1"/>
  <c r="L108" i="5" s="1"/>
  <c r="M108" i="5" s="1"/>
  <c r="N108" i="5" s="1"/>
  <c r="O108" i="5" s="1"/>
  <c r="P108" i="5" s="1"/>
  <c r="Q108" i="5" s="1"/>
  <c r="R108" i="5" s="1"/>
  <c r="S108" i="5" s="1"/>
  <c r="T108" i="5" s="1"/>
  <c r="U108" i="5" s="1"/>
  <c r="V108" i="5" s="1"/>
  <c r="W108" i="5" s="1"/>
  <c r="X108" i="5" s="1"/>
  <c r="Y108" i="5" s="1"/>
  <c r="Z108" i="5" s="1"/>
  <c r="AA108" i="5" s="1"/>
  <c r="AB108" i="5" s="1"/>
  <c r="AC108" i="5" s="1"/>
  <c r="AD108" i="5" s="1"/>
  <c r="AE108" i="5" s="1"/>
  <c r="AF108" i="5" s="1"/>
  <c r="C108" i="5"/>
  <c r="W107" i="5"/>
  <c r="X107" i="5" s="1"/>
  <c r="Y107" i="5" s="1"/>
  <c r="Z107" i="5" s="1"/>
  <c r="AA107" i="5" s="1"/>
  <c r="AB107" i="5" s="1"/>
  <c r="AC107" i="5" s="1"/>
  <c r="AD107" i="5" s="1"/>
  <c r="AE107" i="5" s="1"/>
  <c r="AF107" i="5" s="1"/>
  <c r="C107" i="5"/>
  <c r="D107" i="5" s="1"/>
  <c r="E107" i="5" s="1"/>
  <c r="F107" i="5" s="1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C106" i="5"/>
  <c r="D106" i="5" s="1"/>
  <c r="E106" i="5" s="1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G105" i="5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C105" i="5"/>
  <c r="D105" i="5" s="1"/>
  <c r="E105" i="5" s="1"/>
  <c r="F105" i="5" s="1"/>
  <c r="I104" i="5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E104" i="5"/>
  <c r="F104" i="5" s="1"/>
  <c r="G104" i="5" s="1"/>
  <c r="H104" i="5" s="1"/>
  <c r="D104" i="5"/>
  <c r="C104" i="5"/>
  <c r="C103" i="5"/>
  <c r="D103" i="5" s="1"/>
  <c r="E103" i="5" s="1"/>
  <c r="F103" i="5" s="1"/>
  <c r="G103" i="5" s="1"/>
  <c r="H103" i="5" s="1"/>
  <c r="I103" i="5" s="1"/>
  <c r="J103" i="5" s="1"/>
  <c r="K103" i="5" s="1"/>
  <c r="L103" i="5" s="1"/>
  <c r="M103" i="5" s="1"/>
  <c r="N103" i="5" s="1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C102" i="5"/>
  <c r="D102" i="5" s="1"/>
  <c r="E102" i="5" s="1"/>
  <c r="F102" i="5" s="1"/>
  <c r="G102" i="5" s="1"/>
  <c r="H102" i="5" s="1"/>
  <c r="I102" i="5" s="1"/>
  <c r="J102" i="5" s="1"/>
  <c r="K102" i="5" s="1"/>
  <c r="L102" i="5" s="1"/>
  <c r="M102" i="5" s="1"/>
  <c r="N102" i="5" s="1"/>
  <c r="O102" i="5" s="1"/>
  <c r="P102" i="5" s="1"/>
  <c r="Q102" i="5" s="1"/>
  <c r="R102" i="5" s="1"/>
  <c r="S102" i="5" s="1"/>
  <c r="T102" i="5" s="1"/>
  <c r="U102" i="5" s="1"/>
  <c r="V102" i="5" s="1"/>
  <c r="W102" i="5" s="1"/>
  <c r="X102" i="5" s="1"/>
  <c r="Y102" i="5" s="1"/>
  <c r="Z102" i="5" s="1"/>
  <c r="AA102" i="5" s="1"/>
  <c r="AB102" i="5" s="1"/>
  <c r="AC102" i="5" s="1"/>
  <c r="AD102" i="5" s="1"/>
  <c r="AE102" i="5" s="1"/>
  <c r="AF102" i="5" s="1"/>
  <c r="C101" i="5"/>
  <c r="D101" i="5" s="1"/>
  <c r="E101" i="5" s="1"/>
  <c r="F101" i="5" s="1"/>
  <c r="G101" i="5" s="1"/>
  <c r="H101" i="5" s="1"/>
  <c r="I101" i="5" s="1"/>
  <c r="J101" i="5" s="1"/>
  <c r="K101" i="5" s="1"/>
  <c r="L101" i="5" s="1"/>
  <c r="M101" i="5" s="1"/>
  <c r="N101" i="5" s="1"/>
  <c r="O101" i="5" s="1"/>
  <c r="P101" i="5" s="1"/>
  <c r="Q101" i="5" s="1"/>
  <c r="R101" i="5" s="1"/>
  <c r="S101" i="5" s="1"/>
  <c r="T101" i="5" s="1"/>
  <c r="U101" i="5" s="1"/>
  <c r="V101" i="5" s="1"/>
  <c r="W101" i="5" s="1"/>
  <c r="X101" i="5" s="1"/>
  <c r="Y101" i="5" s="1"/>
  <c r="Z101" i="5" s="1"/>
  <c r="AA101" i="5" s="1"/>
  <c r="AB101" i="5" s="1"/>
  <c r="AC101" i="5" s="1"/>
  <c r="AD101" i="5" s="1"/>
  <c r="AE101" i="5" s="1"/>
  <c r="AF101" i="5" s="1"/>
  <c r="F100" i="5"/>
  <c r="G100" i="5" s="1"/>
  <c r="H100" i="5" s="1"/>
  <c r="I100" i="5" s="1"/>
  <c r="J100" i="5" s="1"/>
  <c r="K100" i="5" s="1"/>
  <c r="L100" i="5" s="1"/>
  <c r="M100" i="5" s="1"/>
  <c r="N100" i="5" s="1"/>
  <c r="O100" i="5" s="1"/>
  <c r="P100" i="5" s="1"/>
  <c r="Q100" i="5" s="1"/>
  <c r="R100" i="5" s="1"/>
  <c r="S100" i="5" s="1"/>
  <c r="T100" i="5" s="1"/>
  <c r="U100" i="5" s="1"/>
  <c r="V100" i="5" s="1"/>
  <c r="W100" i="5" s="1"/>
  <c r="X100" i="5" s="1"/>
  <c r="Y100" i="5" s="1"/>
  <c r="Z100" i="5" s="1"/>
  <c r="AA100" i="5" s="1"/>
  <c r="AB100" i="5" s="1"/>
  <c r="AC100" i="5" s="1"/>
  <c r="AD100" i="5" s="1"/>
  <c r="AE100" i="5" s="1"/>
  <c r="AF100" i="5" s="1"/>
  <c r="E100" i="5"/>
  <c r="D100" i="5"/>
  <c r="C100" i="5"/>
  <c r="K99" i="5"/>
  <c r="L99" i="5" s="1"/>
  <c r="M99" i="5" s="1"/>
  <c r="N99" i="5" s="1"/>
  <c r="O99" i="5" s="1"/>
  <c r="P99" i="5" s="1"/>
  <c r="Q99" i="5" s="1"/>
  <c r="R99" i="5" s="1"/>
  <c r="S99" i="5" s="1"/>
  <c r="T99" i="5" s="1"/>
  <c r="U99" i="5" s="1"/>
  <c r="V99" i="5" s="1"/>
  <c r="W99" i="5" s="1"/>
  <c r="X99" i="5" s="1"/>
  <c r="Y99" i="5" s="1"/>
  <c r="Z99" i="5" s="1"/>
  <c r="AA99" i="5" s="1"/>
  <c r="AB99" i="5" s="1"/>
  <c r="AC99" i="5" s="1"/>
  <c r="AD99" i="5" s="1"/>
  <c r="AE99" i="5" s="1"/>
  <c r="AF99" i="5" s="1"/>
  <c r="J99" i="5"/>
  <c r="C99" i="5"/>
  <c r="D99" i="5" s="1"/>
  <c r="E99" i="5" s="1"/>
  <c r="F99" i="5" s="1"/>
  <c r="G99" i="5" s="1"/>
  <c r="H99" i="5" s="1"/>
  <c r="I98" i="5"/>
  <c r="J98" i="5" s="1"/>
  <c r="K98" i="5" s="1"/>
  <c r="L98" i="5" s="1"/>
  <c r="M98" i="5" s="1"/>
  <c r="N98" i="5" s="1"/>
  <c r="O98" i="5" s="1"/>
  <c r="P98" i="5" s="1"/>
  <c r="Q98" i="5" s="1"/>
  <c r="R98" i="5" s="1"/>
  <c r="S98" i="5" s="1"/>
  <c r="T98" i="5" s="1"/>
  <c r="U98" i="5" s="1"/>
  <c r="V98" i="5" s="1"/>
  <c r="W98" i="5" s="1"/>
  <c r="X98" i="5" s="1"/>
  <c r="Y98" i="5" s="1"/>
  <c r="Z98" i="5" s="1"/>
  <c r="AA98" i="5" s="1"/>
  <c r="AB98" i="5" s="1"/>
  <c r="AC98" i="5" s="1"/>
  <c r="AD98" i="5" s="1"/>
  <c r="AE98" i="5" s="1"/>
  <c r="AF98" i="5" s="1"/>
  <c r="H98" i="5"/>
  <c r="D98" i="5"/>
  <c r="E98" i="5" s="1"/>
  <c r="F98" i="5" s="1"/>
  <c r="G98" i="5" s="1"/>
  <c r="C98" i="5"/>
  <c r="G97" i="5"/>
  <c r="H97" i="5" s="1"/>
  <c r="I97" i="5" s="1"/>
  <c r="J97" i="5" s="1"/>
  <c r="K97" i="5" s="1"/>
  <c r="L97" i="5" s="1"/>
  <c r="M97" i="5" s="1"/>
  <c r="N97" i="5" s="1"/>
  <c r="O97" i="5" s="1"/>
  <c r="P97" i="5" s="1"/>
  <c r="Q97" i="5" s="1"/>
  <c r="R97" i="5" s="1"/>
  <c r="S97" i="5" s="1"/>
  <c r="T97" i="5" s="1"/>
  <c r="U97" i="5" s="1"/>
  <c r="V97" i="5" s="1"/>
  <c r="W97" i="5" s="1"/>
  <c r="X97" i="5" s="1"/>
  <c r="Y97" i="5" s="1"/>
  <c r="Z97" i="5" s="1"/>
  <c r="AA97" i="5" s="1"/>
  <c r="AB97" i="5" s="1"/>
  <c r="AC97" i="5" s="1"/>
  <c r="AD97" i="5" s="1"/>
  <c r="AE97" i="5" s="1"/>
  <c r="AF97" i="5" s="1"/>
  <c r="F97" i="5"/>
  <c r="E97" i="5"/>
  <c r="D97" i="5"/>
  <c r="C97" i="5"/>
  <c r="E96" i="5"/>
  <c r="F96" i="5" s="1"/>
  <c r="G96" i="5" s="1"/>
  <c r="H96" i="5" s="1"/>
  <c r="I96" i="5" s="1"/>
  <c r="J96" i="5" s="1"/>
  <c r="K96" i="5" s="1"/>
  <c r="L96" i="5" s="1"/>
  <c r="M96" i="5" s="1"/>
  <c r="N96" i="5" s="1"/>
  <c r="O96" i="5" s="1"/>
  <c r="P96" i="5" s="1"/>
  <c r="Q96" i="5" s="1"/>
  <c r="R96" i="5" s="1"/>
  <c r="S96" i="5" s="1"/>
  <c r="T96" i="5" s="1"/>
  <c r="U96" i="5" s="1"/>
  <c r="V96" i="5" s="1"/>
  <c r="W96" i="5" s="1"/>
  <c r="X96" i="5" s="1"/>
  <c r="Y96" i="5" s="1"/>
  <c r="Z96" i="5" s="1"/>
  <c r="AA96" i="5" s="1"/>
  <c r="AB96" i="5" s="1"/>
  <c r="AC96" i="5" s="1"/>
  <c r="AD96" i="5" s="1"/>
  <c r="AE96" i="5" s="1"/>
  <c r="AF96" i="5" s="1"/>
  <c r="D96" i="5"/>
  <c r="C96" i="5"/>
  <c r="C95" i="5"/>
  <c r="D95" i="5" s="1"/>
  <c r="E95" i="5" s="1"/>
  <c r="F95" i="5" s="1"/>
  <c r="G95" i="5" s="1"/>
  <c r="H95" i="5" s="1"/>
  <c r="I95" i="5" s="1"/>
  <c r="J95" i="5" s="1"/>
  <c r="K95" i="5" s="1"/>
  <c r="L95" i="5" s="1"/>
  <c r="M95" i="5" s="1"/>
  <c r="N95" i="5" s="1"/>
  <c r="O95" i="5" s="1"/>
  <c r="P95" i="5" s="1"/>
  <c r="Q95" i="5" s="1"/>
  <c r="R95" i="5" s="1"/>
  <c r="S95" i="5" s="1"/>
  <c r="T95" i="5" s="1"/>
  <c r="U95" i="5" s="1"/>
  <c r="V95" i="5" s="1"/>
  <c r="W95" i="5" s="1"/>
  <c r="X95" i="5" s="1"/>
  <c r="Y95" i="5" s="1"/>
  <c r="Z95" i="5" s="1"/>
  <c r="AA95" i="5" s="1"/>
  <c r="AB95" i="5" s="1"/>
  <c r="AC95" i="5" s="1"/>
  <c r="AD95" i="5" s="1"/>
  <c r="AE95" i="5" s="1"/>
  <c r="AF95" i="5" s="1"/>
  <c r="C94" i="5"/>
  <c r="D94" i="5" s="1"/>
  <c r="E93" i="5"/>
  <c r="F93" i="5" s="1"/>
  <c r="G93" i="5" s="1"/>
  <c r="H93" i="5" s="1"/>
  <c r="I93" i="5" s="1"/>
  <c r="J93" i="5" s="1"/>
  <c r="K93" i="5" s="1"/>
  <c r="L93" i="5" s="1"/>
  <c r="M93" i="5" s="1"/>
  <c r="N93" i="5" s="1"/>
  <c r="O93" i="5" s="1"/>
  <c r="P93" i="5" s="1"/>
  <c r="Q93" i="5" s="1"/>
  <c r="R93" i="5" s="1"/>
  <c r="S93" i="5" s="1"/>
  <c r="T93" i="5" s="1"/>
  <c r="U93" i="5" s="1"/>
  <c r="V93" i="5" s="1"/>
  <c r="W93" i="5" s="1"/>
  <c r="X93" i="5" s="1"/>
  <c r="Y93" i="5" s="1"/>
  <c r="Z93" i="5" s="1"/>
  <c r="AA93" i="5" s="1"/>
  <c r="AB93" i="5" s="1"/>
  <c r="AC93" i="5" s="1"/>
  <c r="AD93" i="5" s="1"/>
  <c r="AE93" i="5" s="1"/>
  <c r="AF93" i="5" s="1"/>
  <c r="C93" i="5"/>
  <c r="D93" i="5" s="1"/>
  <c r="D92" i="5"/>
  <c r="E92" i="5" s="1"/>
  <c r="F92" i="5" s="1"/>
  <c r="G92" i="5" s="1"/>
  <c r="H92" i="5" s="1"/>
  <c r="I92" i="5" s="1"/>
  <c r="J92" i="5" s="1"/>
  <c r="K92" i="5" s="1"/>
  <c r="L92" i="5" s="1"/>
  <c r="M92" i="5" s="1"/>
  <c r="N92" i="5" s="1"/>
  <c r="O92" i="5" s="1"/>
  <c r="P92" i="5" s="1"/>
  <c r="Q92" i="5" s="1"/>
  <c r="R92" i="5" s="1"/>
  <c r="S92" i="5" s="1"/>
  <c r="T92" i="5" s="1"/>
  <c r="U92" i="5" s="1"/>
  <c r="V92" i="5" s="1"/>
  <c r="W92" i="5" s="1"/>
  <c r="X92" i="5" s="1"/>
  <c r="Y92" i="5" s="1"/>
  <c r="Z92" i="5" s="1"/>
  <c r="AA92" i="5" s="1"/>
  <c r="AB92" i="5" s="1"/>
  <c r="AC92" i="5" s="1"/>
  <c r="AD92" i="5" s="1"/>
  <c r="AE92" i="5" s="1"/>
  <c r="AF92" i="5" s="1"/>
  <c r="C92" i="5"/>
  <c r="C91" i="5"/>
  <c r="D91" i="5" s="1"/>
  <c r="E91" i="5" s="1"/>
  <c r="F91" i="5" s="1"/>
  <c r="G91" i="5" s="1"/>
  <c r="H91" i="5" s="1"/>
  <c r="I91" i="5" s="1"/>
  <c r="J91" i="5" s="1"/>
  <c r="K91" i="5" s="1"/>
  <c r="L91" i="5" s="1"/>
  <c r="M91" i="5" s="1"/>
  <c r="N91" i="5" s="1"/>
  <c r="O91" i="5" s="1"/>
  <c r="P91" i="5" s="1"/>
  <c r="Q91" i="5" s="1"/>
  <c r="R91" i="5" s="1"/>
  <c r="S91" i="5" s="1"/>
  <c r="T91" i="5" s="1"/>
  <c r="U91" i="5" s="1"/>
  <c r="V91" i="5" s="1"/>
  <c r="W91" i="5" s="1"/>
  <c r="X91" i="5" s="1"/>
  <c r="Y91" i="5" s="1"/>
  <c r="Z91" i="5" s="1"/>
  <c r="AA91" i="5" s="1"/>
  <c r="AB91" i="5" s="1"/>
  <c r="AC91" i="5" s="1"/>
  <c r="AD91" i="5" s="1"/>
  <c r="AE91" i="5" s="1"/>
  <c r="AF91" i="5" s="1"/>
  <c r="C90" i="5"/>
  <c r="D90" i="5" s="1"/>
  <c r="E90" i="5" s="1"/>
  <c r="F90" i="5" s="1"/>
  <c r="G90" i="5" s="1"/>
  <c r="H90" i="5" s="1"/>
  <c r="I90" i="5" s="1"/>
  <c r="J90" i="5" s="1"/>
  <c r="K90" i="5" s="1"/>
  <c r="L90" i="5" s="1"/>
  <c r="M90" i="5" s="1"/>
  <c r="N90" i="5" s="1"/>
  <c r="O90" i="5" s="1"/>
  <c r="P90" i="5" s="1"/>
  <c r="Q90" i="5" s="1"/>
  <c r="R90" i="5" s="1"/>
  <c r="S90" i="5" s="1"/>
  <c r="T90" i="5" s="1"/>
  <c r="U90" i="5" s="1"/>
  <c r="V90" i="5" s="1"/>
  <c r="W90" i="5" s="1"/>
  <c r="X90" i="5" s="1"/>
  <c r="Y90" i="5" s="1"/>
  <c r="Z90" i="5" s="1"/>
  <c r="AA90" i="5" s="1"/>
  <c r="AB90" i="5" s="1"/>
  <c r="AC90" i="5" s="1"/>
  <c r="AD90" i="5" s="1"/>
  <c r="AE90" i="5" s="1"/>
  <c r="AF90" i="5" s="1"/>
  <c r="D89" i="5"/>
  <c r="C89" i="5"/>
  <c r="AH86" i="5"/>
  <c r="AI86" i="5" s="1"/>
  <c r="AH85" i="5"/>
  <c r="AI85" i="5" s="1"/>
  <c r="AH84" i="5"/>
  <c r="AI84" i="5" s="1"/>
  <c r="AH83" i="5"/>
  <c r="AI83" i="5" s="1"/>
  <c r="B82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I72" i="5"/>
  <c r="AH72" i="5"/>
  <c r="AG71" i="5"/>
  <c r="AC71" i="5"/>
  <c r="M71" i="5"/>
  <c r="AI70" i="5"/>
  <c r="AH70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F66" i="5"/>
  <c r="AE66" i="5"/>
  <c r="AD66" i="5"/>
  <c r="AD71" i="5" s="1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J71" i="5" s="1"/>
  <c r="I66" i="5"/>
  <c r="H66" i="5"/>
  <c r="G66" i="5"/>
  <c r="F66" i="5"/>
  <c r="E66" i="5"/>
  <c r="D66" i="5"/>
  <c r="C66" i="5"/>
  <c r="C71" i="5" s="1"/>
  <c r="B66" i="5"/>
  <c r="AI64" i="5"/>
  <c r="AH64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I62" i="5"/>
  <c r="AH62" i="5"/>
  <c r="AI61" i="5"/>
  <c r="AH61" i="5"/>
  <c r="AI60" i="5"/>
  <c r="AH60" i="5"/>
  <c r="AG59" i="5"/>
  <c r="AF59" i="5"/>
  <c r="AF5" i="5" s="1"/>
  <c r="AE59" i="5"/>
  <c r="AE5" i="5" s="1"/>
  <c r="AD59" i="5"/>
  <c r="AD5" i="5" s="1"/>
  <c r="AC59" i="5"/>
  <c r="AC5" i="5" s="1"/>
  <c r="AB59" i="5"/>
  <c r="AB5" i="5" s="1"/>
  <c r="AA59" i="5"/>
  <c r="Z59" i="5"/>
  <c r="Y59" i="5"/>
  <c r="Y5" i="5" s="1"/>
  <c r="X59" i="5"/>
  <c r="X5" i="5" s="1"/>
  <c r="W59" i="5"/>
  <c r="V59" i="5"/>
  <c r="U59" i="5"/>
  <c r="U5" i="5" s="1"/>
  <c r="T59" i="5"/>
  <c r="S59" i="5"/>
  <c r="S5" i="5" s="1"/>
  <c r="R59" i="5"/>
  <c r="R5" i="5" s="1"/>
  <c r="Q59" i="5"/>
  <c r="Q5" i="5" s="1"/>
  <c r="P59" i="5"/>
  <c r="P5" i="5" s="1"/>
  <c r="O59" i="5"/>
  <c r="O5" i="5" s="1"/>
  <c r="N59" i="5"/>
  <c r="M59" i="5"/>
  <c r="M5" i="5" s="1"/>
  <c r="L59" i="5"/>
  <c r="L5" i="5" s="1"/>
  <c r="K59" i="5"/>
  <c r="K5" i="5" s="1"/>
  <c r="J59" i="5"/>
  <c r="J5" i="5" s="1"/>
  <c r="I59" i="5"/>
  <c r="I5" i="5" s="1"/>
  <c r="H59" i="5"/>
  <c r="H5" i="5" s="1"/>
  <c r="G59" i="5"/>
  <c r="G5" i="5" s="1"/>
  <c r="F59" i="5"/>
  <c r="F5" i="5" s="1"/>
  <c r="E59" i="5"/>
  <c r="E5" i="5" s="1"/>
  <c r="D59" i="5"/>
  <c r="D5" i="5" s="1"/>
  <c r="C59" i="5"/>
  <c r="C5" i="5" s="1"/>
  <c r="B59" i="5"/>
  <c r="B5" i="5" s="1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I46" i="5"/>
  <c r="AH46" i="5"/>
  <c r="AI45" i="5"/>
  <c r="AH45" i="5"/>
  <c r="AI44" i="5"/>
  <c r="AH44" i="5"/>
  <c r="AG43" i="5"/>
  <c r="AG3" i="5" s="1"/>
  <c r="AG42" i="5"/>
  <c r="B42" i="5"/>
  <c r="B43" i="5" s="1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A5" i="5"/>
  <c r="Z5" i="5"/>
  <c r="W5" i="5"/>
  <c r="V5" i="5"/>
  <c r="T5" i="5"/>
  <c r="N5" i="5"/>
  <c r="AG4" i="5"/>
  <c r="AG6" i="5" s="1"/>
  <c r="K4" i="5"/>
  <c r="C4" i="5"/>
  <c r="D4" i="5" s="1"/>
  <c r="AG2" i="5"/>
  <c r="AF49" i="4"/>
  <c r="AE71" i="6"/>
  <c r="AD71" i="6"/>
  <c r="Y71" i="6"/>
  <c r="X71" i="6"/>
  <c r="S71" i="6"/>
  <c r="Q71" i="6"/>
  <c r="P71" i="6"/>
  <c r="N71" i="6"/>
  <c r="H71" i="6"/>
  <c r="AH47" i="6"/>
  <c r="F71" i="6"/>
  <c r="AI69" i="6"/>
  <c r="AI47" i="6"/>
  <c r="AI80" i="6"/>
  <c r="C71" i="6"/>
  <c r="AH59" i="6"/>
  <c r="AI30" i="6"/>
  <c r="AI67" i="6"/>
  <c r="B5" i="6"/>
  <c r="L71" i="6"/>
  <c r="D82" i="6"/>
  <c r="D171" i="6"/>
  <c r="E89" i="6"/>
  <c r="D71" i="6"/>
  <c r="AH30" i="6"/>
  <c r="AH68" i="6"/>
  <c r="AI59" i="6"/>
  <c r="AB71" i="6"/>
  <c r="AG65" i="6"/>
  <c r="AH67" i="6"/>
  <c r="AI68" i="6"/>
  <c r="AH69" i="6"/>
  <c r="F94" i="6"/>
  <c r="T71" i="6"/>
  <c r="B65" i="6"/>
  <c r="AH63" i="6"/>
  <c r="AI66" i="6"/>
  <c r="J71" i="6"/>
  <c r="R71" i="6"/>
  <c r="Z71" i="6"/>
  <c r="C171" i="6"/>
  <c r="B71" i="6"/>
  <c r="AH66" i="6"/>
  <c r="AH80" i="6"/>
  <c r="C179" i="6"/>
  <c r="C42" i="6" s="1"/>
  <c r="D173" i="6"/>
  <c r="D178" i="6"/>
  <c r="AE71" i="5"/>
  <c r="AB71" i="5"/>
  <c r="AA71" i="5"/>
  <c r="Z71" i="5"/>
  <c r="Y71" i="5"/>
  <c r="W71" i="5"/>
  <c r="V71" i="5"/>
  <c r="U71" i="5"/>
  <c r="T71" i="5"/>
  <c r="S71" i="5"/>
  <c r="R71" i="5"/>
  <c r="Q71" i="5"/>
  <c r="O71" i="5"/>
  <c r="N71" i="5"/>
  <c r="L71" i="5"/>
  <c r="K71" i="5"/>
  <c r="I71" i="5"/>
  <c r="G71" i="5"/>
  <c r="F71" i="5"/>
  <c r="E71" i="5"/>
  <c r="D71" i="5"/>
  <c r="AI66" i="5"/>
  <c r="AI67" i="5"/>
  <c r="AH80" i="5"/>
  <c r="AH68" i="5"/>
  <c r="AH30" i="5"/>
  <c r="AH59" i="5"/>
  <c r="AH66" i="5"/>
  <c r="B71" i="5"/>
  <c r="AI59" i="5"/>
  <c r="AI68" i="5"/>
  <c r="AI69" i="5"/>
  <c r="AH67" i="5"/>
  <c r="AI30" i="5"/>
  <c r="AH47" i="5"/>
  <c r="AI80" i="5"/>
  <c r="E94" i="5"/>
  <c r="D121" i="5"/>
  <c r="E121" i="5" s="1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C82" i="5"/>
  <c r="AI47" i="5"/>
  <c r="AG65" i="5"/>
  <c r="B65" i="5"/>
  <c r="H71" i="5"/>
  <c r="P71" i="5"/>
  <c r="X71" i="5"/>
  <c r="AF71" i="5"/>
  <c r="AH63" i="5"/>
  <c r="AH69" i="5"/>
  <c r="C171" i="5"/>
  <c r="AI63" i="5"/>
  <c r="D171" i="5"/>
  <c r="E89" i="5"/>
  <c r="C214" i="5"/>
  <c r="D178" i="5"/>
  <c r="C179" i="5"/>
  <c r="C42" i="5" s="1"/>
  <c r="C43" i="5" s="1"/>
  <c r="C65" i="5" s="1"/>
  <c r="D173" i="5"/>
  <c r="AE49" i="4"/>
  <c r="AD49" i="4"/>
  <c r="AC84" i="4"/>
  <c r="AC49" i="4"/>
  <c r="AB49" i="4"/>
  <c r="AA49" i="4"/>
  <c r="T193" i="6"/>
  <c r="B7" i="6"/>
  <c r="E171" i="6"/>
  <c r="F89" i="6"/>
  <c r="D214" i="6"/>
  <c r="E178" i="6"/>
  <c r="C43" i="6"/>
  <c r="F82" i="6"/>
  <c r="G94" i="6"/>
  <c r="E173" i="6"/>
  <c r="D179" i="6"/>
  <c r="D42" i="6" s="1"/>
  <c r="D43" i="6" s="1"/>
  <c r="D65" i="6" s="1"/>
  <c r="AI71" i="6"/>
  <c r="AH71" i="6"/>
  <c r="U193" i="5"/>
  <c r="C7" i="5"/>
  <c r="AI71" i="5"/>
  <c r="AH71" i="5"/>
  <c r="T193" i="5"/>
  <c r="B7" i="5"/>
  <c r="D214" i="5"/>
  <c r="E178" i="5"/>
  <c r="D82" i="5"/>
  <c r="E171" i="5"/>
  <c r="F89" i="5"/>
  <c r="E173" i="5"/>
  <c r="D179" i="5"/>
  <c r="D42" i="5" s="1"/>
  <c r="D43" i="5" s="1"/>
  <c r="D65" i="5" s="1"/>
  <c r="F94" i="5"/>
  <c r="E82" i="5"/>
  <c r="F171" i="6"/>
  <c r="G89" i="6"/>
  <c r="V193" i="6"/>
  <c r="D7" i="6"/>
  <c r="C65" i="6"/>
  <c r="E179" i="6"/>
  <c r="E42" i="6" s="1"/>
  <c r="E43" i="6" s="1"/>
  <c r="E65" i="6" s="1"/>
  <c r="F173" i="6"/>
  <c r="G82" i="6"/>
  <c r="H94" i="6"/>
  <c r="F178" i="6"/>
  <c r="E214" i="6"/>
  <c r="F171" i="5"/>
  <c r="G89" i="5"/>
  <c r="E214" i="5"/>
  <c r="F178" i="5"/>
  <c r="G94" i="5"/>
  <c r="F82" i="5"/>
  <c r="V193" i="5"/>
  <c r="D7" i="5"/>
  <c r="E179" i="5"/>
  <c r="E42" i="5" s="1"/>
  <c r="F173" i="5"/>
  <c r="F214" i="6"/>
  <c r="G178" i="6"/>
  <c r="F179" i="6"/>
  <c r="F42" i="6" s="1"/>
  <c r="G173" i="6"/>
  <c r="H82" i="6"/>
  <c r="I94" i="6"/>
  <c r="W193" i="6"/>
  <c r="E7" i="6"/>
  <c r="G171" i="6"/>
  <c r="H89" i="6"/>
  <c r="U193" i="6"/>
  <c r="C7" i="6"/>
  <c r="H94" i="5"/>
  <c r="G82" i="5"/>
  <c r="G178" i="5"/>
  <c r="F214" i="5"/>
  <c r="F179" i="5"/>
  <c r="F42" i="5" s="1"/>
  <c r="F43" i="5" s="1"/>
  <c r="F65" i="5" s="1"/>
  <c r="G173" i="5"/>
  <c r="G171" i="5"/>
  <c r="H89" i="5"/>
  <c r="E43" i="5"/>
  <c r="H173" i="6"/>
  <c r="G179" i="6"/>
  <c r="G42" i="6" s="1"/>
  <c r="G43" i="6" s="1"/>
  <c r="G65" i="6" s="1"/>
  <c r="F43" i="6"/>
  <c r="I82" i="6"/>
  <c r="J94" i="6"/>
  <c r="H171" i="6"/>
  <c r="I89" i="6"/>
  <c r="G214" i="6"/>
  <c r="H178" i="6"/>
  <c r="H173" i="5"/>
  <c r="G179" i="5"/>
  <c r="G42" i="5" s="1"/>
  <c r="G43" i="5" s="1"/>
  <c r="G65" i="5" s="1"/>
  <c r="G214" i="5"/>
  <c r="H178" i="5"/>
  <c r="I94" i="5"/>
  <c r="H82" i="5"/>
  <c r="X193" i="5"/>
  <c r="F7" i="5"/>
  <c r="E65" i="5"/>
  <c r="H171" i="5"/>
  <c r="I89" i="5"/>
  <c r="R84" i="4"/>
  <c r="R50" i="4"/>
  <c r="Q84" i="4"/>
  <c r="Q50" i="4"/>
  <c r="Q49" i="4"/>
  <c r="K49" i="4"/>
  <c r="J49" i="4"/>
  <c r="I49" i="4"/>
  <c r="H89" i="4"/>
  <c r="H49" i="4"/>
  <c r="G49" i="4"/>
  <c r="F49" i="4"/>
  <c r="K94" i="6"/>
  <c r="J82" i="6"/>
  <c r="F65" i="6"/>
  <c r="I178" i="6"/>
  <c r="H214" i="6"/>
  <c r="Y193" i="6"/>
  <c r="G7" i="6"/>
  <c r="I173" i="6"/>
  <c r="H179" i="6"/>
  <c r="H42" i="6" s="1"/>
  <c r="I171" i="6"/>
  <c r="J89" i="6"/>
  <c r="I171" i="5"/>
  <c r="J89" i="5"/>
  <c r="I82" i="5"/>
  <c r="J94" i="5"/>
  <c r="W193" i="5"/>
  <c r="E7" i="5"/>
  <c r="I178" i="5"/>
  <c r="H214" i="5"/>
  <c r="Y193" i="5"/>
  <c r="G7" i="5"/>
  <c r="H179" i="5"/>
  <c r="H42" i="5" s="1"/>
  <c r="I173" i="5"/>
  <c r="J178" i="6"/>
  <c r="I214" i="6"/>
  <c r="J171" i="6"/>
  <c r="K89" i="6"/>
  <c r="H43" i="6"/>
  <c r="X193" i="6"/>
  <c r="F7" i="6"/>
  <c r="J173" i="6"/>
  <c r="I179" i="6"/>
  <c r="I42" i="6" s="1"/>
  <c r="I43" i="6" s="1"/>
  <c r="I65" i="6" s="1"/>
  <c r="K82" i="6"/>
  <c r="L94" i="6"/>
  <c r="I179" i="5"/>
  <c r="I42" i="5" s="1"/>
  <c r="I43" i="5" s="1"/>
  <c r="I65" i="5" s="1"/>
  <c r="J173" i="5"/>
  <c r="H43" i="5"/>
  <c r="J82" i="5"/>
  <c r="K94" i="5"/>
  <c r="J171" i="5"/>
  <c r="K89" i="5"/>
  <c r="J178" i="5"/>
  <c r="I214" i="5"/>
  <c r="K171" i="6"/>
  <c r="L89" i="6"/>
  <c r="M94" i="6"/>
  <c r="L82" i="6"/>
  <c r="H65" i="6"/>
  <c r="AA193" i="6"/>
  <c r="I7" i="6"/>
  <c r="K173" i="6"/>
  <c r="J179" i="6"/>
  <c r="J42" i="6" s="1"/>
  <c r="K178" i="6"/>
  <c r="J214" i="6"/>
  <c r="L94" i="5"/>
  <c r="K82" i="5"/>
  <c r="H65" i="5"/>
  <c r="K178" i="5"/>
  <c r="J214" i="5"/>
  <c r="K173" i="5"/>
  <c r="J179" i="5"/>
  <c r="J42" i="5" s="1"/>
  <c r="J43" i="5" s="1"/>
  <c r="J65" i="5" s="1"/>
  <c r="K171" i="5"/>
  <c r="L89" i="5"/>
  <c r="AA193" i="5"/>
  <c r="I7" i="5"/>
  <c r="L171" i="6"/>
  <c r="M89" i="6"/>
  <c r="K214" i="6"/>
  <c r="L178" i="6"/>
  <c r="Z193" i="6"/>
  <c r="H7" i="6"/>
  <c r="J43" i="6"/>
  <c r="K179" i="6"/>
  <c r="K42" i="6" s="1"/>
  <c r="K43" i="6" s="1"/>
  <c r="K65" i="6" s="1"/>
  <c r="L173" i="6"/>
  <c r="M82" i="6"/>
  <c r="N94" i="6"/>
  <c r="K214" i="5"/>
  <c r="L178" i="5"/>
  <c r="Z193" i="5"/>
  <c r="H7" i="5"/>
  <c r="K179" i="5"/>
  <c r="K42" i="5" s="1"/>
  <c r="K43" i="5" s="1"/>
  <c r="L173" i="5"/>
  <c r="L171" i="5"/>
  <c r="M89" i="5"/>
  <c r="AB193" i="5"/>
  <c r="J7" i="5"/>
  <c r="M94" i="5"/>
  <c r="L82" i="5"/>
  <c r="AC193" i="6"/>
  <c r="K7" i="6"/>
  <c r="L214" i="6"/>
  <c r="M178" i="6"/>
  <c r="J65" i="6"/>
  <c r="N82" i="6"/>
  <c r="O94" i="6"/>
  <c r="M171" i="6"/>
  <c r="N89" i="6"/>
  <c r="M173" i="6"/>
  <c r="L179" i="6"/>
  <c r="L42" i="6" s="1"/>
  <c r="L43" i="6" s="1"/>
  <c r="L65" i="6" s="1"/>
  <c r="N94" i="5"/>
  <c r="M82" i="5"/>
  <c r="M171" i="5"/>
  <c r="N89" i="5"/>
  <c r="M173" i="5"/>
  <c r="L179" i="5"/>
  <c r="L42" i="5" s="1"/>
  <c r="L43" i="5" s="1"/>
  <c r="L65" i="5" s="1"/>
  <c r="L214" i="5"/>
  <c r="M178" i="5"/>
  <c r="K65" i="5"/>
  <c r="O82" i="6"/>
  <c r="P94" i="6"/>
  <c r="AB193" i="6"/>
  <c r="J7" i="6"/>
  <c r="N173" i="6"/>
  <c r="M179" i="6"/>
  <c r="M42" i="6" s="1"/>
  <c r="M43" i="6" s="1"/>
  <c r="AD193" i="6"/>
  <c r="L7" i="6"/>
  <c r="M214" i="6"/>
  <c r="N178" i="6"/>
  <c r="N171" i="6"/>
  <c r="O89" i="6"/>
  <c r="M214" i="5"/>
  <c r="N178" i="5"/>
  <c r="N173" i="5"/>
  <c r="M179" i="5"/>
  <c r="M42" i="5" s="1"/>
  <c r="M43" i="5" s="1"/>
  <c r="M65" i="5" s="1"/>
  <c r="B188" i="5" s="1"/>
  <c r="N171" i="5"/>
  <c r="O89" i="5"/>
  <c r="AD193" i="5"/>
  <c r="L7" i="5"/>
  <c r="AC193" i="5"/>
  <c r="K7" i="5"/>
  <c r="N82" i="5"/>
  <c r="O94" i="5"/>
  <c r="O171" i="6"/>
  <c r="P89" i="6"/>
  <c r="M65" i="6"/>
  <c r="P82" i="6"/>
  <c r="Q94" i="6"/>
  <c r="O178" i="6"/>
  <c r="N214" i="6"/>
  <c r="N179" i="6"/>
  <c r="N42" i="6" s="1"/>
  <c r="N43" i="6" s="1"/>
  <c r="N65" i="6" s="1"/>
  <c r="O173" i="6"/>
  <c r="O82" i="5"/>
  <c r="P94" i="5"/>
  <c r="O171" i="5"/>
  <c r="P89" i="5"/>
  <c r="AE193" i="5"/>
  <c r="M7" i="5"/>
  <c r="C188" i="5"/>
  <c r="K6" i="5" s="1"/>
  <c r="O173" i="5"/>
  <c r="N179" i="5"/>
  <c r="N42" i="5" s="1"/>
  <c r="N43" i="5" s="1"/>
  <c r="N65" i="5" s="1"/>
  <c r="N214" i="5"/>
  <c r="O178" i="5"/>
  <c r="O214" i="6"/>
  <c r="P178" i="6"/>
  <c r="AE193" i="6"/>
  <c r="M7" i="6"/>
  <c r="B188" i="6"/>
  <c r="C188" i="6"/>
  <c r="Q82" i="6"/>
  <c r="R94" i="6"/>
  <c r="P173" i="6"/>
  <c r="O179" i="6"/>
  <c r="O42" i="6" s="1"/>
  <c r="O43" i="6" s="1"/>
  <c r="O65" i="6" s="1"/>
  <c r="P171" i="6"/>
  <c r="Q89" i="6"/>
  <c r="AF193" i="6"/>
  <c r="N7" i="6"/>
  <c r="AF193" i="5"/>
  <c r="N7" i="5"/>
  <c r="P171" i="5"/>
  <c r="Q89" i="5"/>
  <c r="P173" i="5"/>
  <c r="O179" i="5"/>
  <c r="O42" i="5" s="1"/>
  <c r="O43" i="5" s="1"/>
  <c r="O65" i="5" s="1"/>
  <c r="P82" i="5"/>
  <c r="Q94" i="5"/>
  <c r="O214" i="5"/>
  <c r="P178" i="5"/>
  <c r="S94" i="6"/>
  <c r="R82" i="6"/>
  <c r="AG193" i="6"/>
  <c r="O7" i="6"/>
  <c r="Q178" i="6"/>
  <c r="P214" i="6"/>
  <c r="K6" i="6"/>
  <c r="Q171" i="6"/>
  <c r="R89" i="6"/>
  <c r="P179" i="6"/>
  <c r="P42" i="6" s="1"/>
  <c r="P43" i="6" s="1"/>
  <c r="P65" i="6" s="1"/>
  <c r="Q173" i="6"/>
  <c r="P214" i="5"/>
  <c r="Q178" i="5"/>
  <c r="AG193" i="5"/>
  <c r="O7" i="5"/>
  <c r="P179" i="5"/>
  <c r="P42" i="5" s="1"/>
  <c r="P43" i="5" s="1"/>
  <c r="P65" i="5" s="1"/>
  <c r="Q173" i="5"/>
  <c r="Q171" i="5"/>
  <c r="R89" i="5"/>
  <c r="R94" i="5"/>
  <c r="Q82" i="5"/>
  <c r="R178" i="6"/>
  <c r="Q214" i="6"/>
  <c r="R173" i="6"/>
  <c r="Q179" i="6"/>
  <c r="Q42" i="6" s="1"/>
  <c r="Q43" i="6" s="1"/>
  <c r="Q65" i="6" s="1"/>
  <c r="AH193" i="6"/>
  <c r="P7" i="6"/>
  <c r="R171" i="6"/>
  <c r="S89" i="6"/>
  <c r="S82" i="6"/>
  <c r="T94" i="6"/>
  <c r="R171" i="5"/>
  <c r="S89" i="5"/>
  <c r="AH193" i="5"/>
  <c r="P7" i="5"/>
  <c r="Q179" i="5"/>
  <c r="Q42" i="5" s="1"/>
  <c r="Q43" i="5" s="1"/>
  <c r="Q65" i="5" s="1"/>
  <c r="R173" i="5"/>
  <c r="R178" i="5"/>
  <c r="Q214" i="5"/>
  <c r="S94" i="5"/>
  <c r="R82" i="5"/>
  <c r="S171" i="6"/>
  <c r="T89" i="6"/>
  <c r="AI193" i="6"/>
  <c r="Q7" i="6"/>
  <c r="S173" i="6"/>
  <c r="R179" i="6"/>
  <c r="R42" i="6" s="1"/>
  <c r="R43" i="6" s="1"/>
  <c r="R65" i="6" s="1"/>
  <c r="U94" i="6"/>
  <c r="T82" i="6"/>
  <c r="S178" i="6"/>
  <c r="R214" i="6"/>
  <c r="S178" i="5"/>
  <c r="R214" i="5"/>
  <c r="R179" i="5"/>
  <c r="R42" i="5" s="1"/>
  <c r="R43" i="5" s="1"/>
  <c r="R65" i="5" s="1"/>
  <c r="S173" i="5"/>
  <c r="S171" i="5"/>
  <c r="T89" i="5"/>
  <c r="AI193" i="5"/>
  <c r="Q7" i="5"/>
  <c r="S82" i="5"/>
  <c r="T94" i="5"/>
  <c r="AJ193" i="6"/>
  <c r="R7" i="6"/>
  <c r="T171" i="6"/>
  <c r="U89" i="6"/>
  <c r="U82" i="6"/>
  <c r="V94" i="6"/>
  <c r="S179" i="6"/>
  <c r="S42" i="6" s="1"/>
  <c r="S43" i="6" s="1"/>
  <c r="S65" i="6" s="1"/>
  <c r="T173" i="6"/>
  <c r="T178" i="6"/>
  <c r="S214" i="6"/>
  <c r="T171" i="5"/>
  <c r="U89" i="5"/>
  <c r="AJ193" i="5"/>
  <c r="R7" i="5"/>
  <c r="U94" i="5"/>
  <c r="T82" i="5"/>
  <c r="S179" i="5"/>
  <c r="S42" i="5" s="1"/>
  <c r="S43" i="5" s="1"/>
  <c r="S65" i="5" s="1"/>
  <c r="T173" i="5"/>
  <c r="T178" i="5"/>
  <c r="S214" i="5"/>
  <c r="U173" i="6"/>
  <c r="T179" i="6"/>
  <c r="T42" i="6" s="1"/>
  <c r="T43" i="6" s="1"/>
  <c r="T65" i="6" s="1"/>
  <c r="U171" i="6"/>
  <c r="V89" i="6"/>
  <c r="AK193" i="6"/>
  <c r="S7" i="6"/>
  <c r="V82" i="6"/>
  <c r="W94" i="6"/>
  <c r="T214" i="6"/>
  <c r="U178" i="6"/>
  <c r="U173" i="5"/>
  <c r="T179" i="5"/>
  <c r="T42" i="5" s="1"/>
  <c r="T43" i="5" s="1"/>
  <c r="T65" i="5" s="1"/>
  <c r="U171" i="5"/>
  <c r="V89" i="5"/>
  <c r="AK193" i="5"/>
  <c r="S7" i="5"/>
  <c r="V94" i="5"/>
  <c r="U82" i="5"/>
  <c r="T214" i="5"/>
  <c r="U178" i="5"/>
  <c r="W82" i="6"/>
  <c r="X94" i="6"/>
  <c r="V171" i="6"/>
  <c r="W89" i="6"/>
  <c r="AL193" i="6"/>
  <c r="T7" i="6"/>
  <c r="U214" i="6"/>
  <c r="V178" i="6"/>
  <c r="V173" i="6"/>
  <c r="U179" i="6"/>
  <c r="U42" i="6" s="1"/>
  <c r="U43" i="6" s="1"/>
  <c r="U65" i="6" s="1"/>
  <c r="V82" i="5"/>
  <c r="W94" i="5"/>
  <c r="AL193" i="5"/>
  <c r="T7" i="5"/>
  <c r="V171" i="5"/>
  <c r="W89" i="5"/>
  <c r="U214" i="5"/>
  <c r="V178" i="5"/>
  <c r="V173" i="5"/>
  <c r="U179" i="5"/>
  <c r="U42" i="5" s="1"/>
  <c r="U43" i="5" s="1"/>
  <c r="U65" i="5" s="1"/>
  <c r="V214" i="6"/>
  <c r="W178" i="6"/>
  <c r="W171" i="6"/>
  <c r="X89" i="6"/>
  <c r="AM193" i="6"/>
  <c r="U7" i="6"/>
  <c r="X82" i="6"/>
  <c r="Y94" i="6"/>
  <c r="W173" i="6"/>
  <c r="V179" i="6"/>
  <c r="V42" i="6" s="1"/>
  <c r="V43" i="6" s="1"/>
  <c r="V65" i="6" s="1"/>
  <c r="V214" i="5"/>
  <c r="W178" i="5"/>
  <c r="W171" i="5"/>
  <c r="X89" i="5"/>
  <c r="AM193" i="5"/>
  <c r="U7" i="5"/>
  <c r="W82" i="5"/>
  <c r="X94" i="5"/>
  <c r="W173" i="5"/>
  <c r="V179" i="5"/>
  <c r="V42" i="5" s="1"/>
  <c r="V43" i="5" s="1"/>
  <c r="V65" i="5" s="1"/>
  <c r="W214" i="6"/>
  <c r="X178" i="6"/>
  <c r="Y82" i="6"/>
  <c r="Z94" i="6"/>
  <c r="X171" i="6"/>
  <c r="Y89" i="6"/>
  <c r="AN193" i="6"/>
  <c r="V7" i="6"/>
  <c r="X173" i="6"/>
  <c r="W179" i="6"/>
  <c r="W42" i="6" s="1"/>
  <c r="W43" i="6" s="1"/>
  <c r="W65" i="6" s="1"/>
  <c r="AN193" i="5"/>
  <c r="V7" i="5"/>
  <c r="X82" i="5"/>
  <c r="Y94" i="5"/>
  <c r="X171" i="5"/>
  <c r="Y89" i="5"/>
  <c r="W214" i="5"/>
  <c r="X178" i="5"/>
  <c r="X173" i="5"/>
  <c r="W179" i="5"/>
  <c r="W42" i="5" s="1"/>
  <c r="W43" i="5" s="1"/>
  <c r="W65" i="5" s="1"/>
  <c r="Y171" i="6"/>
  <c r="Z89" i="6"/>
  <c r="AA94" i="6"/>
  <c r="Z82" i="6"/>
  <c r="AO193" i="6"/>
  <c r="W7" i="6"/>
  <c r="X214" i="6"/>
  <c r="Y178" i="6"/>
  <c r="X179" i="6"/>
  <c r="X42" i="6" s="1"/>
  <c r="X43" i="6" s="1"/>
  <c r="X65" i="6" s="1"/>
  <c r="Y173" i="6"/>
  <c r="X214" i="5"/>
  <c r="Y178" i="5"/>
  <c r="Y171" i="5"/>
  <c r="Z89" i="5"/>
  <c r="Z94" i="5"/>
  <c r="Y82" i="5"/>
  <c r="AO193" i="5"/>
  <c r="W7" i="5"/>
  <c r="X179" i="5"/>
  <c r="X42" i="5" s="1"/>
  <c r="X43" i="5" s="1"/>
  <c r="X65" i="5" s="1"/>
  <c r="Y173" i="5"/>
  <c r="AA82" i="6"/>
  <c r="AB94" i="6"/>
  <c r="Y179" i="6"/>
  <c r="Y42" i="6" s="1"/>
  <c r="Y43" i="6" s="1"/>
  <c r="Y65" i="6" s="1"/>
  <c r="Z173" i="6"/>
  <c r="Z171" i="6"/>
  <c r="AA89" i="6"/>
  <c r="Z178" i="6"/>
  <c r="Y214" i="6"/>
  <c r="AP193" i="6"/>
  <c r="X7" i="6"/>
  <c r="AA94" i="5"/>
  <c r="Z82" i="5"/>
  <c r="Z171" i="5"/>
  <c r="AA89" i="5"/>
  <c r="Y179" i="5"/>
  <c r="Y42" i="5" s="1"/>
  <c r="Y43" i="5" s="1"/>
  <c r="Y65" i="5" s="1"/>
  <c r="Z173" i="5"/>
  <c r="Z178" i="5"/>
  <c r="Y214" i="5"/>
  <c r="AP193" i="5"/>
  <c r="X7" i="5"/>
  <c r="Z214" i="6"/>
  <c r="AA178" i="6"/>
  <c r="AA171" i="6"/>
  <c r="AB89" i="6"/>
  <c r="AQ193" i="6"/>
  <c r="Y7" i="6"/>
  <c r="AC94" i="6"/>
  <c r="AB82" i="6"/>
  <c r="Z179" i="6"/>
  <c r="Z43" i="6" s="1"/>
  <c r="Z65" i="6" s="1"/>
  <c r="AA173" i="6"/>
  <c r="Z214" i="5"/>
  <c r="AA178" i="5"/>
  <c r="Z179" i="5"/>
  <c r="Z43" i="5" s="1"/>
  <c r="Z65" i="5" s="1"/>
  <c r="AA173" i="5"/>
  <c r="AQ193" i="5"/>
  <c r="Y7" i="5"/>
  <c r="AA171" i="5"/>
  <c r="AB89" i="5"/>
  <c r="AB94" i="5"/>
  <c r="AA82" i="5"/>
  <c r="AC82" i="6"/>
  <c r="AD94" i="6"/>
  <c r="AB171" i="6"/>
  <c r="AC89" i="6"/>
  <c r="AA179" i="6"/>
  <c r="AA42" i="6" s="1"/>
  <c r="AA43" i="6" s="1"/>
  <c r="AA65" i="6" s="1"/>
  <c r="AB173" i="6"/>
  <c r="AB178" i="6"/>
  <c r="AA214" i="6"/>
  <c r="AR193" i="6"/>
  <c r="Z7" i="6"/>
  <c r="AB171" i="5"/>
  <c r="AC89" i="5"/>
  <c r="AA179" i="5"/>
  <c r="AA42" i="5" s="1"/>
  <c r="AA43" i="5" s="1"/>
  <c r="AA65" i="5" s="1"/>
  <c r="AB173" i="5"/>
  <c r="AR193" i="5"/>
  <c r="Z7" i="5"/>
  <c r="AB178" i="5"/>
  <c r="AA214" i="5"/>
  <c r="AC94" i="5"/>
  <c r="AB82" i="5"/>
  <c r="AC178" i="6"/>
  <c r="AB214" i="6"/>
  <c r="AS193" i="6"/>
  <c r="AA7" i="6"/>
  <c r="AC171" i="6"/>
  <c r="AD89" i="6"/>
  <c r="AD82" i="6"/>
  <c r="AE94" i="6"/>
  <c r="AB179" i="6"/>
  <c r="AB42" i="6" s="1"/>
  <c r="AB43" i="6" s="1"/>
  <c r="AB65" i="6" s="1"/>
  <c r="AC173" i="6"/>
  <c r="AC178" i="5"/>
  <c r="AB214" i="5"/>
  <c r="AB179" i="5"/>
  <c r="AB42" i="5" s="1"/>
  <c r="AB43" i="5" s="1"/>
  <c r="AB65" i="5" s="1"/>
  <c r="AC173" i="5"/>
  <c r="AS193" i="5"/>
  <c r="AA7" i="5"/>
  <c r="AC171" i="5"/>
  <c r="AD89" i="5"/>
  <c r="AD94" i="5"/>
  <c r="AC82" i="5"/>
  <c r="AE82" i="6"/>
  <c r="AF94" i="6"/>
  <c r="AF82" i="6" s="1"/>
  <c r="AD171" i="6"/>
  <c r="AE89" i="6"/>
  <c r="AC179" i="6"/>
  <c r="AC42" i="6" s="1"/>
  <c r="AC43" i="6" s="1"/>
  <c r="AC65" i="6" s="1"/>
  <c r="AD173" i="6"/>
  <c r="AT193" i="6"/>
  <c r="AB7" i="6"/>
  <c r="AC214" i="6"/>
  <c r="AD178" i="6"/>
  <c r="AC179" i="5"/>
  <c r="AC42" i="5" s="1"/>
  <c r="AC43" i="5" s="1"/>
  <c r="AC65" i="5" s="1"/>
  <c r="AD173" i="5"/>
  <c r="AT193" i="5"/>
  <c r="AB7" i="5"/>
  <c r="AD171" i="5"/>
  <c r="AE89" i="5"/>
  <c r="AE94" i="5"/>
  <c r="AD82" i="5"/>
  <c r="AC214" i="5"/>
  <c r="AD178" i="5"/>
  <c r="AE173" i="6"/>
  <c r="AD179" i="6"/>
  <c r="AD42" i="6" s="1"/>
  <c r="AD43" i="6" s="1"/>
  <c r="AD65" i="6" s="1"/>
  <c r="AE171" i="6"/>
  <c r="AF89" i="6"/>
  <c r="AF171" i="6" s="1"/>
  <c r="AU193" i="6"/>
  <c r="AC7" i="6"/>
  <c r="AI82" i="6"/>
  <c r="AH82" i="6"/>
  <c r="AD214" i="6"/>
  <c r="AE178" i="6"/>
  <c r="AD214" i="5"/>
  <c r="AE178" i="5"/>
  <c r="AD179" i="5"/>
  <c r="AD42" i="5" s="1"/>
  <c r="AD43" i="5" s="1"/>
  <c r="AD65" i="5" s="1"/>
  <c r="AE173" i="5"/>
  <c r="AE82" i="5"/>
  <c r="AF94" i="5"/>
  <c r="AF82" i="5" s="1"/>
  <c r="AE171" i="5"/>
  <c r="AF89" i="5"/>
  <c r="AF171" i="5" s="1"/>
  <c r="AU193" i="5"/>
  <c r="AC7" i="5"/>
  <c r="AV193" i="6"/>
  <c r="AD7" i="6"/>
  <c r="AE214" i="6"/>
  <c r="AF178" i="6"/>
  <c r="AF214" i="6" s="1"/>
  <c r="AF173" i="6"/>
  <c r="AF179" i="6" s="1"/>
  <c r="AF42" i="6" s="1"/>
  <c r="AE179" i="6"/>
  <c r="AE42" i="6" s="1"/>
  <c r="AE43" i="6" s="1"/>
  <c r="AE65" i="6" s="1"/>
  <c r="AF173" i="5"/>
  <c r="AE179" i="5"/>
  <c r="AE42" i="5" s="1"/>
  <c r="AE43" i="5" s="1"/>
  <c r="AE65" i="5" s="1"/>
  <c r="AI82" i="5"/>
  <c r="AH82" i="5"/>
  <c r="AV193" i="5"/>
  <c r="AD7" i="5"/>
  <c r="AE214" i="5"/>
  <c r="AF178" i="5"/>
  <c r="AF214" i="5" s="1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D214" i="4"/>
  <c r="B214" i="4"/>
  <c r="S189" i="4"/>
  <c r="AG179" i="4"/>
  <c r="B179" i="4"/>
  <c r="C178" i="4"/>
  <c r="D178" i="4" s="1"/>
  <c r="E178" i="4" s="1"/>
  <c r="E214" i="4" s="1"/>
  <c r="E177" i="4"/>
  <c r="F177" i="4" s="1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D177" i="4"/>
  <c r="C177" i="4"/>
  <c r="F176" i="4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C176" i="4"/>
  <c r="D176" i="4" s="1"/>
  <c r="E176" i="4" s="1"/>
  <c r="H175" i="4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D175" i="4"/>
  <c r="E175" i="4" s="1"/>
  <c r="F175" i="4" s="1"/>
  <c r="G175" i="4" s="1"/>
  <c r="C175" i="4"/>
  <c r="C174" i="4"/>
  <c r="E173" i="4"/>
  <c r="D173" i="4"/>
  <c r="C173" i="4"/>
  <c r="AG171" i="4"/>
  <c r="B171" i="4"/>
  <c r="N170" i="4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J170" i="4"/>
  <c r="K170" i="4" s="1"/>
  <c r="L170" i="4" s="1"/>
  <c r="M170" i="4" s="1"/>
  <c r="F170" i="4"/>
  <c r="G170" i="4" s="1"/>
  <c r="H170" i="4" s="1"/>
  <c r="I170" i="4" s="1"/>
  <c r="C170" i="4"/>
  <c r="D170" i="4" s="1"/>
  <c r="E170" i="4" s="1"/>
  <c r="D169" i="4"/>
  <c r="E169" i="4" s="1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C169" i="4"/>
  <c r="G168" i="4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C168" i="4"/>
  <c r="D168" i="4" s="1"/>
  <c r="E168" i="4" s="1"/>
  <c r="F168" i="4" s="1"/>
  <c r="E167" i="4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D167" i="4"/>
  <c r="C167" i="4"/>
  <c r="C166" i="4"/>
  <c r="D166" i="4" s="1"/>
  <c r="E166" i="4" s="1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H165" i="4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D165" i="4"/>
  <c r="E165" i="4" s="1"/>
  <c r="F165" i="4" s="1"/>
  <c r="G165" i="4" s="1"/>
  <c r="C165" i="4"/>
  <c r="C164" i="4"/>
  <c r="D164" i="4" s="1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H163" i="4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E163" i="4"/>
  <c r="F163" i="4" s="1"/>
  <c r="G163" i="4" s="1"/>
  <c r="D163" i="4"/>
  <c r="C163" i="4"/>
  <c r="G162" i="4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F162" i="4"/>
  <c r="C162" i="4"/>
  <c r="D162" i="4" s="1"/>
  <c r="E162" i="4" s="1"/>
  <c r="F161" i="4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E161" i="4"/>
  <c r="D161" i="4"/>
  <c r="C161" i="4"/>
  <c r="L160" i="4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C160" i="4"/>
  <c r="D160" i="4" s="1"/>
  <c r="E160" i="4" s="1"/>
  <c r="F160" i="4" s="1"/>
  <c r="G160" i="4" s="1"/>
  <c r="H160" i="4" s="1"/>
  <c r="I160" i="4" s="1"/>
  <c r="J160" i="4" s="1"/>
  <c r="K160" i="4" s="1"/>
  <c r="U159" i="4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I159" i="4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H159" i="4"/>
  <c r="D159" i="4"/>
  <c r="E159" i="4" s="1"/>
  <c r="F159" i="4" s="1"/>
  <c r="G159" i="4" s="1"/>
  <c r="C159" i="4"/>
  <c r="D158" i="4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C158" i="4"/>
  <c r="H157" i="4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D157" i="4"/>
  <c r="E157" i="4" s="1"/>
  <c r="F157" i="4" s="1"/>
  <c r="G157" i="4" s="1"/>
  <c r="C157" i="4"/>
  <c r="J156" i="4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C156" i="4"/>
  <c r="D156" i="4" s="1"/>
  <c r="E156" i="4" s="1"/>
  <c r="F156" i="4" s="1"/>
  <c r="G156" i="4" s="1"/>
  <c r="H156" i="4" s="1"/>
  <c r="I156" i="4" s="1"/>
  <c r="E155" i="4"/>
  <c r="F155" i="4" s="1"/>
  <c r="G155" i="4" s="1"/>
  <c r="H155" i="4" s="1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D155" i="4"/>
  <c r="C155" i="4"/>
  <c r="G154" i="4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C154" i="4"/>
  <c r="D154" i="4" s="1"/>
  <c r="E154" i="4" s="1"/>
  <c r="F154" i="4" s="1"/>
  <c r="D153" i="4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C153" i="4"/>
  <c r="G152" i="4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D152" i="4"/>
  <c r="E152" i="4" s="1"/>
  <c r="F152" i="4" s="1"/>
  <c r="C152" i="4"/>
  <c r="E151" i="4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D151" i="4"/>
  <c r="C151" i="4"/>
  <c r="F150" i="4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C150" i="4"/>
  <c r="D150" i="4" s="1"/>
  <c r="E150" i="4" s="1"/>
  <c r="E149" i="4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D149" i="4"/>
  <c r="C149" i="4"/>
  <c r="T148" i="4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D148" i="4"/>
  <c r="E148" i="4" s="1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C148" i="4"/>
  <c r="W147" i="4"/>
  <c r="X147" i="4" s="1"/>
  <c r="Y147" i="4" s="1"/>
  <c r="Z147" i="4" s="1"/>
  <c r="AA147" i="4" s="1"/>
  <c r="AB147" i="4" s="1"/>
  <c r="AC147" i="4" s="1"/>
  <c r="AD147" i="4" s="1"/>
  <c r="AE147" i="4" s="1"/>
  <c r="AF147" i="4" s="1"/>
  <c r="G147" i="4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F147" i="4"/>
  <c r="E147" i="4"/>
  <c r="D147" i="4"/>
  <c r="C147" i="4"/>
  <c r="D146" i="4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C146" i="4"/>
  <c r="C145" i="4"/>
  <c r="D145" i="4" s="1"/>
  <c r="E145" i="4" s="1"/>
  <c r="F145" i="4" s="1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T144" i="4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F144" i="4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E144" i="4"/>
  <c r="D144" i="4"/>
  <c r="C144" i="4"/>
  <c r="N143" i="4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C143" i="4"/>
  <c r="D143" i="4" s="1"/>
  <c r="E143" i="4" s="1"/>
  <c r="F143" i="4" s="1"/>
  <c r="G143" i="4" s="1"/>
  <c r="H143" i="4" s="1"/>
  <c r="I143" i="4" s="1"/>
  <c r="J143" i="4" s="1"/>
  <c r="K143" i="4" s="1"/>
  <c r="L143" i="4" s="1"/>
  <c r="M143" i="4" s="1"/>
  <c r="U142" i="4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D142" i="4"/>
  <c r="E142" i="4" s="1"/>
  <c r="F142" i="4" s="1"/>
  <c r="G142" i="4" s="1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C142" i="4"/>
  <c r="N141" i="4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F141" i="4"/>
  <c r="G141" i="4" s="1"/>
  <c r="H141" i="4" s="1"/>
  <c r="I141" i="4" s="1"/>
  <c r="J141" i="4" s="1"/>
  <c r="K141" i="4" s="1"/>
  <c r="L141" i="4" s="1"/>
  <c r="M141" i="4" s="1"/>
  <c r="C141" i="4"/>
  <c r="D141" i="4" s="1"/>
  <c r="E141" i="4" s="1"/>
  <c r="F140" i="4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D140" i="4"/>
  <c r="E140" i="4" s="1"/>
  <c r="C140" i="4"/>
  <c r="T139" i="4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F139" i="4"/>
  <c r="G139" i="4" s="1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C139" i="4"/>
  <c r="D139" i="4" s="1"/>
  <c r="E139" i="4" s="1"/>
  <c r="D138" i="4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C138" i="4"/>
  <c r="C137" i="4"/>
  <c r="D137" i="4" s="1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H136" i="4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E136" i="4"/>
  <c r="F136" i="4" s="1"/>
  <c r="G136" i="4" s="1"/>
  <c r="D136" i="4"/>
  <c r="C136" i="4"/>
  <c r="G135" i="4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F135" i="4"/>
  <c r="C135" i="4"/>
  <c r="D135" i="4" s="1"/>
  <c r="E135" i="4" s="1"/>
  <c r="E134" i="4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D134" i="4"/>
  <c r="C134" i="4"/>
  <c r="S133" i="4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G133" i="4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D133" i="4"/>
  <c r="E133" i="4" s="1"/>
  <c r="F133" i="4" s="1"/>
  <c r="C133" i="4"/>
  <c r="C132" i="4"/>
  <c r="D132" i="4" s="1"/>
  <c r="E132" i="4" s="1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C131" i="4"/>
  <c r="D131" i="4" s="1"/>
  <c r="E131" i="4" s="1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D130" i="4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C130" i="4"/>
  <c r="F129" i="4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C129" i="4"/>
  <c r="D129" i="4" s="1"/>
  <c r="E129" i="4" s="1"/>
  <c r="X128" i="4"/>
  <c r="Y128" i="4" s="1"/>
  <c r="Z128" i="4" s="1"/>
  <c r="AA128" i="4" s="1"/>
  <c r="AB128" i="4" s="1"/>
  <c r="AC128" i="4" s="1"/>
  <c r="AD128" i="4" s="1"/>
  <c r="AE128" i="4" s="1"/>
  <c r="AF128" i="4" s="1"/>
  <c r="H128" i="4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C128" i="4"/>
  <c r="D128" i="4" s="1"/>
  <c r="E128" i="4" s="1"/>
  <c r="F128" i="4" s="1"/>
  <c r="G128" i="4" s="1"/>
  <c r="I127" i="4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C127" i="4"/>
  <c r="D127" i="4" s="1"/>
  <c r="E127" i="4" s="1"/>
  <c r="F127" i="4" s="1"/>
  <c r="G127" i="4" s="1"/>
  <c r="H127" i="4" s="1"/>
  <c r="E126" i="4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D126" i="4"/>
  <c r="C126" i="4"/>
  <c r="J125" i="4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E125" i="4"/>
  <c r="F125" i="4" s="1"/>
  <c r="G125" i="4" s="1"/>
  <c r="H125" i="4" s="1"/>
  <c r="I125" i="4" s="1"/>
  <c r="C125" i="4"/>
  <c r="D125" i="4" s="1"/>
  <c r="C124" i="4"/>
  <c r="D124" i="4" s="1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J123" i="4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C123" i="4"/>
  <c r="D123" i="4" s="1"/>
  <c r="E123" i="4" s="1"/>
  <c r="F123" i="4" s="1"/>
  <c r="G123" i="4" s="1"/>
  <c r="H123" i="4" s="1"/>
  <c r="I123" i="4" s="1"/>
  <c r="G122" i="4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F122" i="4"/>
  <c r="E122" i="4"/>
  <c r="D122" i="4"/>
  <c r="C122" i="4"/>
  <c r="T121" i="4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C121" i="4"/>
  <c r="D121" i="4" s="1"/>
  <c r="E121" i="4" s="1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Q120" i="4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D120" i="4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C120" i="4"/>
  <c r="J119" i="4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G119" i="4"/>
  <c r="H119" i="4" s="1"/>
  <c r="I119" i="4" s="1"/>
  <c r="C119" i="4"/>
  <c r="D119" i="4" s="1"/>
  <c r="E119" i="4" s="1"/>
  <c r="F119" i="4" s="1"/>
  <c r="F118" i="4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D118" i="4"/>
  <c r="E118" i="4" s="1"/>
  <c r="C118" i="4"/>
  <c r="G117" i="4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D117" i="4"/>
  <c r="E117" i="4" s="1"/>
  <c r="F117" i="4" s="1"/>
  <c r="C117" i="4"/>
  <c r="E116" i="4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D116" i="4"/>
  <c r="C116" i="4"/>
  <c r="F115" i="4"/>
  <c r="G115" i="4" s="1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C115" i="4"/>
  <c r="D115" i="4" s="1"/>
  <c r="E115" i="4" s="1"/>
  <c r="N114" i="4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F114" i="4"/>
  <c r="G114" i="4" s="1"/>
  <c r="H114" i="4" s="1"/>
  <c r="I114" i="4" s="1"/>
  <c r="J114" i="4" s="1"/>
  <c r="K114" i="4" s="1"/>
  <c r="L114" i="4" s="1"/>
  <c r="M114" i="4" s="1"/>
  <c r="D114" i="4"/>
  <c r="E114" i="4" s="1"/>
  <c r="C114" i="4"/>
  <c r="C113" i="4"/>
  <c r="D113" i="4" s="1"/>
  <c r="E113" i="4" s="1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H112" i="4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D112" i="4"/>
  <c r="E112" i="4" s="1"/>
  <c r="F112" i="4" s="1"/>
  <c r="G112" i="4" s="1"/>
  <c r="C112" i="4"/>
  <c r="R111" i="4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G111" i="4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F111" i="4"/>
  <c r="C111" i="4"/>
  <c r="D111" i="4" s="1"/>
  <c r="E111" i="4" s="1"/>
  <c r="I110" i="4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E110" i="4"/>
  <c r="F110" i="4" s="1"/>
  <c r="G110" i="4" s="1"/>
  <c r="H110" i="4" s="1"/>
  <c r="D110" i="4"/>
  <c r="C110" i="4"/>
  <c r="G109" i="4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D109" i="4"/>
  <c r="E109" i="4" s="1"/>
  <c r="F109" i="4" s="1"/>
  <c r="C109" i="4"/>
  <c r="P108" i="4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L108" i="4"/>
  <c r="M108" i="4" s="1"/>
  <c r="N108" i="4" s="1"/>
  <c r="O108" i="4" s="1"/>
  <c r="I108" i="4"/>
  <c r="J108" i="4" s="1"/>
  <c r="K108" i="4" s="1"/>
  <c r="H108" i="4"/>
  <c r="E108" i="4"/>
  <c r="F108" i="4" s="1"/>
  <c r="G108" i="4" s="1"/>
  <c r="D108" i="4"/>
  <c r="C108" i="4"/>
  <c r="H107" i="4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F107" i="4"/>
  <c r="G107" i="4" s="1"/>
  <c r="C107" i="4"/>
  <c r="D107" i="4" s="1"/>
  <c r="E107" i="4" s="1"/>
  <c r="F106" i="4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E106" i="4"/>
  <c r="D106" i="4"/>
  <c r="C106" i="4"/>
  <c r="K105" i="4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C105" i="4"/>
  <c r="D105" i="4" s="1"/>
  <c r="E105" i="4" s="1"/>
  <c r="F105" i="4" s="1"/>
  <c r="G105" i="4" s="1"/>
  <c r="H105" i="4" s="1"/>
  <c r="I105" i="4" s="1"/>
  <c r="J105" i="4" s="1"/>
  <c r="P104" i="4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H104" i="4"/>
  <c r="I104" i="4" s="1"/>
  <c r="J104" i="4" s="1"/>
  <c r="K104" i="4" s="1"/>
  <c r="L104" i="4" s="1"/>
  <c r="M104" i="4" s="1"/>
  <c r="N104" i="4" s="1"/>
  <c r="O104" i="4" s="1"/>
  <c r="D104" i="4"/>
  <c r="E104" i="4" s="1"/>
  <c r="F104" i="4" s="1"/>
  <c r="G104" i="4" s="1"/>
  <c r="C104" i="4"/>
  <c r="H103" i="4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C103" i="4"/>
  <c r="D103" i="4" s="1"/>
  <c r="E103" i="4" s="1"/>
  <c r="F103" i="4" s="1"/>
  <c r="G103" i="4" s="1"/>
  <c r="H102" i="4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E102" i="4"/>
  <c r="F102" i="4" s="1"/>
  <c r="G102" i="4" s="1"/>
  <c r="D102" i="4"/>
  <c r="C102" i="4"/>
  <c r="K101" i="4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C101" i="4"/>
  <c r="D101" i="4" s="1"/>
  <c r="E101" i="4" s="1"/>
  <c r="F101" i="4" s="1"/>
  <c r="G101" i="4" s="1"/>
  <c r="H101" i="4" s="1"/>
  <c r="I101" i="4" s="1"/>
  <c r="J101" i="4" s="1"/>
  <c r="M100" i="4"/>
  <c r="N100" i="4" s="1"/>
  <c r="O100" i="4" s="1"/>
  <c r="P100" i="4" s="1"/>
  <c r="Q100" i="4" s="1"/>
  <c r="R100" i="4" s="1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L100" i="4"/>
  <c r="J100" i="4"/>
  <c r="K100" i="4" s="1"/>
  <c r="E100" i="4"/>
  <c r="F100" i="4" s="1"/>
  <c r="G100" i="4" s="1"/>
  <c r="H100" i="4" s="1"/>
  <c r="I100" i="4" s="1"/>
  <c r="D100" i="4"/>
  <c r="C100" i="4"/>
  <c r="R99" i="4"/>
  <c r="S99" i="4" s="1"/>
  <c r="T99" i="4" s="1"/>
  <c r="U99" i="4" s="1"/>
  <c r="V99" i="4" s="1"/>
  <c r="W99" i="4" s="1"/>
  <c r="X99" i="4" s="1"/>
  <c r="Y99" i="4" s="1"/>
  <c r="Z99" i="4" s="1"/>
  <c r="AA99" i="4" s="1"/>
  <c r="AB99" i="4" s="1"/>
  <c r="AC99" i="4" s="1"/>
  <c r="AD99" i="4" s="1"/>
  <c r="AE99" i="4" s="1"/>
  <c r="AF99" i="4" s="1"/>
  <c r="K99" i="4"/>
  <c r="L99" i="4" s="1"/>
  <c r="M99" i="4" s="1"/>
  <c r="N99" i="4" s="1"/>
  <c r="O99" i="4" s="1"/>
  <c r="P99" i="4" s="1"/>
  <c r="Q99" i="4" s="1"/>
  <c r="J99" i="4"/>
  <c r="F99" i="4"/>
  <c r="G99" i="4" s="1"/>
  <c r="H99" i="4" s="1"/>
  <c r="E99" i="4"/>
  <c r="D99" i="4"/>
  <c r="C99" i="4"/>
  <c r="M98" i="4"/>
  <c r="N98" i="4" s="1"/>
  <c r="O98" i="4" s="1"/>
  <c r="P98" i="4" s="1"/>
  <c r="Q98" i="4" s="1"/>
  <c r="R98" i="4" s="1"/>
  <c r="S98" i="4" s="1"/>
  <c r="T98" i="4" s="1"/>
  <c r="U98" i="4" s="1"/>
  <c r="V98" i="4" s="1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C98" i="4"/>
  <c r="D98" i="4" s="1"/>
  <c r="E98" i="4" s="1"/>
  <c r="F98" i="4" s="1"/>
  <c r="G98" i="4" s="1"/>
  <c r="H98" i="4" s="1"/>
  <c r="I98" i="4" s="1"/>
  <c r="J98" i="4" s="1"/>
  <c r="K98" i="4" s="1"/>
  <c r="L98" i="4" s="1"/>
  <c r="F97" i="4"/>
  <c r="G97" i="4" s="1"/>
  <c r="H97" i="4" s="1"/>
  <c r="I97" i="4" s="1"/>
  <c r="J97" i="4" s="1"/>
  <c r="K97" i="4" s="1"/>
  <c r="L97" i="4" s="1"/>
  <c r="M97" i="4" s="1"/>
  <c r="N97" i="4" s="1"/>
  <c r="O97" i="4" s="1"/>
  <c r="P97" i="4" s="1"/>
  <c r="Q97" i="4" s="1"/>
  <c r="R97" i="4" s="1"/>
  <c r="S97" i="4" s="1"/>
  <c r="T97" i="4" s="1"/>
  <c r="U97" i="4" s="1"/>
  <c r="V97" i="4" s="1"/>
  <c r="W97" i="4" s="1"/>
  <c r="X97" i="4" s="1"/>
  <c r="Y97" i="4" s="1"/>
  <c r="Z97" i="4" s="1"/>
  <c r="AA97" i="4" s="1"/>
  <c r="AB97" i="4" s="1"/>
  <c r="AC97" i="4" s="1"/>
  <c r="AD97" i="4" s="1"/>
  <c r="AE97" i="4" s="1"/>
  <c r="AF97" i="4" s="1"/>
  <c r="E97" i="4"/>
  <c r="C97" i="4"/>
  <c r="D97" i="4" s="1"/>
  <c r="D96" i="4"/>
  <c r="E96" i="4" s="1"/>
  <c r="F96" i="4" s="1"/>
  <c r="G96" i="4" s="1"/>
  <c r="H96" i="4" s="1"/>
  <c r="I96" i="4" s="1"/>
  <c r="J96" i="4" s="1"/>
  <c r="K96" i="4" s="1"/>
  <c r="L96" i="4" s="1"/>
  <c r="M96" i="4" s="1"/>
  <c r="N96" i="4" s="1"/>
  <c r="O96" i="4" s="1"/>
  <c r="P96" i="4" s="1"/>
  <c r="Q96" i="4" s="1"/>
  <c r="R96" i="4" s="1"/>
  <c r="S96" i="4" s="1"/>
  <c r="T96" i="4" s="1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C96" i="4"/>
  <c r="E95" i="4"/>
  <c r="F95" i="4" s="1"/>
  <c r="G95" i="4" s="1"/>
  <c r="H95" i="4" s="1"/>
  <c r="I95" i="4" s="1"/>
  <c r="J95" i="4" s="1"/>
  <c r="K95" i="4" s="1"/>
  <c r="L95" i="4" s="1"/>
  <c r="M95" i="4" s="1"/>
  <c r="N95" i="4" s="1"/>
  <c r="O95" i="4" s="1"/>
  <c r="P95" i="4" s="1"/>
  <c r="Q95" i="4" s="1"/>
  <c r="R95" i="4" s="1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D95" i="4"/>
  <c r="C95" i="4"/>
  <c r="C94" i="4"/>
  <c r="D94" i="4" s="1"/>
  <c r="I93" i="4"/>
  <c r="J93" i="4" s="1"/>
  <c r="K93" i="4" s="1"/>
  <c r="L93" i="4" s="1"/>
  <c r="M93" i="4" s="1"/>
  <c r="N93" i="4" s="1"/>
  <c r="O93" i="4" s="1"/>
  <c r="P93" i="4" s="1"/>
  <c r="Q93" i="4" s="1"/>
  <c r="R93" i="4" s="1"/>
  <c r="S93" i="4" s="1"/>
  <c r="T93" i="4" s="1"/>
  <c r="U93" i="4" s="1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C93" i="4"/>
  <c r="D93" i="4" s="1"/>
  <c r="E93" i="4" s="1"/>
  <c r="F93" i="4" s="1"/>
  <c r="G93" i="4" s="1"/>
  <c r="H93" i="4" s="1"/>
  <c r="F92" i="4"/>
  <c r="G92" i="4" s="1"/>
  <c r="H92" i="4" s="1"/>
  <c r="I92" i="4" s="1"/>
  <c r="J92" i="4" s="1"/>
  <c r="K92" i="4" s="1"/>
  <c r="L92" i="4" s="1"/>
  <c r="M92" i="4" s="1"/>
  <c r="N92" i="4" s="1"/>
  <c r="O92" i="4" s="1"/>
  <c r="P92" i="4" s="1"/>
  <c r="Q92" i="4" s="1"/>
  <c r="R92" i="4" s="1"/>
  <c r="S92" i="4" s="1"/>
  <c r="T92" i="4" s="1"/>
  <c r="U92" i="4" s="1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D92" i="4"/>
  <c r="E92" i="4" s="1"/>
  <c r="C92" i="4"/>
  <c r="F91" i="4"/>
  <c r="G91" i="4" s="1"/>
  <c r="H91" i="4" s="1"/>
  <c r="I91" i="4" s="1"/>
  <c r="J91" i="4" s="1"/>
  <c r="K91" i="4" s="1"/>
  <c r="L91" i="4" s="1"/>
  <c r="M91" i="4" s="1"/>
  <c r="N91" i="4" s="1"/>
  <c r="O91" i="4" s="1"/>
  <c r="P91" i="4" s="1"/>
  <c r="Q91" i="4" s="1"/>
  <c r="R91" i="4" s="1"/>
  <c r="S91" i="4" s="1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AD91" i="4" s="1"/>
  <c r="AE91" i="4" s="1"/>
  <c r="AF91" i="4" s="1"/>
  <c r="E91" i="4"/>
  <c r="D91" i="4"/>
  <c r="C91" i="4"/>
  <c r="H90" i="4"/>
  <c r="I90" i="4" s="1"/>
  <c r="J90" i="4" s="1"/>
  <c r="K90" i="4" s="1"/>
  <c r="L90" i="4" s="1"/>
  <c r="M90" i="4" s="1"/>
  <c r="N90" i="4" s="1"/>
  <c r="O90" i="4" s="1"/>
  <c r="P90" i="4" s="1"/>
  <c r="Q90" i="4" s="1"/>
  <c r="R90" i="4" s="1"/>
  <c r="S90" i="4" s="1"/>
  <c r="T90" i="4" s="1"/>
  <c r="U90" i="4" s="1"/>
  <c r="V90" i="4" s="1"/>
  <c r="W90" i="4" s="1"/>
  <c r="X90" i="4" s="1"/>
  <c r="Y90" i="4" s="1"/>
  <c r="Z90" i="4" s="1"/>
  <c r="AA90" i="4" s="1"/>
  <c r="AB90" i="4" s="1"/>
  <c r="AC90" i="4" s="1"/>
  <c r="AD90" i="4" s="1"/>
  <c r="AE90" i="4" s="1"/>
  <c r="AF90" i="4" s="1"/>
  <c r="D90" i="4"/>
  <c r="E90" i="4" s="1"/>
  <c r="F90" i="4" s="1"/>
  <c r="G90" i="4" s="1"/>
  <c r="C90" i="4"/>
  <c r="C89" i="4"/>
  <c r="AH87" i="4"/>
  <c r="AI87" i="4" s="1"/>
  <c r="AH86" i="4"/>
  <c r="AI86" i="4" s="1"/>
  <c r="AH85" i="4"/>
  <c r="AI85" i="4" s="1"/>
  <c r="AH84" i="4"/>
  <c r="AI84" i="4" s="1"/>
  <c r="AH83" i="4"/>
  <c r="AI83" i="4" s="1"/>
  <c r="C82" i="4"/>
  <c r="B82" i="4"/>
  <c r="AF80" i="4"/>
  <c r="AE80" i="4"/>
  <c r="AD80" i="4"/>
  <c r="AC80" i="4"/>
  <c r="AB80" i="4"/>
  <c r="AA80" i="4"/>
  <c r="Z80" i="4"/>
  <c r="Y80" i="4"/>
  <c r="W80" i="4"/>
  <c r="U80" i="4"/>
  <c r="T80" i="4"/>
  <c r="S80" i="4"/>
  <c r="Q80" i="4"/>
  <c r="P80" i="4"/>
  <c r="O80" i="4"/>
  <c r="M80" i="4"/>
  <c r="L80" i="4"/>
  <c r="F80" i="4"/>
  <c r="E80" i="4"/>
  <c r="D80" i="4"/>
  <c r="C80" i="4"/>
  <c r="B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G71" i="4"/>
  <c r="AI70" i="4"/>
  <c r="AH70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J69" i="4"/>
  <c r="I69" i="4"/>
  <c r="F69" i="4"/>
  <c r="E69" i="4"/>
  <c r="D69" i="4"/>
  <c r="C69" i="4"/>
  <c r="B69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F67" i="4"/>
  <c r="AE67" i="4"/>
  <c r="AD67" i="4"/>
  <c r="AC67" i="4"/>
  <c r="AB67" i="4"/>
  <c r="AA67" i="4"/>
  <c r="Z67" i="4"/>
  <c r="V67" i="4"/>
  <c r="U67" i="4"/>
  <c r="T67" i="4"/>
  <c r="S67" i="4"/>
  <c r="Q67" i="4"/>
  <c r="P67" i="4"/>
  <c r="O67" i="4"/>
  <c r="L67" i="4"/>
  <c r="K67" i="4"/>
  <c r="H67" i="4"/>
  <c r="F67" i="4"/>
  <c r="E67" i="4"/>
  <c r="D67" i="4"/>
  <c r="C67" i="4"/>
  <c r="B67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I64" i="4"/>
  <c r="AH64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I62" i="4"/>
  <c r="AH62" i="4"/>
  <c r="AI61" i="4"/>
  <c r="AH61" i="4"/>
  <c r="AI60" i="4"/>
  <c r="AH60" i="4"/>
  <c r="AG59" i="4"/>
  <c r="AF59" i="4"/>
  <c r="AF5" i="4" s="1"/>
  <c r="AE59" i="4"/>
  <c r="AE5" i="4" s="1"/>
  <c r="AD59" i="4"/>
  <c r="AD5" i="4" s="1"/>
  <c r="AC59" i="4"/>
  <c r="AB59" i="4"/>
  <c r="AB5" i="4" s="1"/>
  <c r="AA59" i="4"/>
  <c r="Z59" i="4"/>
  <c r="Z5" i="4" s="1"/>
  <c r="W59" i="4"/>
  <c r="W5" i="4" s="1"/>
  <c r="U59" i="4"/>
  <c r="U5" i="4" s="1"/>
  <c r="S59" i="4"/>
  <c r="S5" i="4" s="1"/>
  <c r="R59" i="4"/>
  <c r="R5" i="4" s="1"/>
  <c r="Q59" i="4"/>
  <c r="Q5" i="4" s="1"/>
  <c r="P59" i="4"/>
  <c r="P5" i="4" s="1"/>
  <c r="O59" i="4"/>
  <c r="M59" i="4"/>
  <c r="L59" i="4"/>
  <c r="F59" i="4"/>
  <c r="F5" i="4" s="1"/>
  <c r="E59" i="4"/>
  <c r="E5" i="4" s="1"/>
  <c r="D59" i="4"/>
  <c r="D5" i="4" s="1"/>
  <c r="C59" i="4"/>
  <c r="C5" i="4" s="1"/>
  <c r="B59" i="4"/>
  <c r="B5" i="4" s="1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K69" i="4"/>
  <c r="I80" i="4"/>
  <c r="H69" i="4"/>
  <c r="G59" i="4"/>
  <c r="Y59" i="4"/>
  <c r="X67" i="4"/>
  <c r="W67" i="4"/>
  <c r="T59" i="4"/>
  <c r="T5" i="4" s="1"/>
  <c r="M67" i="4"/>
  <c r="K80" i="4"/>
  <c r="J59" i="4"/>
  <c r="J5" i="4" s="1"/>
  <c r="AI49" i="4"/>
  <c r="G67" i="4"/>
  <c r="AI48" i="4"/>
  <c r="AH48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I46" i="4"/>
  <c r="AH46" i="4"/>
  <c r="AI45" i="4"/>
  <c r="AH45" i="4"/>
  <c r="AI44" i="4"/>
  <c r="AH44" i="4"/>
  <c r="AG42" i="4"/>
  <c r="AG43" i="4" s="1"/>
  <c r="B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G30" i="4"/>
  <c r="AG2" i="4" s="1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C5" i="4"/>
  <c r="AA5" i="4"/>
  <c r="O5" i="4"/>
  <c r="M5" i="4"/>
  <c r="L5" i="4"/>
  <c r="AG4" i="4"/>
  <c r="K4" i="4"/>
  <c r="C4" i="4"/>
  <c r="D4" i="4" s="1"/>
  <c r="AW193" i="6"/>
  <c r="AE7" i="6"/>
  <c r="AF43" i="6"/>
  <c r="AH42" i="6"/>
  <c r="AI42" i="6"/>
  <c r="AW193" i="5"/>
  <c r="AE7" i="5"/>
  <c r="AF179" i="5"/>
  <c r="AF42" i="5" s="1"/>
  <c r="Q71" i="4"/>
  <c r="P71" i="4"/>
  <c r="K71" i="4"/>
  <c r="F71" i="4"/>
  <c r="D71" i="4"/>
  <c r="B71" i="4"/>
  <c r="C71" i="4"/>
  <c r="E71" i="4"/>
  <c r="AA71" i="4"/>
  <c r="AI68" i="4"/>
  <c r="AD71" i="4"/>
  <c r="M71" i="4"/>
  <c r="AC71" i="4"/>
  <c r="S71" i="4"/>
  <c r="U71" i="4"/>
  <c r="O71" i="4"/>
  <c r="W71" i="4"/>
  <c r="AE71" i="4"/>
  <c r="V71" i="4"/>
  <c r="AI47" i="4"/>
  <c r="AI30" i="4"/>
  <c r="AG65" i="4"/>
  <c r="AG3" i="4"/>
  <c r="AG6" i="4" s="1"/>
  <c r="G5" i="4"/>
  <c r="E94" i="4"/>
  <c r="D82" i="4"/>
  <c r="AH63" i="4"/>
  <c r="AI63" i="4"/>
  <c r="N59" i="4"/>
  <c r="N80" i="4"/>
  <c r="AH30" i="4"/>
  <c r="R67" i="4"/>
  <c r="R80" i="4"/>
  <c r="H71" i="4"/>
  <c r="X71" i="4"/>
  <c r="AF71" i="4"/>
  <c r="G80" i="4"/>
  <c r="Y5" i="4"/>
  <c r="AH66" i="4"/>
  <c r="H80" i="4"/>
  <c r="AH49" i="4"/>
  <c r="H59" i="4"/>
  <c r="H5" i="4" s="1"/>
  <c r="V59" i="4"/>
  <c r="V80" i="4"/>
  <c r="R71" i="4"/>
  <c r="Z71" i="4"/>
  <c r="N67" i="4"/>
  <c r="N71" i="4" s="1"/>
  <c r="AH68" i="4"/>
  <c r="C171" i="4"/>
  <c r="D89" i="4"/>
  <c r="AI50" i="4"/>
  <c r="G69" i="4"/>
  <c r="AI69" i="4" s="1"/>
  <c r="AH50" i="4"/>
  <c r="I59" i="4"/>
  <c r="K59" i="4"/>
  <c r="J67" i="4"/>
  <c r="J71" i="4" s="1"/>
  <c r="J80" i="4"/>
  <c r="X80" i="4"/>
  <c r="X59" i="4"/>
  <c r="X5" i="4" s="1"/>
  <c r="L71" i="4"/>
  <c r="T71" i="4"/>
  <c r="AB71" i="4"/>
  <c r="B43" i="4"/>
  <c r="B65" i="4" s="1"/>
  <c r="AH47" i="4"/>
  <c r="AI66" i="4"/>
  <c r="I67" i="4"/>
  <c r="I71" i="4" s="1"/>
  <c r="Y67" i="4"/>
  <c r="Y71" i="4" s="1"/>
  <c r="D174" i="4"/>
  <c r="E174" i="4" s="1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C179" i="4"/>
  <c r="C42" i="4" s="1"/>
  <c r="F173" i="4"/>
  <c r="E179" i="4"/>
  <c r="E42" i="4" s="1"/>
  <c r="E43" i="4" s="1"/>
  <c r="E65" i="4" s="1"/>
  <c r="F178" i="4"/>
  <c r="C214" i="4"/>
  <c r="Y49" i="3"/>
  <c r="X49" i="3"/>
  <c r="W49" i="3"/>
  <c r="V49" i="3"/>
  <c r="T49" i="3"/>
  <c r="AF65" i="6"/>
  <c r="AH43" i="6"/>
  <c r="AI43" i="6"/>
  <c r="AF43" i="5"/>
  <c r="AI42" i="5"/>
  <c r="AH42" i="5"/>
  <c r="G71" i="4"/>
  <c r="AI71" i="4" s="1"/>
  <c r="AH69" i="4"/>
  <c r="AI80" i="4"/>
  <c r="W193" i="4"/>
  <c r="E7" i="4"/>
  <c r="K5" i="4"/>
  <c r="F214" i="4"/>
  <c r="G178" i="4"/>
  <c r="G173" i="4"/>
  <c r="F179" i="4"/>
  <c r="F42" i="4" s="1"/>
  <c r="F43" i="4" s="1"/>
  <c r="F65" i="4" s="1"/>
  <c r="C43" i="4"/>
  <c r="C65" i="4" s="1"/>
  <c r="AH80" i="4"/>
  <c r="T193" i="4"/>
  <c r="B7" i="4"/>
  <c r="I5" i="4"/>
  <c r="AI59" i="4"/>
  <c r="AH59" i="4"/>
  <c r="D171" i="4"/>
  <c r="E89" i="4"/>
  <c r="N5" i="4"/>
  <c r="V5" i="4"/>
  <c r="D179" i="4"/>
  <c r="D42" i="4" s="1"/>
  <c r="AI67" i="4"/>
  <c r="AH67" i="4"/>
  <c r="F94" i="4"/>
  <c r="E82" i="4"/>
  <c r="S82" i="3"/>
  <c r="S84" i="3"/>
  <c r="R84" i="3"/>
  <c r="R49" i="3"/>
  <c r="N49" i="3"/>
  <c r="AX193" i="6"/>
  <c r="AF7" i="6"/>
  <c r="A7" i="6" s="1"/>
  <c r="AH65" i="6"/>
  <c r="AI65" i="6"/>
  <c r="AF65" i="5"/>
  <c r="AI43" i="5"/>
  <c r="AH43" i="5"/>
  <c r="AH71" i="4"/>
  <c r="G94" i="4"/>
  <c r="F82" i="4"/>
  <c r="E171" i="4"/>
  <c r="F89" i="4"/>
  <c r="H178" i="4"/>
  <c r="G214" i="4"/>
  <c r="D43" i="4"/>
  <c r="X193" i="4"/>
  <c r="F7" i="4"/>
  <c r="H173" i="4"/>
  <c r="G179" i="4"/>
  <c r="G42" i="4" s="1"/>
  <c r="G43" i="4" s="1"/>
  <c r="G65" i="4" s="1"/>
  <c r="U193" i="4"/>
  <c r="C7" i="4"/>
  <c r="M49" i="3"/>
  <c r="K84" i="3"/>
  <c r="K50" i="3"/>
  <c r="K49" i="3"/>
  <c r="J84" i="3"/>
  <c r="J50" i="3"/>
  <c r="J49" i="3"/>
  <c r="I84" i="3"/>
  <c r="I50" i="3"/>
  <c r="I49" i="3"/>
  <c r="H84" i="3"/>
  <c r="H50" i="3"/>
  <c r="H49" i="3"/>
  <c r="G84" i="3"/>
  <c r="G50" i="3"/>
  <c r="G49" i="3"/>
  <c r="AH87" i="3"/>
  <c r="AI87" i="3" s="1"/>
  <c r="B82" i="3"/>
  <c r="B80" i="3"/>
  <c r="B69" i="3"/>
  <c r="B68" i="3"/>
  <c r="B67" i="3"/>
  <c r="B66" i="3"/>
  <c r="B63" i="3"/>
  <c r="B59" i="3"/>
  <c r="B47" i="3"/>
  <c r="B42" i="3"/>
  <c r="B43" i="3" s="1"/>
  <c r="B30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B214" i="3"/>
  <c r="S189" i="3"/>
  <c r="AG179" i="3"/>
  <c r="B179" i="3"/>
  <c r="C178" i="3"/>
  <c r="E177" i="3"/>
  <c r="F177" i="3" s="1"/>
  <c r="G177" i="3" s="1"/>
  <c r="H177" i="3" s="1"/>
  <c r="I177" i="3" s="1"/>
  <c r="J177" i="3" s="1"/>
  <c r="K177" i="3" s="1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D177" i="3"/>
  <c r="C177" i="3"/>
  <c r="C176" i="3"/>
  <c r="D176" i="3" s="1"/>
  <c r="E176" i="3" s="1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L175" i="3"/>
  <c r="M175" i="3" s="1"/>
  <c r="N175" i="3" s="1"/>
  <c r="O175" i="3" s="1"/>
  <c r="P175" i="3" s="1"/>
  <c r="Q175" i="3" s="1"/>
  <c r="R175" i="3" s="1"/>
  <c r="S175" i="3" s="1"/>
  <c r="T175" i="3" s="1"/>
  <c r="U175" i="3" s="1"/>
  <c r="V175" i="3" s="1"/>
  <c r="W175" i="3" s="1"/>
  <c r="X175" i="3" s="1"/>
  <c r="Y175" i="3" s="1"/>
  <c r="Z175" i="3" s="1"/>
  <c r="AA175" i="3" s="1"/>
  <c r="AB175" i="3" s="1"/>
  <c r="AC175" i="3" s="1"/>
  <c r="AD175" i="3" s="1"/>
  <c r="AE175" i="3" s="1"/>
  <c r="AF175" i="3" s="1"/>
  <c r="C175" i="3"/>
  <c r="D175" i="3" s="1"/>
  <c r="E175" i="3" s="1"/>
  <c r="F175" i="3" s="1"/>
  <c r="G175" i="3" s="1"/>
  <c r="H175" i="3" s="1"/>
  <c r="I175" i="3" s="1"/>
  <c r="J175" i="3" s="1"/>
  <c r="K175" i="3" s="1"/>
  <c r="C174" i="3"/>
  <c r="C179" i="3" s="1"/>
  <c r="D173" i="3"/>
  <c r="C173" i="3"/>
  <c r="AG171" i="3"/>
  <c r="B171" i="3"/>
  <c r="E170" i="3"/>
  <c r="F170" i="3" s="1"/>
  <c r="G170" i="3" s="1"/>
  <c r="H170" i="3" s="1"/>
  <c r="I170" i="3" s="1"/>
  <c r="J170" i="3" s="1"/>
  <c r="K170" i="3" s="1"/>
  <c r="L170" i="3" s="1"/>
  <c r="M170" i="3" s="1"/>
  <c r="N170" i="3" s="1"/>
  <c r="O170" i="3" s="1"/>
  <c r="P170" i="3" s="1"/>
  <c r="Q170" i="3" s="1"/>
  <c r="R170" i="3" s="1"/>
  <c r="S170" i="3" s="1"/>
  <c r="T170" i="3" s="1"/>
  <c r="U170" i="3" s="1"/>
  <c r="V170" i="3" s="1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C170" i="3"/>
  <c r="D170" i="3" s="1"/>
  <c r="Q169" i="3"/>
  <c r="R169" i="3" s="1"/>
  <c r="S169" i="3" s="1"/>
  <c r="T169" i="3" s="1"/>
  <c r="U169" i="3" s="1"/>
  <c r="V169" i="3" s="1"/>
  <c r="W169" i="3" s="1"/>
  <c r="X169" i="3" s="1"/>
  <c r="Y169" i="3" s="1"/>
  <c r="Z169" i="3" s="1"/>
  <c r="AA169" i="3" s="1"/>
  <c r="AB169" i="3" s="1"/>
  <c r="AC169" i="3" s="1"/>
  <c r="AD169" i="3" s="1"/>
  <c r="AE169" i="3" s="1"/>
  <c r="AF169" i="3" s="1"/>
  <c r="M169" i="3"/>
  <c r="N169" i="3" s="1"/>
  <c r="O169" i="3" s="1"/>
  <c r="P169" i="3" s="1"/>
  <c r="C169" i="3"/>
  <c r="D169" i="3" s="1"/>
  <c r="E169" i="3" s="1"/>
  <c r="F169" i="3" s="1"/>
  <c r="G169" i="3" s="1"/>
  <c r="H169" i="3" s="1"/>
  <c r="I169" i="3" s="1"/>
  <c r="J169" i="3" s="1"/>
  <c r="K169" i="3" s="1"/>
  <c r="L169" i="3" s="1"/>
  <c r="D168" i="3"/>
  <c r="E168" i="3" s="1"/>
  <c r="F168" i="3" s="1"/>
  <c r="G168" i="3" s="1"/>
  <c r="H168" i="3" s="1"/>
  <c r="I168" i="3" s="1"/>
  <c r="J168" i="3" s="1"/>
  <c r="K168" i="3" s="1"/>
  <c r="L168" i="3" s="1"/>
  <c r="M168" i="3" s="1"/>
  <c r="N168" i="3" s="1"/>
  <c r="O168" i="3" s="1"/>
  <c r="P168" i="3" s="1"/>
  <c r="Q168" i="3" s="1"/>
  <c r="R168" i="3" s="1"/>
  <c r="S168" i="3" s="1"/>
  <c r="T168" i="3" s="1"/>
  <c r="U168" i="3" s="1"/>
  <c r="V168" i="3" s="1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C168" i="3"/>
  <c r="M167" i="3"/>
  <c r="N167" i="3" s="1"/>
  <c r="O167" i="3" s="1"/>
  <c r="P167" i="3" s="1"/>
  <c r="Q167" i="3" s="1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D167" i="3"/>
  <c r="E167" i="3" s="1"/>
  <c r="F167" i="3" s="1"/>
  <c r="G167" i="3" s="1"/>
  <c r="H167" i="3" s="1"/>
  <c r="I167" i="3" s="1"/>
  <c r="J167" i="3" s="1"/>
  <c r="K167" i="3" s="1"/>
  <c r="L167" i="3" s="1"/>
  <c r="C167" i="3"/>
  <c r="C166" i="3"/>
  <c r="D166" i="3" s="1"/>
  <c r="E166" i="3" s="1"/>
  <c r="F166" i="3" s="1"/>
  <c r="G166" i="3" s="1"/>
  <c r="H166" i="3" s="1"/>
  <c r="I166" i="3" s="1"/>
  <c r="J166" i="3" s="1"/>
  <c r="K166" i="3" s="1"/>
  <c r="L166" i="3" s="1"/>
  <c r="M166" i="3" s="1"/>
  <c r="N166" i="3" s="1"/>
  <c r="O166" i="3" s="1"/>
  <c r="P166" i="3" s="1"/>
  <c r="Q166" i="3" s="1"/>
  <c r="R166" i="3" s="1"/>
  <c r="S166" i="3" s="1"/>
  <c r="T166" i="3" s="1"/>
  <c r="U166" i="3" s="1"/>
  <c r="V166" i="3" s="1"/>
  <c r="W166" i="3" s="1"/>
  <c r="X166" i="3" s="1"/>
  <c r="Y166" i="3" s="1"/>
  <c r="Z166" i="3" s="1"/>
  <c r="AA166" i="3" s="1"/>
  <c r="AB166" i="3" s="1"/>
  <c r="AC166" i="3" s="1"/>
  <c r="AD166" i="3" s="1"/>
  <c r="AE166" i="3" s="1"/>
  <c r="AF166" i="3" s="1"/>
  <c r="K165" i="3"/>
  <c r="L165" i="3" s="1"/>
  <c r="M165" i="3" s="1"/>
  <c r="N165" i="3" s="1"/>
  <c r="O165" i="3" s="1"/>
  <c r="P165" i="3" s="1"/>
  <c r="Q165" i="3" s="1"/>
  <c r="R165" i="3" s="1"/>
  <c r="S165" i="3" s="1"/>
  <c r="T165" i="3" s="1"/>
  <c r="U165" i="3" s="1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F165" i="3"/>
  <c r="G165" i="3" s="1"/>
  <c r="H165" i="3" s="1"/>
  <c r="I165" i="3" s="1"/>
  <c r="J165" i="3" s="1"/>
  <c r="D165" i="3"/>
  <c r="E165" i="3" s="1"/>
  <c r="C165" i="3"/>
  <c r="D164" i="3"/>
  <c r="E164" i="3" s="1"/>
  <c r="F164" i="3" s="1"/>
  <c r="G164" i="3" s="1"/>
  <c r="H164" i="3" s="1"/>
  <c r="I164" i="3" s="1"/>
  <c r="J164" i="3" s="1"/>
  <c r="K164" i="3" s="1"/>
  <c r="L164" i="3" s="1"/>
  <c r="M164" i="3" s="1"/>
  <c r="N164" i="3" s="1"/>
  <c r="O164" i="3" s="1"/>
  <c r="P164" i="3" s="1"/>
  <c r="Q164" i="3" s="1"/>
  <c r="R164" i="3" s="1"/>
  <c r="S164" i="3" s="1"/>
  <c r="T164" i="3" s="1"/>
  <c r="U164" i="3" s="1"/>
  <c r="V164" i="3" s="1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C164" i="3"/>
  <c r="AF163" i="3"/>
  <c r="M163" i="3"/>
  <c r="N163" i="3" s="1"/>
  <c r="O163" i="3" s="1"/>
  <c r="P163" i="3" s="1"/>
  <c r="Q163" i="3" s="1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J163" i="3"/>
  <c r="K163" i="3" s="1"/>
  <c r="L163" i="3" s="1"/>
  <c r="H163" i="3"/>
  <c r="I163" i="3" s="1"/>
  <c r="G163" i="3"/>
  <c r="E163" i="3"/>
  <c r="F163" i="3" s="1"/>
  <c r="D163" i="3"/>
  <c r="C163" i="3"/>
  <c r="AC162" i="3"/>
  <c r="AD162" i="3" s="1"/>
  <c r="AE162" i="3" s="1"/>
  <c r="AF162" i="3" s="1"/>
  <c r="F162" i="3"/>
  <c r="G162" i="3" s="1"/>
  <c r="H162" i="3" s="1"/>
  <c r="I162" i="3" s="1"/>
  <c r="J162" i="3" s="1"/>
  <c r="K162" i="3" s="1"/>
  <c r="L162" i="3" s="1"/>
  <c r="M162" i="3" s="1"/>
  <c r="N162" i="3" s="1"/>
  <c r="O162" i="3" s="1"/>
  <c r="P162" i="3" s="1"/>
  <c r="Q162" i="3" s="1"/>
  <c r="R162" i="3" s="1"/>
  <c r="S162" i="3" s="1"/>
  <c r="T162" i="3" s="1"/>
  <c r="U162" i="3" s="1"/>
  <c r="V162" i="3" s="1"/>
  <c r="W162" i="3" s="1"/>
  <c r="X162" i="3" s="1"/>
  <c r="Y162" i="3" s="1"/>
  <c r="Z162" i="3" s="1"/>
  <c r="AA162" i="3" s="1"/>
  <c r="AB162" i="3" s="1"/>
  <c r="E162" i="3"/>
  <c r="C162" i="3"/>
  <c r="D162" i="3" s="1"/>
  <c r="U161" i="3"/>
  <c r="V161" i="3" s="1"/>
  <c r="W161" i="3" s="1"/>
  <c r="X161" i="3" s="1"/>
  <c r="Y161" i="3" s="1"/>
  <c r="Z161" i="3" s="1"/>
  <c r="AA161" i="3" s="1"/>
  <c r="AB161" i="3" s="1"/>
  <c r="AC161" i="3" s="1"/>
  <c r="AD161" i="3" s="1"/>
  <c r="AE161" i="3" s="1"/>
  <c r="AF161" i="3" s="1"/>
  <c r="D161" i="3"/>
  <c r="E161" i="3" s="1"/>
  <c r="F161" i="3" s="1"/>
  <c r="G161" i="3" s="1"/>
  <c r="H161" i="3" s="1"/>
  <c r="I161" i="3" s="1"/>
  <c r="J161" i="3" s="1"/>
  <c r="K161" i="3" s="1"/>
  <c r="L161" i="3" s="1"/>
  <c r="M161" i="3" s="1"/>
  <c r="N161" i="3" s="1"/>
  <c r="O161" i="3" s="1"/>
  <c r="P161" i="3" s="1"/>
  <c r="Q161" i="3" s="1"/>
  <c r="R161" i="3" s="1"/>
  <c r="S161" i="3" s="1"/>
  <c r="T161" i="3" s="1"/>
  <c r="C161" i="3"/>
  <c r="C160" i="3"/>
  <c r="D160" i="3" s="1"/>
  <c r="E160" i="3" s="1"/>
  <c r="F160" i="3" s="1"/>
  <c r="G160" i="3" s="1"/>
  <c r="H160" i="3" s="1"/>
  <c r="I160" i="3" s="1"/>
  <c r="J160" i="3" s="1"/>
  <c r="K160" i="3" s="1"/>
  <c r="L160" i="3" s="1"/>
  <c r="M160" i="3" s="1"/>
  <c r="N160" i="3" s="1"/>
  <c r="O160" i="3" s="1"/>
  <c r="P160" i="3" s="1"/>
  <c r="Q160" i="3" s="1"/>
  <c r="R160" i="3" s="1"/>
  <c r="S160" i="3" s="1"/>
  <c r="T160" i="3" s="1"/>
  <c r="U160" i="3" s="1"/>
  <c r="V160" i="3" s="1"/>
  <c r="W160" i="3" s="1"/>
  <c r="X160" i="3" s="1"/>
  <c r="Y160" i="3" s="1"/>
  <c r="Z160" i="3" s="1"/>
  <c r="AA160" i="3" s="1"/>
  <c r="AB160" i="3" s="1"/>
  <c r="AC160" i="3" s="1"/>
  <c r="AD160" i="3" s="1"/>
  <c r="AE160" i="3" s="1"/>
  <c r="AF160" i="3" s="1"/>
  <c r="AB159" i="3"/>
  <c r="AC159" i="3" s="1"/>
  <c r="AD159" i="3" s="1"/>
  <c r="AE159" i="3" s="1"/>
  <c r="AF159" i="3" s="1"/>
  <c r="J159" i="3"/>
  <c r="K159" i="3" s="1"/>
  <c r="L159" i="3" s="1"/>
  <c r="M159" i="3" s="1"/>
  <c r="N159" i="3" s="1"/>
  <c r="O159" i="3" s="1"/>
  <c r="P159" i="3" s="1"/>
  <c r="Q159" i="3" s="1"/>
  <c r="R159" i="3" s="1"/>
  <c r="S159" i="3" s="1"/>
  <c r="T159" i="3" s="1"/>
  <c r="U159" i="3" s="1"/>
  <c r="V159" i="3" s="1"/>
  <c r="W159" i="3" s="1"/>
  <c r="X159" i="3" s="1"/>
  <c r="Y159" i="3" s="1"/>
  <c r="Z159" i="3" s="1"/>
  <c r="AA159" i="3" s="1"/>
  <c r="I159" i="3"/>
  <c r="G159" i="3"/>
  <c r="H159" i="3" s="1"/>
  <c r="D159" i="3"/>
  <c r="E159" i="3" s="1"/>
  <c r="F159" i="3" s="1"/>
  <c r="C159" i="3"/>
  <c r="J158" i="3"/>
  <c r="K158" i="3" s="1"/>
  <c r="L158" i="3" s="1"/>
  <c r="M158" i="3" s="1"/>
  <c r="N158" i="3" s="1"/>
  <c r="O158" i="3" s="1"/>
  <c r="P158" i="3" s="1"/>
  <c r="Q158" i="3" s="1"/>
  <c r="R158" i="3" s="1"/>
  <c r="S158" i="3" s="1"/>
  <c r="T158" i="3" s="1"/>
  <c r="U158" i="3" s="1"/>
  <c r="V158" i="3" s="1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C158" i="3"/>
  <c r="D158" i="3" s="1"/>
  <c r="E158" i="3" s="1"/>
  <c r="F158" i="3" s="1"/>
  <c r="G158" i="3" s="1"/>
  <c r="H158" i="3" s="1"/>
  <c r="I158" i="3" s="1"/>
  <c r="D157" i="3"/>
  <c r="E157" i="3" s="1"/>
  <c r="F157" i="3" s="1"/>
  <c r="G157" i="3" s="1"/>
  <c r="H157" i="3" s="1"/>
  <c r="I157" i="3" s="1"/>
  <c r="J157" i="3" s="1"/>
  <c r="K157" i="3" s="1"/>
  <c r="L157" i="3" s="1"/>
  <c r="M157" i="3" s="1"/>
  <c r="N157" i="3" s="1"/>
  <c r="O157" i="3" s="1"/>
  <c r="P157" i="3" s="1"/>
  <c r="Q157" i="3" s="1"/>
  <c r="R157" i="3" s="1"/>
  <c r="S157" i="3" s="1"/>
  <c r="T157" i="3" s="1"/>
  <c r="U157" i="3" s="1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C157" i="3"/>
  <c r="D156" i="3"/>
  <c r="E156" i="3" s="1"/>
  <c r="F156" i="3" s="1"/>
  <c r="G156" i="3" s="1"/>
  <c r="H156" i="3" s="1"/>
  <c r="I156" i="3" s="1"/>
  <c r="J156" i="3" s="1"/>
  <c r="K156" i="3" s="1"/>
  <c r="L156" i="3" s="1"/>
  <c r="M156" i="3" s="1"/>
  <c r="N156" i="3" s="1"/>
  <c r="O156" i="3" s="1"/>
  <c r="P156" i="3" s="1"/>
  <c r="Q156" i="3" s="1"/>
  <c r="R156" i="3" s="1"/>
  <c r="S156" i="3" s="1"/>
  <c r="T156" i="3" s="1"/>
  <c r="U156" i="3" s="1"/>
  <c r="V156" i="3" s="1"/>
  <c r="W156" i="3" s="1"/>
  <c r="X156" i="3" s="1"/>
  <c r="Y156" i="3" s="1"/>
  <c r="Z156" i="3" s="1"/>
  <c r="AA156" i="3" s="1"/>
  <c r="AB156" i="3" s="1"/>
  <c r="AC156" i="3" s="1"/>
  <c r="AD156" i="3" s="1"/>
  <c r="AE156" i="3" s="1"/>
  <c r="AF156" i="3" s="1"/>
  <c r="C156" i="3"/>
  <c r="C155" i="3"/>
  <c r="D155" i="3" s="1"/>
  <c r="E155" i="3" s="1"/>
  <c r="F155" i="3" s="1"/>
  <c r="G155" i="3" s="1"/>
  <c r="H155" i="3" s="1"/>
  <c r="I155" i="3" s="1"/>
  <c r="J155" i="3" s="1"/>
  <c r="K155" i="3" s="1"/>
  <c r="L155" i="3" s="1"/>
  <c r="M155" i="3" s="1"/>
  <c r="N155" i="3" s="1"/>
  <c r="O155" i="3" s="1"/>
  <c r="P155" i="3" s="1"/>
  <c r="Q155" i="3" s="1"/>
  <c r="R155" i="3" s="1"/>
  <c r="S155" i="3" s="1"/>
  <c r="T155" i="3" s="1"/>
  <c r="U155" i="3" s="1"/>
  <c r="V155" i="3" s="1"/>
  <c r="W155" i="3" s="1"/>
  <c r="X155" i="3" s="1"/>
  <c r="Y155" i="3" s="1"/>
  <c r="Z155" i="3" s="1"/>
  <c r="AA155" i="3" s="1"/>
  <c r="AB155" i="3" s="1"/>
  <c r="AC155" i="3" s="1"/>
  <c r="AD155" i="3" s="1"/>
  <c r="AE155" i="3" s="1"/>
  <c r="AF155" i="3" s="1"/>
  <c r="Q154" i="3"/>
  <c r="R154" i="3" s="1"/>
  <c r="S154" i="3" s="1"/>
  <c r="T154" i="3" s="1"/>
  <c r="U154" i="3" s="1"/>
  <c r="V154" i="3" s="1"/>
  <c r="W154" i="3" s="1"/>
  <c r="X154" i="3" s="1"/>
  <c r="Y154" i="3" s="1"/>
  <c r="Z154" i="3" s="1"/>
  <c r="AA154" i="3" s="1"/>
  <c r="AB154" i="3" s="1"/>
  <c r="AC154" i="3" s="1"/>
  <c r="AD154" i="3" s="1"/>
  <c r="AE154" i="3" s="1"/>
  <c r="AF154" i="3" s="1"/>
  <c r="D154" i="3"/>
  <c r="E154" i="3" s="1"/>
  <c r="F154" i="3" s="1"/>
  <c r="G154" i="3" s="1"/>
  <c r="H154" i="3" s="1"/>
  <c r="I154" i="3" s="1"/>
  <c r="J154" i="3" s="1"/>
  <c r="K154" i="3" s="1"/>
  <c r="L154" i="3" s="1"/>
  <c r="M154" i="3" s="1"/>
  <c r="N154" i="3" s="1"/>
  <c r="O154" i="3" s="1"/>
  <c r="P154" i="3" s="1"/>
  <c r="C154" i="3"/>
  <c r="P153" i="3"/>
  <c r="Q153" i="3" s="1"/>
  <c r="R153" i="3" s="1"/>
  <c r="S153" i="3" s="1"/>
  <c r="T153" i="3" s="1"/>
  <c r="U153" i="3" s="1"/>
  <c r="V153" i="3" s="1"/>
  <c r="W153" i="3" s="1"/>
  <c r="X153" i="3" s="1"/>
  <c r="Y153" i="3" s="1"/>
  <c r="Z153" i="3" s="1"/>
  <c r="AA153" i="3" s="1"/>
  <c r="AB153" i="3" s="1"/>
  <c r="AC153" i="3" s="1"/>
  <c r="AD153" i="3" s="1"/>
  <c r="AE153" i="3" s="1"/>
  <c r="AF153" i="3" s="1"/>
  <c r="D153" i="3"/>
  <c r="E153" i="3" s="1"/>
  <c r="F153" i="3" s="1"/>
  <c r="G153" i="3" s="1"/>
  <c r="H153" i="3" s="1"/>
  <c r="I153" i="3" s="1"/>
  <c r="J153" i="3" s="1"/>
  <c r="K153" i="3" s="1"/>
  <c r="L153" i="3" s="1"/>
  <c r="M153" i="3" s="1"/>
  <c r="N153" i="3" s="1"/>
  <c r="O153" i="3" s="1"/>
  <c r="C153" i="3"/>
  <c r="T152" i="3"/>
  <c r="U152" i="3" s="1"/>
  <c r="V152" i="3" s="1"/>
  <c r="W152" i="3" s="1"/>
  <c r="X152" i="3" s="1"/>
  <c r="Y152" i="3" s="1"/>
  <c r="Z152" i="3" s="1"/>
  <c r="AA152" i="3" s="1"/>
  <c r="AB152" i="3" s="1"/>
  <c r="AC152" i="3" s="1"/>
  <c r="AD152" i="3" s="1"/>
  <c r="AE152" i="3" s="1"/>
  <c r="AF152" i="3" s="1"/>
  <c r="C152" i="3"/>
  <c r="D152" i="3" s="1"/>
  <c r="E152" i="3" s="1"/>
  <c r="F152" i="3" s="1"/>
  <c r="G152" i="3" s="1"/>
  <c r="H152" i="3" s="1"/>
  <c r="I152" i="3" s="1"/>
  <c r="J152" i="3" s="1"/>
  <c r="K152" i="3" s="1"/>
  <c r="L152" i="3" s="1"/>
  <c r="M152" i="3" s="1"/>
  <c r="N152" i="3" s="1"/>
  <c r="O152" i="3" s="1"/>
  <c r="P152" i="3" s="1"/>
  <c r="Q152" i="3" s="1"/>
  <c r="R152" i="3" s="1"/>
  <c r="S152" i="3" s="1"/>
  <c r="M151" i="3"/>
  <c r="N151" i="3" s="1"/>
  <c r="O151" i="3" s="1"/>
  <c r="P151" i="3" s="1"/>
  <c r="Q151" i="3" s="1"/>
  <c r="R151" i="3" s="1"/>
  <c r="S151" i="3" s="1"/>
  <c r="T151" i="3" s="1"/>
  <c r="U151" i="3" s="1"/>
  <c r="V151" i="3" s="1"/>
  <c r="W151" i="3" s="1"/>
  <c r="X151" i="3" s="1"/>
  <c r="Y151" i="3" s="1"/>
  <c r="Z151" i="3" s="1"/>
  <c r="AA151" i="3" s="1"/>
  <c r="AB151" i="3" s="1"/>
  <c r="AC151" i="3" s="1"/>
  <c r="AD151" i="3" s="1"/>
  <c r="AE151" i="3" s="1"/>
  <c r="AF151" i="3" s="1"/>
  <c r="E151" i="3"/>
  <c r="F151" i="3" s="1"/>
  <c r="G151" i="3" s="1"/>
  <c r="H151" i="3" s="1"/>
  <c r="I151" i="3" s="1"/>
  <c r="J151" i="3" s="1"/>
  <c r="K151" i="3" s="1"/>
  <c r="L151" i="3" s="1"/>
  <c r="D151" i="3"/>
  <c r="C151" i="3"/>
  <c r="J150" i="3"/>
  <c r="K150" i="3" s="1"/>
  <c r="L150" i="3" s="1"/>
  <c r="M150" i="3" s="1"/>
  <c r="N150" i="3" s="1"/>
  <c r="O150" i="3" s="1"/>
  <c r="P150" i="3" s="1"/>
  <c r="Q150" i="3" s="1"/>
  <c r="R150" i="3" s="1"/>
  <c r="S150" i="3" s="1"/>
  <c r="T150" i="3" s="1"/>
  <c r="U150" i="3" s="1"/>
  <c r="V150" i="3" s="1"/>
  <c r="W150" i="3" s="1"/>
  <c r="X150" i="3" s="1"/>
  <c r="Y150" i="3" s="1"/>
  <c r="Z150" i="3" s="1"/>
  <c r="AA150" i="3" s="1"/>
  <c r="AB150" i="3" s="1"/>
  <c r="AC150" i="3" s="1"/>
  <c r="AD150" i="3" s="1"/>
  <c r="AE150" i="3" s="1"/>
  <c r="AF150" i="3" s="1"/>
  <c r="I150" i="3"/>
  <c r="C150" i="3"/>
  <c r="D150" i="3" s="1"/>
  <c r="E150" i="3" s="1"/>
  <c r="F150" i="3" s="1"/>
  <c r="G150" i="3" s="1"/>
  <c r="H150" i="3" s="1"/>
  <c r="Q149" i="3"/>
  <c r="R149" i="3" s="1"/>
  <c r="S149" i="3" s="1"/>
  <c r="T149" i="3" s="1"/>
  <c r="U149" i="3" s="1"/>
  <c r="V149" i="3" s="1"/>
  <c r="W149" i="3" s="1"/>
  <c r="X149" i="3" s="1"/>
  <c r="Y149" i="3" s="1"/>
  <c r="Z149" i="3" s="1"/>
  <c r="AA149" i="3" s="1"/>
  <c r="AB149" i="3" s="1"/>
  <c r="AC149" i="3" s="1"/>
  <c r="AD149" i="3" s="1"/>
  <c r="AE149" i="3" s="1"/>
  <c r="AF149" i="3" s="1"/>
  <c r="C149" i="3"/>
  <c r="D149" i="3" s="1"/>
  <c r="E149" i="3" s="1"/>
  <c r="F149" i="3" s="1"/>
  <c r="G149" i="3" s="1"/>
  <c r="H149" i="3" s="1"/>
  <c r="I149" i="3" s="1"/>
  <c r="J149" i="3" s="1"/>
  <c r="K149" i="3" s="1"/>
  <c r="L149" i="3" s="1"/>
  <c r="M149" i="3" s="1"/>
  <c r="N149" i="3" s="1"/>
  <c r="O149" i="3" s="1"/>
  <c r="P149" i="3" s="1"/>
  <c r="N148" i="3"/>
  <c r="O148" i="3" s="1"/>
  <c r="P148" i="3" s="1"/>
  <c r="Q148" i="3" s="1"/>
  <c r="R148" i="3" s="1"/>
  <c r="S148" i="3" s="1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C148" i="3"/>
  <c r="D148" i="3" s="1"/>
  <c r="E148" i="3" s="1"/>
  <c r="F148" i="3" s="1"/>
  <c r="G148" i="3" s="1"/>
  <c r="H148" i="3" s="1"/>
  <c r="I148" i="3" s="1"/>
  <c r="J148" i="3" s="1"/>
  <c r="K148" i="3" s="1"/>
  <c r="L148" i="3" s="1"/>
  <c r="M148" i="3" s="1"/>
  <c r="M147" i="3"/>
  <c r="N147" i="3" s="1"/>
  <c r="O147" i="3" s="1"/>
  <c r="P147" i="3" s="1"/>
  <c r="Q147" i="3" s="1"/>
  <c r="R147" i="3" s="1"/>
  <c r="S147" i="3" s="1"/>
  <c r="T147" i="3" s="1"/>
  <c r="U147" i="3" s="1"/>
  <c r="V147" i="3" s="1"/>
  <c r="W147" i="3" s="1"/>
  <c r="X147" i="3" s="1"/>
  <c r="Y147" i="3" s="1"/>
  <c r="Z147" i="3" s="1"/>
  <c r="AA147" i="3" s="1"/>
  <c r="AB147" i="3" s="1"/>
  <c r="AC147" i="3" s="1"/>
  <c r="AD147" i="3" s="1"/>
  <c r="AE147" i="3" s="1"/>
  <c r="AF147" i="3" s="1"/>
  <c r="C147" i="3"/>
  <c r="D147" i="3" s="1"/>
  <c r="E147" i="3" s="1"/>
  <c r="F147" i="3" s="1"/>
  <c r="G147" i="3" s="1"/>
  <c r="H147" i="3" s="1"/>
  <c r="I147" i="3" s="1"/>
  <c r="J147" i="3" s="1"/>
  <c r="K147" i="3" s="1"/>
  <c r="L147" i="3" s="1"/>
  <c r="D146" i="3"/>
  <c r="E146" i="3" s="1"/>
  <c r="F146" i="3" s="1"/>
  <c r="G146" i="3" s="1"/>
  <c r="H146" i="3" s="1"/>
  <c r="I146" i="3" s="1"/>
  <c r="J146" i="3" s="1"/>
  <c r="K146" i="3" s="1"/>
  <c r="L146" i="3" s="1"/>
  <c r="M146" i="3" s="1"/>
  <c r="N146" i="3" s="1"/>
  <c r="O146" i="3" s="1"/>
  <c r="P146" i="3" s="1"/>
  <c r="Q146" i="3" s="1"/>
  <c r="R146" i="3" s="1"/>
  <c r="S146" i="3" s="1"/>
  <c r="T146" i="3" s="1"/>
  <c r="U146" i="3" s="1"/>
  <c r="V146" i="3" s="1"/>
  <c r="W146" i="3" s="1"/>
  <c r="X146" i="3" s="1"/>
  <c r="Y146" i="3" s="1"/>
  <c r="Z146" i="3" s="1"/>
  <c r="AA146" i="3" s="1"/>
  <c r="AB146" i="3" s="1"/>
  <c r="AC146" i="3" s="1"/>
  <c r="AD146" i="3" s="1"/>
  <c r="AE146" i="3" s="1"/>
  <c r="AF146" i="3" s="1"/>
  <c r="C146" i="3"/>
  <c r="C145" i="3"/>
  <c r="D145" i="3" s="1"/>
  <c r="E145" i="3" s="1"/>
  <c r="F145" i="3" s="1"/>
  <c r="G145" i="3" s="1"/>
  <c r="H145" i="3" s="1"/>
  <c r="I145" i="3" s="1"/>
  <c r="J145" i="3" s="1"/>
  <c r="K145" i="3" s="1"/>
  <c r="L145" i="3" s="1"/>
  <c r="M145" i="3" s="1"/>
  <c r="N145" i="3" s="1"/>
  <c r="O145" i="3" s="1"/>
  <c r="P145" i="3" s="1"/>
  <c r="Q145" i="3" s="1"/>
  <c r="R145" i="3" s="1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F144" i="3"/>
  <c r="G144" i="3" s="1"/>
  <c r="H144" i="3" s="1"/>
  <c r="I144" i="3" s="1"/>
  <c r="J144" i="3" s="1"/>
  <c r="K144" i="3" s="1"/>
  <c r="L144" i="3" s="1"/>
  <c r="M144" i="3" s="1"/>
  <c r="N144" i="3" s="1"/>
  <c r="O144" i="3" s="1"/>
  <c r="P144" i="3" s="1"/>
  <c r="Q144" i="3" s="1"/>
  <c r="R144" i="3" s="1"/>
  <c r="S144" i="3" s="1"/>
  <c r="T144" i="3" s="1"/>
  <c r="U144" i="3" s="1"/>
  <c r="V144" i="3" s="1"/>
  <c r="W144" i="3" s="1"/>
  <c r="X144" i="3" s="1"/>
  <c r="Y144" i="3" s="1"/>
  <c r="Z144" i="3" s="1"/>
  <c r="AA144" i="3" s="1"/>
  <c r="AB144" i="3" s="1"/>
  <c r="AC144" i="3" s="1"/>
  <c r="AD144" i="3" s="1"/>
  <c r="AE144" i="3" s="1"/>
  <c r="AF144" i="3" s="1"/>
  <c r="C144" i="3"/>
  <c r="D144" i="3" s="1"/>
  <c r="E144" i="3" s="1"/>
  <c r="C143" i="3"/>
  <c r="D143" i="3" s="1"/>
  <c r="E143" i="3" s="1"/>
  <c r="F143" i="3" s="1"/>
  <c r="G143" i="3" s="1"/>
  <c r="H143" i="3" s="1"/>
  <c r="I143" i="3" s="1"/>
  <c r="J143" i="3" s="1"/>
  <c r="K143" i="3" s="1"/>
  <c r="L143" i="3" s="1"/>
  <c r="M143" i="3" s="1"/>
  <c r="N143" i="3" s="1"/>
  <c r="O143" i="3" s="1"/>
  <c r="P143" i="3" s="1"/>
  <c r="Q143" i="3" s="1"/>
  <c r="R143" i="3" s="1"/>
  <c r="S143" i="3" s="1"/>
  <c r="T143" i="3" s="1"/>
  <c r="U143" i="3" s="1"/>
  <c r="V143" i="3" s="1"/>
  <c r="W143" i="3" s="1"/>
  <c r="X143" i="3" s="1"/>
  <c r="Y143" i="3" s="1"/>
  <c r="Z143" i="3" s="1"/>
  <c r="AA143" i="3" s="1"/>
  <c r="AB143" i="3" s="1"/>
  <c r="AC143" i="3" s="1"/>
  <c r="AD143" i="3" s="1"/>
  <c r="AE143" i="3" s="1"/>
  <c r="AF143" i="3" s="1"/>
  <c r="K142" i="3"/>
  <c r="L142" i="3" s="1"/>
  <c r="M142" i="3" s="1"/>
  <c r="N142" i="3" s="1"/>
  <c r="O142" i="3" s="1"/>
  <c r="P142" i="3" s="1"/>
  <c r="Q142" i="3" s="1"/>
  <c r="R142" i="3" s="1"/>
  <c r="S142" i="3" s="1"/>
  <c r="T142" i="3" s="1"/>
  <c r="U142" i="3" s="1"/>
  <c r="V142" i="3" s="1"/>
  <c r="W142" i="3" s="1"/>
  <c r="X142" i="3" s="1"/>
  <c r="Y142" i="3" s="1"/>
  <c r="Z142" i="3" s="1"/>
  <c r="AA142" i="3" s="1"/>
  <c r="AB142" i="3" s="1"/>
  <c r="AC142" i="3" s="1"/>
  <c r="AD142" i="3" s="1"/>
  <c r="AE142" i="3" s="1"/>
  <c r="AF142" i="3" s="1"/>
  <c r="D142" i="3"/>
  <c r="E142" i="3" s="1"/>
  <c r="F142" i="3" s="1"/>
  <c r="G142" i="3" s="1"/>
  <c r="H142" i="3" s="1"/>
  <c r="I142" i="3" s="1"/>
  <c r="J142" i="3" s="1"/>
  <c r="C142" i="3"/>
  <c r="G141" i="3"/>
  <c r="H141" i="3" s="1"/>
  <c r="I141" i="3" s="1"/>
  <c r="J141" i="3" s="1"/>
  <c r="K141" i="3" s="1"/>
  <c r="L141" i="3" s="1"/>
  <c r="M141" i="3" s="1"/>
  <c r="N141" i="3" s="1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D141" i="3"/>
  <c r="E141" i="3" s="1"/>
  <c r="F141" i="3" s="1"/>
  <c r="C141" i="3"/>
  <c r="G140" i="3"/>
  <c r="H140" i="3" s="1"/>
  <c r="I140" i="3" s="1"/>
  <c r="J140" i="3" s="1"/>
  <c r="K140" i="3" s="1"/>
  <c r="L140" i="3" s="1"/>
  <c r="M140" i="3" s="1"/>
  <c r="N140" i="3" s="1"/>
  <c r="O140" i="3" s="1"/>
  <c r="P140" i="3" s="1"/>
  <c r="Q140" i="3" s="1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E140" i="3"/>
  <c r="F140" i="3" s="1"/>
  <c r="C140" i="3"/>
  <c r="D140" i="3" s="1"/>
  <c r="J139" i="3"/>
  <c r="K139" i="3" s="1"/>
  <c r="L139" i="3" s="1"/>
  <c r="M139" i="3" s="1"/>
  <c r="N139" i="3" s="1"/>
  <c r="O139" i="3" s="1"/>
  <c r="P139" i="3" s="1"/>
  <c r="Q139" i="3" s="1"/>
  <c r="R139" i="3" s="1"/>
  <c r="S139" i="3" s="1"/>
  <c r="T139" i="3" s="1"/>
  <c r="U139" i="3" s="1"/>
  <c r="V139" i="3" s="1"/>
  <c r="W139" i="3" s="1"/>
  <c r="X139" i="3" s="1"/>
  <c r="Y139" i="3" s="1"/>
  <c r="Z139" i="3" s="1"/>
  <c r="AA139" i="3" s="1"/>
  <c r="AB139" i="3" s="1"/>
  <c r="AC139" i="3" s="1"/>
  <c r="AD139" i="3" s="1"/>
  <c r="AE139" i="3" s="1"/>
  <c r="AF139" i="3" s="1"/>
  <c r="D139" i="3"/>
  <c r="E139" i="3" s="1"/>
  <c r="F139" i="3" s="1"/>
  <c r="G139" i="3" s="1"/>
  <c r="H139" i="3" s="1"/>
  <c r="I139" i="3" s="1"/>
  <c r="C139" i="3"/>
  <c r="C138" i="3"/>
  <c r="D138" i="3" s="1"/>
  <c r="E138" i="3" s="1"/>
  <c r="F138" i="3" s="1"/>
  <c r="G138" i="3" s="1"/>
  <c r="H138" i="3" s="1"/>
  <c r="I138" i="3" s="1"/>
  <c r="J138" i="3" s="1"/>
  <c r="K138" i="3" s="1"/>
  <c r="L138" i="3" s="1"/>
  <c r="M138" i="3" s="1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P137" i="3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F137" i="3"/>
  <c r="G137" i="3" s="1"/>
  <c r="H137" i="3" s="1"/>
  <c r="I137" i="3" s="1"/>
  <c r="J137" i="3" s="1"/>
  <c r="K137" i="3" s="1"/>
  <c r="L137" i="3" s="1"/>
  <c r="M137" i="3" s="1"/>
  <c r="N137" i="3" s="1"/>
  <c r="O137" i="3" s="1"/>
  <c r="D137" i="3"/>
  <c r="E137" i="3" s="1"/>
  <c r="C137" i="3"/>
  <c r="D136" i="3"/>
  <c r="E136" i="3" s="1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C136" i="3"/>
  <c r="T135" i="3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D135" i="3"/>
  <c r="E135" i="3" s="1"/>
  <c r="F135" i="3" s="1"/>
  <c r="G135" i="3" s="1"/>
  <c r="H135" i="3" s="1"/>
  <c r="I135" i="3" s="1"/>
  <c r="J135" i="3" s="1"/>
  <c r="K135" i="3" s="1"/>
  <c r="L135" i="3" s="1"/>
  <c r="M135" i="3" s="1"/>
  <c r="N135" i="3" s="1"/>
  <c r="O135" i="3" s="1"/>
  <c r="P135" i="3" s="1"/>
  <c r="Q135" i="3" s="1"/>
  <c r="R135" i="3" s="1"/>
  <c r="S135" i="3" s="1"/>
  <c r="C135" i="3"/>
  <c r="C134" i="3"/>
  <c r="D134" i="3" s="1"/>
  <c r="E134" i="3" s="1"/>
  <c r="F134" i="3" s="1"/>
  <c r="G134" i="3" s="1"/>
  <c r="H134" i="3" s="1"/>
  <c r="I134" i="3" s="1"/>
  <c r="J134" i="3" s="1"/>
  <c r="K134" i="3" s="1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F133" i="3"/>
  <c r="G133" i="3" s="1"/>
  <c r="H133" i="3" s="1"/>
  <c r="I133" i="3" s="1"/>
  <c r="J133" i="3" s="1"/>
  <c r="K133" i="3" s="1"/>
  <c r="L133" i="3" s="1"/>
  <c r="M133" i="3" s="1"/>
  <c r="N133" i="3" s="1"/>
  <c r="O133" i="3" s="1"/>
  <c r="P133" i="3" s="1"/>
  <c r="Q133" i="3" s="1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D133" i="3"/>
  <c r="E133" i="3" s="1"/>
  <c r="C133" i="3"/>
  <c r="D132" i="3"/>
  <c r="E132" i="3" s="1"/>
  <c r="F132" i="3" s="1"/>
  <c r="G132" i="3" s="1"/>
  <c r="H132" i="3" s="1"/>
  <c r="I132" i="3" s="1"/>
  <c r="J132" i="3" s="1"/>
  <c r="K132" i="3" s="1"/>
  <c r="L132" i="3" s="1"/>
  <c r="M132" i="3" s="1"/>
  <c r="N132" i="3" s="1"/>
  <c r="O132" i="3" s="1"/>
  <c r="P132" i="3" s="1"/>
  <c r="Q132" i="3" s="1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C132" i="3"/>
  <c r="D131" i="3"/>
  <c r="E131" i="3" s="1"/>
  <c r="F131" i="3" s="1"/>
  <c r="G131" i="3" s="1"/>
  <c r="H131" i="3" s="1"/>
  <c r="I131" i="3" s="1"/>
  <c r="J131" i="3" s="1"/>
  <c r="K131" i="3" s="1"/>
  <c r="L131" i="3" s="1"/>
  <c r="M131" i="3" s="1"/>
  <c r="N131" i="3" s="1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C131" i="3"/>
  <c r="H130" i="3"/>
  <c r="I130" i="3" s="1"/>
  <c r="J130" i="3" s="1"/>
  <c r="K130" i="3" s="1"/>
  <c r="L130" i="3" s="1"/>
  <c r="M130" i="3" s="1"/>
  <c r="N130" i="3" s="1"/>
  <c r="O130" i="3" s="1"/>
  <c r="P130" i="3" s="1"/>
  <c r="Q130" i="3" s="1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C130" i="3"/>
  <c r="D130" i="3" s="1"/>
  <c r="E130" i="3" s="1"/>
  <c r="F130" i="3" s="1"/>
  <c r="G130" i="3" s="1"/>
  <c r="F129" i="3"/>
  <c r="G129" i="3" s="1"/>
  <c r="H129" i="3" s="1"/>
  <c r="I129" i="3" s="1"/>
  <c r="J129" i="3" s="1"/>
  <c r="K129" i="3" s="1"/>
  <c r="L129" i="3" s="1"/>
  <c r="M129" i="3" s="1"/>
  <c r="N129" i="3" s="1"/>
  <c r="O129" i="3" s="1"/>
  <c r="P129" i="3" s="1"/>
  <c r="Q129" i="3" s="1"/>
  <c r="R129" i="3" s="1"/>
  <c r="S129" i="3" s="1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D129" i="3"/>
  <c r="E129" i="3" s="1"/>
  <c r="C129" i="3"/>
  <c r="D128" i="3"/>
  <c r="E128" i="3" s="1"/>
  <c r="F128" i="3" s="1"/>
  <c r="G128" i="3" s="1"/>
  <c r="H128" i="3" s="1"/>
  <c r="I128" i="3" s="1"/>
  <c r="J128" i="3" s="1"/>
  <c r="K128" i="3" s="1"/>
  <c r="L128" i="3" s="1"/>
  <c r="M128" i="3" s="1"/>
  <c r="N128" i="3" s="1"/>
  <c r="O128" i="3" s="1"/>
  <c r="P128" i="3" s="1"/>
  <c r="Q128" i="3" s="1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C128" i="3"/>
  <c r="D127" i="3"/>
  <c r="E127" i="3" s="1"/>
  <c r="F127" i="3" s="1"/>
  <c r="G127" i="3" s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S127" i="3" s="1"/>
  <c r="T127" i="3" s="1"/>
  <c r="U127" i="3" s="1"/>
  <c r="V127" i="3" s="1"/>
  <c r="W127" i="3" s="1"/>
  <c r="X127" i="3" s="1"/>
  <c r="Y127" i="3" s="1"/>
  <c r="Z127" i="3" s="1"/>
  <c r="AA127" i="3" s="1"/>
  <c r="AB127" i="3" s="1"/>
  <c r="AC127" i="3" s="1"/>
  <c r="AD127" i="3" s="1"/>
  <c r="AE127" i="3" s="1"/>
  <c r="AF127" i="3" s="1"/>
  <c r="C127" i="3"/>
  <c r="J126" i="3"/>
  <c r="K126" i="3" s="1"/>
  <c r="L126" i="3" s="1"/>
  <c r="M126" i="3" s="1"/>
  <c r="N126" i="3" s="1"/>
  <c r="O126" i="3" s="1"/>
  <c r="P126" i="3" s="1"/>
  <c r="Q126" i="3" s="1"/>
  <c r="R126" i="3" s="1"/>
  <c r="S126" i="3" s="1"/>
  <c r="T126" i="3" s="1"/>
  <c r="U126" i="3" s="1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H126" i="3"/>
  <c r="I126" i="3" s="1"/>
  <c r="C126" i="3"/>
  <c r="D126" i="3" s="1"/>
  <c r="E126" i="3" s="1"/>
  <c r="F126" i="3" s="1"/>
  <c r="G126" i="3" s="1"/>
  <c r="D125" i="3"/>
  <c r="E125" i="3" s="1"/>
  <c r="F125" i="3" s="1"/>
  <c r="G125" i="3" s="1"/>
  <c r="H125" i="3" s="1"/>
  <c r="I125" i="3" s="1"/>
  <c r="J125" i="3" s="1"/>
  <c r="K125" i="3" s="1"/>
  <c r="L125" i="3" s="1"/>
  <c r="M125" i="3" s="1"/>
  <c r="N125" i="3" s="1"/>
  <c r="O125" i="3" s="1"/>
  <c r="P125" i="3" s="1"/>
  <c r="Q125" i="3" s="1"/>
  <c r="R125" i="3" s="1"/>
  <c r="S125" i="3" s="1"/>
  <c r="T125" i="3" s="1"/>
  <c r="U125" i="3" s="1"/>
  <c r="V125" i="3" s="1"/>
  <c r="W125" i="3" s="1"/>
  <c r="X125" i="3" s="1"/>
  <c r="Y125" i="3" s="1"/>
  <c r="Z125" i="3" s="1"/>
  <c r="AA125" i="3" s="1"/>
  <c r="AB125" i="3" s="1"/>
  <c r="AC125" i="3" s="1"/>
  <c r="AD125" i="3" s="1"/>
  <c r="AE125" i="3" s="1"/>
  <c r="AF125" i="3" s="1"/>
  <c r="C125" i="3"/>
  <c r="R124" i="3"/>
  <c r="S124" i="3" s="1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F124" i="3"/>
  <c r="G124" i="3" s="1"/>
  <c r="H124" i="3" s="1"/>
  <c r="I124" i="3" s="1"/>
  <c r="J124" i="3" s="1"/>
  <c r="K124" i="3" s="1"/>
  <c r="L124" i="3" s="1"/>
  <c r="M124" i="3" s="1"/>
  <c r="N124" i="3" s="1"/>
  <c r="O124" i="3" s="1"/>
  <c r="P124" i="3" s="1"/>
  <c r="Q124" i="3" s="1"/>
  <c r="D124" i="3"/>
  <c r="E124" i="3" s="1"/>
  <c r="C124" i="3"/>
  <c r="N123" i="3"/>
  <c r="O123" i="3" s="1"/>
  <c r="P123" i="3" s="1"/>
  <c r="Q123" i="3" s="1"/>
  <c r="R123" i="3" s="1"/>
  <c r="S123" i="3" s="1"/>
  <c r="T123" i="3" s="1"/>
  <c r="U123" i="3" s="1"/>
  <c r="V123" i="3" s="1"/>
  <c r="W123" i="3" s="1"/>
  <c r="X123" i="3" s="1"/>
  <c r="Y123" i="3" s="1"/>
  <c r="Z123" i="3" s="1"/>
  <c r="AA123" i="3" s="1"/>
  <c r="AB123" i="3" s="1"/>
  <c r="AC123" i="3" s="1"/>
  <c r="AD123" i="3" s="1"/>
  <c r="AE123" i="3" s="1"/>
  <c r="AF123" i="3" s="1"/>
  <c r="D123" i="3"/>
  <c r="E123" i="3" s="1"/>
  <c r="F123" i="3" s="1"/>
  <c r="G123" i="3" s="1"/>
  <c r="H123" i="3" s="1"/>
  <c r="I123" i="3" s="1"/>
  <c r="J123" i="3" s="1"/>
  <c r="K123" i="3" s="1"/>
  <c r="L123" i="3" s="1"/>
  <c r="M123" i="3" s="1"/>
  <c r="C123" i="3"/>
  <c r="J122" i="3"/>
  <c r="K122" i="3" s="1"/>
  <c r="L122" i="3" s="1"/>
  <c r="M122" i="3" s="1"/>
  <c r="N122" i="3" s="1"/>
  <c r="O122" i="3" s="1"/>
  <c r="P122" i="3" s="1"/>
  <c r="Q122" i="3" s="1"/>
  <c r="R122" i="3" s="1"/>
  <c r="S122" i="3" s="1"/>
  <c r="T122" i="3" s="1"/>
  <c r="U122" i="3" s="1"/>
  <c r="V122" i="3" s="1"/>
  <c r="W122" i="3" s="1"/>
  <c r="X122" i="3" s="1"/>
  <c r="Y122" i="3" s="1"/>
  <c r="Z122" i="3" s="1"/>
  <c r="AA122" i="3" s="1"/>
  <c r="AB122" i="3" s="1"/>
  <c r="AC122" i="3" s="1"/>
  <c r="AD122" i="3" s="1"/>
  <c r="AE122" i="3" s="1"/>
  <c r="AF122" i="3" s="1"/>
  <c r="D122" i="3"/>
  <c r="E122" i="3" s="1"/>
  <c r="F122" i="3" s="1"/>
  <c r="G122" i="3" s="1"/>
  <c r="H122" i="3" s="1"/>
  <c r="I122" i="3" s="1"/>
  <c r="C122" i="3"/>
  <c r="R121" i="3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E121" i="3"/>
  <c r="F121" i="3" s="1"/>
  <c r="G121" i="3" s="1"/>
  <c r="H121" i="3" s="1"/>
  <c r="I121" i="3" s="1"/>
  <c r="J121" i="3" s="1"/>
  <c r="K121" i="3" s="1"/>
  <c r="L121" i="3" s="1"/>
  <c r="M121" i="3" s="1"/>
  <c r="N121" i="3" s="1"/>
  <c r="O121" i="3" s="1"/>
  <c r="P121" i="3" s="1"/>
  <c r="Q121" i="3" s="1"/>
  <c r="C121" i="3"/>
  <c r="D121" i="3" s="1"/>
  <c r="Q120" i="3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K120" i="3"/>
  <c r="L120" i="3" s="1"/>
  <c r="M120" i="3" s="1"/>
  <c r="N120" i="3" s="1"/>
  <c r="O120" i="3" s="1"/>
  <c r="P120" i="3" s="1"/>
  <c r="F120" i="3"/>
  <c r="G120" i="3" s="1"/>
  <c r="H120" i="3" s="1"/>
  <c r="I120" i="3" s="1"/>
  <c r="J120" i="3" s="1"/>
  <c r="C120" i="3"/>
  <c r="D120" i="3" s="1"/>
  <c r="E120" i="3" s="1"/>
  <c r="L119" i="3"/>
  <c r="M119" i="3" s="1"/>
  <c r="N119" i="3" s="1"/>
  <c r="O119" i="3" s="1"/>
  <c r="P119" i="3" s="1"/>
  <c r="Q119" i="3" s="1"/>
  <c r="R119" i="3" s="1"/>
  <c r="S119" i="3" s="1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H119" i="3"/>
  <c r="I119" i="3" s="1"/>
  <c r="J119" i="3" s="1"/>
  <c r="K119" i="3" s="1"/>
  <c r="E119" i="3"/>
  <c r="F119" i="3" s="1"/>
  <c r="G119" i="3" s="1"/>
  <c r="D119" i="3"/>
  <c r="C119" i="3"/>
  <c r="E118" i="3"/>
  <c r="F118" i="3" s="1"/>
  <c r="G118" i="3" s="1"/>
  <c r="H118" i="3" s="1"/>
  <c r="I118" i="3" s="1"/>
  <c r="J118" i="3" s="1"/>
  <c r="K118" i="3" s="1"/>
  <c r="L118" i="3" s="1"/>
  <c r="M118" i="3" s="1"/>
  <c r="N118" i="3" s="1"/>
  <c r="O118" i="3" s="1"/>
  <c r="P118" i="3" s="1"/>
  <c r="Q118" i="3" s="1"/>
  <c r="R118" i="3" s="1"/>
  <c r="S118" i="3" s="1"/>
  <c r="T118" i="3" s="1"/>
  <c r="U118" i="3" s="1"/>
  <c r="V118" i="3" s="1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C118" i="3"/>
  <c r="D118" i="3" s="1"/>
  <c r="C117" i="3"/>
  <c r="D117" i="3" s="1"/>
  <c r="E117" i="3" s="1"/>
  <c r="F117" i="3" s="1"/>
  <c r="G117" i="3" s="1"/>
  <c r="H117" i="3" s="1"/>
  <c r="I117" i="3" s="1"/>
  <c r="J117" i="3" s="1"/>
  <c r="K117" i="3" s="1"/>
  <c r="L117" i="3" s="1"/>
  <c r="M117" i="3" s="1"/>
  <c r="N117" i="3" s="1"/>
  <c r="O117" i="3" s="1"/>
  <c r="P117" i="3" s="1"/>
  <c r="Q117" i="3" s="1"/>
  <c r="R117" i="3" s="1"/>
  <c r="S117" i="3" s="1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H116" i="3"/>
  <c r="I116" i="3" s="1"/>
  <c r="J116" i="3" s="1"/>
  <c r="K116" i="3" s="1"/>
  <c r="L116" i="3" s="1"/>
  <c r="M116" i="3" s="1"/>
  <c r="N116" i="3" s="1"/>
  <c r="O116" i="3" s="1"/>
  <c r="P116" i="3" s="1"/>
  <c r="Q116" i="3" s="1"/>
  <c r="R116" i="3" s="1"/>
  <c r="S116" i="3" s="1"/>
  <c r="T116" i="3" s="1"/>
  <c r="U116" i="3" s="1"/>
  <c r="V116" i="3" s="1"/>
  <c r="W116" i="3" s="1"/>
  <c r="X116" i="3" s="1"/>
  <c r="Y116" i="3" s="1"/>
  <c r="Z116" i="3" s="1"/>
  <c r="AA116" i="3" s="1"/>
  <c r="AB116" i="3" s="1"/>
  <c r="AC116" i="3" s="1"/>
  <c r="AD116" i="3" s="1"/>
  <c r="AE116" i="3" s="1"/>
  <c r="AF116" i="3" s="1"/>
  <c r="D116" i="3"/>
  <c r="E116" i="3" s="1"/>
  <c r="F116" i="3" s="1"/>
  <c r="G116" i="3" s="1"/>
  <c r="C116" i="3"/>
  <c r="G115" i="3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R115" i="3" s="1"/>
  <c r="S115" i="3" s="1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E115" i="3"/>
  <c r="F115" i="3" s="1"/>
  <c r="D115" i="3"/>
  <c r="C115" i="3"/>
  <c r="E114" i="3"/>
  <c r="F114" i="3" s="1"/>
  <c r="G114" i="3" s="1"/>
  <c r="H114" i="3" s="1"/>
  <c r="I114" i="3" s="1"/>
  <c r="J114" i="3" s="1"/>
  <c r="K114" i="3" s="1"/>
  <c r="L114" i="3" s="1"/>
  <c r="M114" i="3" s="1"/>
  <c r="N114" i="3" s="1"/>
  <c r="O114" i="3" s="1"/>
  <c r="P114" i="3" s="1"/>
  <c r="Q114" i="3" s="1"/>
  <c r="R114" i="3" s="1"/>
  <c r="S114" i="3" s="1"/>
  <c r="T114" i="3" s="1"/>
  <c r="U114" i="3" s="1"/>
  <c r="V114" i="3" s="1"/>
  <c r="W114" i="3" s="1"/>
  <c r="X114" i="3" s="1"/>
  <c r="Y114" i="3" s="1"/>
  <c r="Z114" i="3" s="1"/>
  <c r="AA114" i="3" s="1"/>
  <c r="AB114" i="3" s="1"/>
  <c r="AC114" i="3" s="1"/>
  <c r="AD114" i="3" s="1"/>
  <c r="AE114" i="3" s="1"/>
  <c r="AF114" i="3" s="1"/>
  <c r="C114" i="3"/>
  <c r="D114" i="3" s="1"/>
  <c r="N113" i="3"/>
  <c r="O113" i="3" s="1"/>
  <c r="P113" i="3" s="1"/>
  <c r="Q113" i="3" s="1"/>
  <c r="R113" i="3" s="1"/>
  <c r="S113" i="3" s="1"/>
  <c r="T113" i="3" s="1"/>
  <c r="U113" i="3" s="1"/>
  <c r="V113" i="3" s="1"/>
  <c r="W113" i="3" s="1"/>
  <c r="X113" i="3" s="1"/>
  <c r="Y113" i="3" s="1"/>
  <c r="Z113" i="3" s="1"/>
  <c r="AA113" i="3" s="1"/>
  <c r="AB113" i="3" s="1"/>
  <c r="AC113" i="3" s="1"/>
  <c r="AD113" i="3" s="1"/>
  <c r="AE113" i="3" s="1"/>
  <c r="AF113" i="3" s="1"/>
  <c r="K113" i="3"/>
  <c r="L113" i="3" s="1"/>
  <c r="M113" i="3" s="1"/>
  <c r="E113" i="3"/>
  <c r="F113" i="3" s="1"/>
  <c r="G113" i="3" s="1"/>
  <c r="H113" i="3" s="1"/>
  <c r="I113" i="3" s="1"/>
  <c r="J113" i="3" s="1"/>
  <c r="D113" i="3"/>
  <c r="C113" i="3"/>
  <c r="Q112" i="3"/>
  <c r="R112" i="3" s="1"/>
  <c r="S112" i="3" s="1"/>
  <c r="T112" i="3" s="1"/>
  <c r="U112" i="3" s="1"/>
  <c r="V112" i="3" s="1"/>
  <c r="W112" i="3" s="1"/>
  <c r="X112" i="3" s="1"/>
  <c r="Y112" i="3" s="1"/>
  <c r="Z112" i="3" s="1"/>
  <c r="AA112" i="3" s="1"/>
  <c r="AB112" i="3" s="1"/>
  <c r="AC112" i="3" s="1"/>
  <c r="AD112" i="3" s="1"/>
  <c r="AE112" i="3" s="1"/>
  <c r="AF112" i="3" s="1"/>
  <c r="H112" i="3"/>
  <c r="I112" i="3" s="1"/>
  <c r="J112" i="3" s="1"/>
  <c r="K112" i="3" s="1"/>
  <c r="L112" i="3" s="1"/>
  <c r="M112" i="3" s="1"/>
  <c r="N112" i="3" s="1"/>
  <c r="O112" i="3" s="1"/>
  <c r="P112" i="3" s="1"/>
  <c r="D112" i="3"/>
  <c r="E112" i="3" s="1"/>
  <c r="F112" i="3" s="1"/>
  <c r="G112" i="3" s="1"/>
  <c r="C112" i="3"/>
  <c r="F111" i="3"/>
  <c r="G111" i="3" s="1"/>
  <c r="H111" i="3" s="1"/>
  <c r="I111" i="3" s="1"/>
  <c r="J111" i="3" s="1"/>
  <c r="K111" i="3" s="1"/>
  <c r="L111" i="3" s="1"/>
  <c r="M111" i="3" s="1"/>
  <c r="N111" i="3" s="1"/>
  <c r="O111" i="3" s="1"/>
  <c r="P111" i="3" s="1"/>
  <c r="Q111" i="3" s="1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D111" i="3"/>
  <c r="E111" i="3" s="1"/>
  <c r="C111" i="3"/>
  <c r="E110" i="3"/>
  <c r="F110" i="3" s="1"/>
  <c r="G110" i="3" s="1"/>
  <c r="H110" i="3" s="1"/>
  <c r="I110" i="3" s="1"/>
  <c r="J110" i="3" s="1"/>
  <c r="K110" i="3" s="1"/>
  <c r="L110" i="3" s="1"/>
  <c r="M110" i="3" s="1"/>
  <c r="N110" i="3" s="1"/>
  <c r="O110" i="3" s="1"/>
  <c r="P110" i="3" s="1"/>
  <c r="Q110" i="3" s="1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D110" i="3"/>
  <c r="C110" i="3"/>
  <c r="L109" i="3"/>
  <c r="M109" i="3" s="1"/>
  <c r="N109" i="3" s="1"/>
  <c r="O109" i="3" s="1"/>
  <c r="P109" i="3" s="1"/>
  <c r="Q109" i="3" s="1"/>
  <c r="R109" i="3" s="1"/>
  <c r="S109" i="3" s="1"/>
  <c r="T109" i="3" s="1"/>
  <c r="U109" i="3" s="1"/>
  <c r="V109" i="3" s="1"/>
  <c r="W109" i="3" s="1"/>
  <c r="X109" i="3" s="1"/>
  <c r="Y109" i="3" s="1"/>
  <c r="Z109" i="3" s="1"/>
  <c r="AA109" i="3" s="1"/>
  <c r="AB109" i="3" s="1"/>
  <c r="AC109" i="3" s="1"/>
  <c r="AD109" i="3" s="1"/>
  <c r="AE109" i="3" s="1"/>
  <c r="AF109" i="3" s="1"/>
  <c r="C109" i="3"/>
  <c r="D109" i="3" s="1"/>
  <c r="E109" i="3" s="1"/>
  <c r="F109" i="3" s="1"/>
  <c r="G109" i="3" s="1"/>
  <c r="H109" i="3" s="1"/>
  <c r="I109" i="3" s="1"/>
  <c r="J109" i="3" s="1"/>
  <c r="K109" i="3" s="1"/>
  <c r="F108" i="3"/>
  <c r="G108" i="3" s="1"/>
  <c r="H108" i="3" s="1"/>
  <c r="I108" i="3" s="1"/>
  <c r="J108" i="3" s="1"/>
  <c r="K108" i="3" s="1"/>
  <c r="L108" i="3" s="1"/>
  <c r="M108" i="3" s="1"/>
  <c r="N108" i="3" s="1"/>
  <c r="O108" i="3" s="1"/>
  <c r="P108" i="3" s="1"/>
  <c r="Q108" i="3" s="1"/>
  <c r="R108" i="3" s="1"/>
  <c r="S108" i="3" s="1"/>
  <c r="T108" i="3" s="1"/>
  <c r="U108" i="3" s="1"/>
  <c r="V108" i="3" s="1"/>
  <c r="W108" i="3" s="1"/>
  <c r="X108" i="3" s="1"/>
  <c r="Y108" i="3" s="1"/>
  <c r="Z108" i="3" s="1"/>
  <c r="AA108" i="3" s="1"/>
  <c r="AB108" i="3" s="1"/>
  <c r="AC108" i="3" s="1"/>
  <c r="AD108" i="3" s="1"/>
  <c r="AE108" i="3" s="1"/>
  <c r="AF108" i="3" s="1"/>
  <c r="D108" i="3"/>
  <c r="E108" i="3" s="1"/>
  <c r="C108" i="3"/>
  <c r="E107" i="3"/>
  <c r="F107" i="3" s="1"/>
  <c r="G107" i="3" s="1"/>
  <c r="H107" i="3" s="1"/>
  <c r="I107" i="3" s="1"/>
  <c r="J107" i="3" s="1"/>
  <c r="K107" i="3" s="1"/>
  <c r="L107" i="3" s="1"/>
  <c r="M107" i="3" s="1"/>
  <c r="N107" i="3" s="1"/>
  <c r="O107" i="3" s="1"/>
  <c r="P107" i="3" s="1"/>
  <c r="Q107" i="3" s="1"/>
  <c r="R107" i="3" s="1"/>
  <c r="S107" i="3" s="1"/>
  <c r="T107" i="3" s="1"/>
  <c r="U107" i="3" s="1"/>
  <c r="V107" i="3" s="1"/>
  <c r="W107" i="3" s="1"/>
  <c r="X107" i="3" s="1"/>
  <c r="Y107" i="3" s="1"/>
  <c r="Z107" i="3" s="1"/>
  <c r="AA107" i="3" s="1"/>
  <c r="AB107" i="3" s="1"/>
  <c r="AC107" i="3" s="1"/>
  <c r="AD107" i="3" s="1"/>
  <c r="AE107" i="3" s="1"/>
  <c r="AF107" i="3" s="1"/>
  <c r="D107" i="3"/>
  <c r="C107" i="3"/>
  <c r="D106" i="3"/>
  <c r="E106" i="3" s="1"/>
  <c r="F106" i="3" s="1"/>
  <c r="G106" i="3" s="1"/>
  <c r="H106" i="3" s="1"/>
  <c r="I106" i="3" s="1"/>
  <c r="J106" i="3" s="1"/>
  <c r="K106" i="3" s="1"/>
  <c r="L106" i="3" s="1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C106" i="3"/>
  <c r="C105" i="3"/>
  <c r="D105" i="3" s="1"/>
  <c r="E105" i="3" s="1"/>
  <c r="F105" i="3" s="1"/>
  <c r="G105" i="3" s="1"/>
  <c r="H105" i="3" s="1"/>
  <c r="I105" i="3" s="1"/>
  <c r="J105" i="3" s="1"/>
  <c r="K105" i="3" s="1"/>
  <c r="L105" i="3" s="1"/>
  <c r="M105" i="3" s="1"/>
  <c r="N105" i="3" s="1"/>
  <c r="O105" i="3" s="1"/>
  <c r="P105" i="3" s="1"/>
  <c r="Q105" i="3" s="1"/>
  <c r="R105" i="3" s="1"/>
  <c r="S105" i="3" s="1"/>
  <c r="T105" i="3" s="1"/>
  <c r="U105" i="3" s="1"/>
  <c r="V105" i="3" s="1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I104" i="3"/>
  <c r="J104" i="3" s="1"/>
  <c r="K104" i="3" s="1"/>
  <c r="L104" i="3" s="1"/>
  <c r="M104" i="3" s="1"/>
  <c r="N104" i="3" s="1"/>
  <c r="O104" i="3" s="1"/>
  <c r="P104" i="3" s="1"/>
  <c r="Q104" i="3" s="1"/>
  <c r="R104" i="3" s="1"/>
  <c r="S104" i="3" s="1"/>
  <c r="T104" i="3" s="1"/>
  <c r="U104" i="3" s="1"/>
  <c r="V104" i="3" s="1"/>
  <c r="W104" i="3" s="1"/>
  <c r="X104" i="3" s="1"/>
  <c r="Y104" i="3" s="1"/>
  <c r="Z104" i="3" s="1"/>
  <c r="AA104" i="3" s="1"/>
  <c r="AB104" i="3" s="1"/>
  <c r="AC104" i="3" s="1"/>
  <c r="AD104" i="3" s="1"/>
  <c r="AE104" i="3" s="1"/>
  <c r="AF104" i="3" s="1"/>
  <c r="G104" i="3"/>
  <c r="H104" i="3" s="1"/>
  <c r="D104" i="3"/>
  <c r="E104" i="3" s="1"/>
  <c r="F104" i="3" s="1"/>
  <c r="C104" i="3"/>
  <c r="E103" i="3"/>
  <c r="F103" i="3" s="1"/>
  <c r="G103" i="3" s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S103" i="3" s="1"/>
  <c r="T103" i="3" s="1"/>
  <c r="U103" i="3" s="1"/>
  <c r="V103" i="3" s="1"/>
  <c r="W103" i="3" s="1"/>
  <c r="X103" i="3" s="1"/>
  <c r="Y103" i="3" s="1"/>
  <c r="Z103" i="3" s="1"/>
  <c r="AA103" i="3" s="1"/>
  <c r="AB103" i="3" s="1"/>
  <c r="AC103" i="3" s="1"/>
  <c r="AD103" i="3" s="1"/>
  <c r="AE103" i="3" s="1"/>
  <c r="AF103" i="3" s="1"/>
  <c r="D103" i="3"/>
  <c r="C103" i="3"/>
  <c r="E102" i="3"/>
  <c r="F102" i="3" s="1"/>
  <c r="G102" i="3" s="1"/>
  <c r="H102" i="3" s="1"/>
  <c r="I102" i="3" s="1"/>
  <c r="J102" i="3" s="1"/>
  <c r="K102" i="3" s="1"/>
  <c r="L102" i="3" s="1"/>
  <c r="M102" i="3" s="1"/>
  <c r="N102" i="3" s="1"/>
  <c r="O102" i="3" s="1"/>
  <c r="P102" i="3" s="1"/>
  <c r="Q102" i="3" s="1"/>
  <c r="R102" i="3" s="1"/>
  <c r="S102" i="3" s="1"/>
  <c r="T102" i="3" s="1"/>
  <c r="U102" i="3" s="1"/>
  <c r="V102" i="3" s="1"/>
  <c r="W102" i="3" s="1"/>
  <c r="X102" i="3" s="1"/>
  <c r="Y102" i="3" s="1"/>
  <c r="Z102" i="3" s="1"/>
  <c r="AA102" i="3" s="1"/>
  <c r="AB102" i="3" s="1"/>
  <c r="AC102" i="3" s="1"/>
  <c r="AD102" i="3" s="1"/>
  <c r="AE102" i="3" s="1"/>
  <c r="AF102" i="3" s="1"/>
  <c r="C102" i="3"/>
  <c r="D102" i="3" s="1"/>
  <c r="C101" i="3"/>
  <c r="D101" i="3" s="1"/>
  <c r="E101" i="3" s="1"/>
  <c r="F101" i="3" s="1"/>
  <c r="G101" i="3" s="1"/>
  <c r="H101" i="3" s="1"/>
  <c r="I101" i="3" s="1"/>
  <c r="J101" i="3" s="1"/>
  <c r="K101" i="3" s="1"/>
  <c r="L101" i="3" s="1"/>
  <c r="M101" i="3" s="1"/>
  <c r="N101" i="3" s="1"/>
  <c r="O101" i="3" s="1"/>
  <c r="P101" i="3" s="1"/>
  <c r="Q101" i="3" s="1"/>
  <c r="R101" i="3" s="1"/>
  <c r="S101" i="3" s="1"/>
  <c r="T101" i="3" s="1"/>
  <c r="U101" i="3" s="1"/>
  <c r="V101" i="3" s="1"/>
  <c r="W101" i="3" s="1"/>
  <c r="X101" i="3" s="1"/>
  <c r="Y101" i="3" s="1"/>
  <c r="Z101" i="3" s="1"/>
  <c r="AA101" i="3" s="1"/>
  <c r="AB101" i="3" s="1"/>
  <c r="AC101" i="3" s="1"/>
  <c r="AD101" i="3" s="1"/>
  <c r="AE101" i="3" s="1"/>
  <c r="AF101" i="3" s="1"/>
  <c r="D100" i="3"/>
  <c r="E100" i="3" s="1"/>
  <c r="F100" i="3" s="1"/>
  <c r="G100" i="3" s="1"/>
  <c r="H100" i="3" s="1"/>
  <c r="I100" i="3" s="1"/>
  <c r="J100" i="3" s="1"/>
  <c r="K100" i="3" s="1"/>
  <c r="L100" i="3" s="1"/>
  <c r="M100" i="3" s="1"/>
  <c r="N100" i="3" s="1"/>
  <c r="O100" i="3" s="1"/>
  <c r="P100" i="3" s="1"/>
  <c r="Q100" i="3" s="1"/>
  <c r="R100" i="3" s="1"/>
  <c r="S100" i="3" s="1"/>
  <c r="T100" i="3" s="1"/>
  <c r="U100" i="3" s="1"/>
  <c r="V100" i="3" s="1"/>
  <c r="W100" i="3" s="1"/>
  <c r="X100" i="3" s="1"/>
  <c r="Y100" i="3" s="1"/>
  <c r="Z100" i="3" s="1"/>
  <c r="AA100" i="3" s="1"/>
  <c r="AB100" i="3" s="1"/>
  <c r="AC100" i="3" s="1"/>
  <c r="AD100" i="3" s="1"/>
  <c r="AE100" i="3" s="1"/>
  <c r="AF100" i="3" s="1"/>
  <c r="C100" i="3"/>
  <c r="J99" i="3"/>
  <c r="K99" i="3" s="1"/>
  <c r="L99" i="3" s="1"/>
  <c r="M99" i="3" s="1"/>
  <c r="N99" i="3" s="1"/>
  <c r="O99" i="3" s="1"/>
  <c r="P99" i="3" s="1"/>
  <c r="Q99" i="3" s="1"/>
  <c r="R99" i="3" s="1"/>
  <c r="S99" i="3" s="1"/>
  <c r="T99" i="3" s="1"/>
  <c r="U99" i="3" s="1"/>
  <c r="V99" i="3" s="1"/>
  <c r="W99" i="3" s="1"/>
  <c r="X99" i="3" s="1"/>
  <c r="Y99" i="3" s="1"/>
  <c r="Z99" i="3" s="1"/>
  <c r="AA99" i="3" s="1"/>
  <c r="AB99" i="3" s="1"/>
  <c r="AC99" i="3" s="1"/>
  <c r="AD99" i="3" s="1"/>
  <c r="AE99" i="3" s="1"/>
  <c r="AF99" i="3" s="1"/>
  <c r="D99" i="3"/>
  <c r="E99" i="3" s="1"/>
  <c r="F99" i="3" s="1"/>
  <c r="C99" i="3"/>
  <c r="J98" i="3"/>
  <c r="K98" i="3" s="1"/>
  <c r="L98" i="3" s="1"/>
  <c r="M98" i="3" s="1"/>
  <c r="N98" i="3" s="1"/>
  <c r="O98" i="3" s="1"/>
  <c r="P98" i="3" s="1"/>
  <c r="Q98" i="3" s="1"/>
  <c r="R98" i="3" s="1"/>
  <c r="S98" i="3" s="1"/>
  <c r="T98" i="3" s="1"/>
  <c r="U98" i="3" s="1"/>
  <c r="V98" i="3" s="1"/>
  <c r="W98" i="3" s="1"/>
  <c r="X98" i="3" s="1"/>
  <c r="Y98" i="3" s="1"/>
  <c r="Z98" i="3" s="1"/>
  <c r="AA98" i="3" s="1"/>
  <c r="AB98" i="3" s="1"/>
  <c r="AC98" i="3" s="1"/>
  <c r="AD98" i="3" s="1"/>
  <c r="AE98" i="3" s="1"/>
  <c r="AF98" i="3" s="1"/>
  <c r="E98" i="3"/>
  <c r="F98" i="3" s="1"/>
  <c r="G98" i="3" s="1"/>
  <c r="H98" i="3" s="1"/>
  <c r="I98" i="3" s="1"/>
  <c r="D98" i="3"/>
  <c r="C98" i="3"/>
  <c r="C97" i="3"/>
  <c r="D97" i="3" s="1"/>
  <c r="E97" i="3" s="1"/>
  <c r="F97" i="3" s="1"/>
  <c r="G97" i="3" s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R97" i="3" s="1"/>
  <c r="S97" i="3" s="1"/>
  <c r="T97" i="3" s="1"/>
  <c r="U97" i="3" s="1"/>
  <c r="V97" i="3" s="1"/>
  <c r="W97" i="3" s="1"/>
  <c r="X97" i="3" s="1"/>
  <c r="Y97" i="3" s="1"/>
  <c r="Z97" i="3" s="1"/>
  <c r="AA97" i="3" s="1"/>
  <c r="AB97" i="3" s="1"/>
  <c r="AC97" i="3" s="1"/>
  <c r="AD97" i="3" s="1"/>
  <c r="AE97" i="3" s="1"/>
  <c r="AF97" i="3" s="1"/>
  <c r="H96" i="3"/>
  <c r="I96" i="3" s="1"/>
  <c r="J96" i="3" s="1"/>
  <c r="K96" i="3" s="1"/>
  <c r="L96" i="3" s="1"/>
  <c r="M96" i="3" s="1"/>
  <c r="N96" i="3" s="1"/>
  <c r="O96" i="3" s="1"/>
  <c r="P96" i="3" s="1"/>
  <c r="Q96" i="3" s="1"/>
  <c r="R96" i="3" s="1"/>
  <c r="S96" i="3" s="1"/>
  <c r="T96" i="3" s="1"/>
  <c r="U96" i="3" s="1"/>
  <c r="V96" i="3" s="1"/>
  <c r="W96" i="3" s="1"/>
  <c r="X96" i="3" s="1"/>
  <c r="Y96" i="3" s="1"/>
  <c r="Z96" i="3" s="1"/>
  <c r="AA96" i="3" s="1"/>
  <c r="AB96" i="3" s="1"/>
  <c r="AC96" i="3" s="1"/>
  <c r="AD96" i="3" s="1"/>
  <c r="AE96" i="3" s="1"/>
  <c r="AF96" i="3" s="1"/>
  <c r="F96" i="3"/>
  <c r="G96" i="3" s="1"/>
  <c r="C96" i="3"/>
  <c r="D96" i="3" s="1"/>
  <c r="E96" i="3" s="1"/>
  <c r="D95" i="3"/>
  <c r="E95" i="3" s="1"/>
  <c r="F95" i="3" s="1"/>
  <c r="G95" i="3" s="1"/>
  <c r="H95" i="3" s="1"/>
  <c r="I95" i="3" s="1"/>
  <c r="J95" i="3" s="1"/>
  <c r="K95" i="3" s="1"/>
  <c r="L95" i="3" s="1"/>
  <c r="M95" i="3" s="1"/>
  <c r="N95" i="3" s="1"/>
  <c r="O95" i="3" s="1"/>
  <c r="P95" i="3" s="1"/>
  <c r="Q95" i="3" s="1"/>
  <c r="R95" i="3" s="1"/>
  <c r="S95" i="3" s="1"/>
  <c r="T95" i="3" s="1"/>
  <c r="U95" i="3" s="1"/>
  <c r="V95" i="3" s="1"/>
  <c r="W95" i="3" s="1"/>
  <c r="X95" i="3" s="1"/>
  <c r="Y95" i="3" s="1"/>
  <c r="Z95" i="3" s="1"/>
  <c r="AA95" i="3" s="1"/>
  <c r="AB95" i="3" s="1"/>
  <c r="AC95" i="3" s="1"/>
  <c r="AD95" i="3" s="1"/>
  <c r="AE95" i="3" s="1"/>
  <c r="AF95" i="3" s="1"/>
  <c r="C95" i="3"/>
  <c r="E94" i="3"/>
  <c r="F94" i="3" s="1"/>
  <c r="G94" i="3" s="1"/>
  <c r="D94" i="3"/>
  <c r="C94" i="3"/>
  <c r="E93" i="3"/>
  <c r="F93" i="3" s="1"/>
  <c r="G93" i="3" s="1"/>
  <c r="H93" i="3" s="1"/>
  <c r="I93" i="3" s="1"/>
  <c r="J93" i="3" s="1"/>
  <c r="K93" i="3" s="1"/>
  <c r="L93" i="3" s="1"/>
  <c r="M93" i="3" s="1"/>
  <c r="N93" i="3" s="1"/>
  <c r="O93" i="3" s="1"/>
  <c r="P93" i="3" s="1"/>
  <c r="Q93" i="3" s="1"/>
  <c r="R93" i="3" s="1"/>
  <c r="S93" i="3" s="1"/>
  <c r="T93" i="3" s="1"/>
  <c r="U93" i="3" s="1"/>
  <c r="V93" i="3" s="1"/>
  <c r="W93" i="3" s="1"/>
  <c r="X93" i="3" s="1"/>
  <c r="Y93" i="3" s="1"/>
  <c r="Z93" i="3" s="1"/>
  <c r="AA93" i="3" s="1"/>
  <c r="AB93" i="3" s="1"/>
  <c r="AC93" i="3" s="1"/>
  <c r="AD93" i="3" s="1"/>
  <c r="AE93" i="3" s="1"/>
  <c r="AF93" i="3" s="1"/>
  <c r="C93" i="3"/>
  <c r="D93" i="3" s="1"/>
  <c r="D92" i="3"/>
  <c r="E92" i="3" s="1"/>
  <c r="F92" i="3" s="1"/>
  <c r="G92" i="3" s="1"/>
  <c r="H92" i="3" s="1"/>
  <c r="I92" i="3" s="1"/>
  <c r="J92" i="3" s="1"/>
  <c r="K92" i="3" s="1"/>
  <c r="L92" i="3" s="1"/>
  <c r="M92" i="3" s="1"/>
  <c r="N92" i="3" s="1"/>
  <c r="O92" i="3" s="1"/>
  <c r="P92" i="3" s="1"/>
  <c r="Q92" i="3" s="1"/>
  <c r="R92" i="3" s="1"/>
  <c r="S92" i="3" s="1"/>
  <c r="T92" i="3" s="1"/>
  <c r="U92" i="3" s="1"/>
  <c r="V92" i="3" s="1"/>
  <c r="W92" i="3" s="1"/>
  <c r="X92" i="3" s="1"/>
  <c r="Y92" i="3" s="1"/>
  <c r="Z92" i="3" s="1"/>
  <c r="AA92" i="3" s="1"/>
  <c r="AB92" i="3" s="1"/>
  <c r="AC92" i="3" s="1"/>
  <c r="AD92" i="3" s="1"/>
  <c r="AE92" i="3" s="1"/>
  <c r="AF92" i="3" s="1"/>
  <c r="C92" i="3"/>
  <c r="D91" i="3"/>
  <c r="E91" i="3" s="1"/>
  <c r="F91" i="3" s="1"/>
  <c r="G91" i="3" s="1"/>
  <c r="H91" i="3" s="1"/>
  <c r="I91" i="3" s="1"/>
  <c r="J91" i="3" s="1"/>
  <c r="K91" i="3" s="1"/>
  <c r="L91" i="3" s="1"/>
  <c r="M91" i="3" s="1"/>
  <c r="N91" i="3" s="1"/>
  <c r="O91" i="3" s="1"/>
  <c r="P91" i="3" s="1"/>
  <c r="Q91" i="3" s="1"/>
  <c r="R91" i="3" s="1"/>
  <c r="S91" i="3" s="1"/>
  <c r="T91" i="3" s="1"/>
  <c r="U91" i="3" s="1"/>
  <c r="V91" i="3" s="1"/>
  <c r="W91" i="3" s="1"/>
  <c r="X91" i="3" s="1"/>
  <c r="Y91" i="3" s="1"/>
  <c r="Z91" i="3" s="1"/>
  <c r="AA91" i="3" s="1"/>
  <c r="AB91" i="3" s="1"/>
  <c r="AC91" i="3" s="1"/>
  <c r="AD91" i="3" s="1"/>
  <c r="AE91" i="3" s="1"/>
  <c r="AF91" i="3" s="1"/>
  <c r="C91" i="3"/>
  <c r="E90" i="3"/>
  <c r="F90" i="3" s="1"/>
  <c r="G90" i="3" s="1"/>
  <c r="H90" i="3" s="1"/>
  <c r="I90" i="3" s="1"/>
  <c r="J90" i="3" s="1"/>
  <c r="K90" i="3" s="1"/>
  <c r="L90" i="3" s="1"/>
  <c r="M90" i="3" s="1"/>
  <c r="N90" i="3" s="1"/>
  <c r="O90" i="3" s="1"/>
  <c r="P90" i="3" s="1"/>
  <c r="Q90" i="3" s="1"/>
  <c r="R90" i="3" s="1"/>
  <c r="S90" i="3" s="1"/>
  <c r="T90" i="3" s="1"/>
  <c r="U90" i="3" s="1"/>
  <c r="V90" i="3" s="1"/>
  <c r="W90" i="3" s="1"/>
  <c r="X90" i="3" s="1"/>
  <c r="Y90" i="3" s="1"/>
  <c r="Z90" i="3" s="1"/>
  <c r="AA90" i="3" s="1"/>
  <c r="AB90" i="3" s="1"/>
  <c r="AC90" i="3" s="1"/>
  <c r="AD90" i="3" s="1"/>
  <c r="AE90" i="3" s="1"/>
  <c r="AF90" i="3" s="1"/>
  <c r="D90" i="3"/>
  <c r="C90" i="3"/>
  <c r="C89" i="3"/>
  <c r="AH86" i="3"/>
  <c r="AI86" i="3" s="1"/>
  <c r="AH85" i="3"/>
  <c r="AI85" i="3" s="1"/>
  <c r="AH84" i="3"/>
  <c r="AI84" i="3" s="1"/>
  <c r="AH83" i="3"/>
  <c r="AI83" i="3" s="1"/>
  <c r="C82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AI79" i="3"/>
  <c r="AH79" i="3"/>
  <c r="AI78" i="3"/>
  <c r="AH78" i="3"/>
  <c r="AI77" i="3"/>
  <c r="AH77" i="3"/>
  <c r="AI76" i="3"/>
  <c r="AH76" i="3"/>
  <c r="AI75" i="3"/>
  <c r="AH75" i="3"/>
  <c r="AI74" i="3"/>
  <c r="AH74" i="3"/>
  <c r="AI73" i="3"/>
  <c r="AH73" i="3"/>
  <c r="AI72" i="3"/>
  <c r="AH72" i="3"/>
  <c r="AG71" i="3"/>
  <c r="AI70" i="3"/>
  <c r="AH70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F67" i="3"/>
  <c r="AE67" i="3"/>
  <c r="AE71" i="3" s="1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R71" i="3" s="1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F66" i="3"/>
  <c r="AE66" i="3"/>
  <c r="AD66" i="3"/>
  <c r="AC66" i="3"/>
  <c r="AC71" i="3" s="1"/>
  <c r="AB66" i="3"/>
  <c r="AA66" i="3"/>
  <c r="Z66" i="3"/>
  <c r="Y66" i="3"/>
  <c r="Y71" i="3" s="1"/>
  <c r="X66" i="3"/>
  <c r="W66" i="3"/>
  <c r="V66" i="3"/>
  <c r="U66" i="3"/>
  <c r="T66" i="3"/>
  <c r="S66" i="3"/>
  <c r="R66" i="3"/>
  <c r="Q66" i="3"/>
  <c r="Q71" i="3" s="1"/>
  <c r="P66" i="3"/>
  <c r="O66" i="3"/>
  <c r="N66" i="3"/>
  <c r="M66" i="3"/>
  <c r="M71" i="3" s="1"/>
  <c r="L66" i="3"/>
  <c r="K66" i="3"/>
  <c r="J66" i="3"/>
  <c r="I66" i="3"/>
  <c r="H66" i="3"/>
  <c r="G66" i="3"/>
  <c r="F66" i="3"/>
  <c r="F71" i="3" s="1"/>
  <c r="E66" i="3"/>
  <c r="D66" i="3"/>
  <c r="C66" i="3"/>
  <c r="AI64" i="3"/>
  <c r="AH64" i="3"/>
  <c r="AG63" i="3"/>
  <c r="AG65" i="3" s="1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AH63" i="3"/>
  <c r="AI62" i="3"/>
  <c r="AH62" i="3"/>
  <c r="AI61" i="3"/>
  <c r="AH61" i="3"/>
  <c r="AI60" i="3"/>
  <c r="AH60" i="3"/>
  <c r="AG59" i="3"/>
  <c r="AF59" i="3"/>
  <c r="AE59" i="3"/>
  <c r="AD59" i="3"/>
  <c r="AD5" i="3" s="1"/>
  <c r="AC59" i="3"/>
  <c r="AB59" i="3"/>
  <c r="AB5" i="3" s="1"/>
  <c r="AA59" i="3"/>
  <c r="AA5" i="3" s="1"/>
  <c r="Z59" i="3"/>
  <c r="Y59" i="3"/>
  <c r="Y5" i="3" s="1"/>
  <c r="X59" i="3"/>
  <c r="W59" i="3"/>
  <c r="W5" i="3" s="1"/>
  <c r="V59" i="3"/>
  <c r="V5" i="3" s="1"/>
  <c r="U59" i="3"/>
  <c r="U5" i="3" s="1"/>
  <c r="T59" i="3"/>
  <c r="S59" i="3"/>
  <c r="S5" i="3" s="1"/>
  <c r="R59" i="3"/>
  <c r="Q59" i="3"/>
  <c r="Q5" i="3" s="1"/>
  <c r="P59" i="3"/>
  <c r="P5" i="3" s="1"/>
  <c r="O59" i="3"/>
  <c r="O5" i="3" s="1"/>
  <c r="N59" i="3"/>
  <c r="N5" i="3" s="1"/>
  <c r="M59" i="3"/>
  <c r="M5" i="3" s="1"/>
  <c r="L59" i="3"/>
  <c r="K59" i="3"/>
  <c r="K5" i="3" s="1"/>
  <c r="J59" i="3"/>
  <c r="I59" i="3"/>
  <c r="I5" i="3" s="1"/>
  <c r="H59" i="3"/>
  <c r="H5" i="3" s="1"/>
  <c r="G59" i="3"/>
  <c r="G5" i="3" s="1"/>
  <c r="F59" i="3"/>
  <c r="F5" i="3" s="1"/>
  <c r="E59" i="3"/>
  <c r="D59" i="3"/>
  <c r="D5" i="3" s="1"/>
  <c r="C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I48" i="3"/>
  <c r="AH48" i="3"/>
  <c r="AG47" i="3"/>
  <c r="AG4" i="3" s="1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AI46" i="3"/>
  <c r="AH46" i="3"/>
  <c r="AI45" i="3"/>
  <c r="AH45" i="3"/>
  <c r="AI44" i="3"/>
  <c r="AH44" i="3"/>
  <c r="AG43" i="3"/>
  <c r="C43" i="3"/>
  <c r="AG42" i="3"/>
  <c r="C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F5" i="3"/>
  <c r="AE5" i="3"/>
  <c r="AC5" i="3"/>
  <c r="Z5" i="3"/>
  <c r="X5" i="3"/>
  <c r="T5" i="3"/>
  <c r="R5" i="3"/>
  <c r="L5" i="3"/>
  <c r="J5" i="3"/>
  <c r="E5" i="3"/>
  <c r="B5" i="3"/>
  <c r="K4" i="3"/>
  <c r="C4" i="3"/>
  <c r="D4" i="3" s="1"/>
  <c r="AG3" i="3"/>
  <c r="AG2" i="3"/>
  <c r="AC84" i="2"/>
  <c r="AE84" i="2"/>
  <c r="AE50" i="2"/>
  <c r="AE49" i="2"/>
  <c r="AD50" i="2"/>
  <c r="AD49" i="2"/>
  <c r="AC50" i="2"/>
  <c r="AC49" i="2"/>
  <c r="AA84" i="2"/>
  <c r="AA49" i="2"/>
  <c r="AA50" i="2"/>
  <c r="AX193" i="5"/>
  <c r="AF7" i="5"/>
  <c r="A7" i="5" s="1"/>
  <c r="AH65" i="5"/>
  <c r="AI65" i="5"/>
  <c r="Y193" i="4"/>
  <c r="G7" i="4"/>
  <c r="D65" i="4"/>
  <c r="H179" i="4"/>
  <c r="H42" i="4" s="1"/>
  <c r="I173" i="4"/>
  <c r="F171" i="4"/>
  <c r="G89" i="4"/>
  <c r="H214" i="4"/>
  <c r="I178" i="4"/>
  <c r="H94" i="4"/>
  <c r="G82" i="4"/>
  <c r="AF71" i="3"/>
  <c r="AD71" i="3"/>
  <c r="AB71" i="3"/>
  <c r="AA71" i="3"/>
  <c r="Z71" i="3"/>
  <c r="X71" i="3"/>
  <c r="W71" i="3"/>
  <c r="V71" i="3"/>
  <c r="U71" i="3"/>
  <c r="T71" i="3"/>
  <c r="S71" i="3"/>
  <c r="P71" i="3"/>
  <c r="O71" i="3"/>
  <c r="N71" i="3"/>
  <c r="AI66" i="3"/>
  <c r="L71" i="3"/>
  <c r="AH67" i="3"/>
  <c r="K71" i="3"/>
  <c r="J71" i="3"/>
  <c r="I71" i="3"/>
  <c r="AI47" i="3"/>
  <c r="H71" i="3"/>
  <c r="G71" i="3"/>
  <c r="AH68" i="3"/>
  <c r="AH69" i="3"/>
  <c r="E71" i="3"/>
  <c r="AI59" i="3"/>
  <c r="D71" i="3"/>
  <c r="AH80" i="3"/>
  <c r="AH47" i="3"/>
  <c r="AI30" i="3"/>
  <c r="AI68" i="3"/>
  <c r="C71" i="3"/>
  <c r="AH59" i="3"/>
  <c r="C65" i="3"/>
  <c r="U193" i="3" s="1"/>
  <c r="AH30" i="3"/>
  <c r="B71" i="3"/>
  <c r="B65" i="3"/>
  <c r="G99" i="3"/>
  <c r="H99" i="3" s="1"/>
  <c r="F82" i="3"/>
  <c r="AG6" i="3"/>
  <c r="AI67" i="3"/>
  <c r="AI63" i="3"/>
  <c r="AI69" i="3"/>
  <c r="C5" i="3"/>
  <c r="E82" i="3"/>
  <c r="C171" i="3"/>
  <c r="D89" i="3"/>
  <c r="D82" i="3"/>
  <c r="H94" i="3"/>
  <c r="AH66" i="3"/>
  <c r="AI80" i="3"/>
  <c r="D179" i="3"/>
  <c r="D42" i="3" s="1"/>
  <c r="D43" i="3" s="1"/>
  <c r="D65" i="3" s="1"/>
  <c r="E173" i="3"/>
  <c r="D174" i="3"/>
  <c r="E174" i="3" s="1"/>
  <c r="F174" i="3" s="1"/>
  <c r="G174" i="3" s="1"/>
  <c r="H174" i="3" s="1"/>
  <c r="I174" i="3" s="1"/>
  <c r="J174" i="3" s="1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C214" i="3"/>
  <c r="D178" i="3"/>
  <c r="I179" i="4"/>
  <c r="I42" i="4" s="1"/>
  <c r="J173" i="4"/>
  <c r="H43" i="4"/>
  <c r="I94" i="4"/>
  <c r="H82" i="4"/>
  <c r="V193" i="4"/>
  <c r="D7" i="4"/>
  <c r="I214" i="4"/>
  <c r="J178" i="4"/>
  <c r="G171" i="4"/>
  <c r="C7" i="3"/>
  <c r="V193" i="3"/>
  <c r="D7" i="3"/>
  <c r="G82" i="3"/>
  <c r="F173" i="3"/>
  <c r="D171" i="3"/>
  <c r="E89" i="3"/>
  <c r="E178" i="3"/>
  <c r="D214" i="3"/>
  <c r="I94" i="3"/>
  <c r="H82" i="3"/>
  <c r="AI71" i="3"/>
  <c r="AH71" i="3"/>
  <c r="J94" i="4"/>
  <c r="I82" i="4"/>
  <c r="J214" i="4"/>
  <c r="K178" i="4"/>
  <c r="H171" i="4"/>
  <c r="I89" i="4"/>
  <c r="H65" i="4"/>
  <c r="J179" i="4"/>
  <c r="J42" i="4" s="1"/>
  <c r="K173" i="4"/>
  <c r="I43" i="4"/>
  <c r="I65" i="4" s="1"/>
  <c r="G173" i="3"/>
  <c r="E214" i="3"/>
  <c r="F178" i="3"/>
  <c r="T193" i="3"/>
  <c r="B7" i="3"/>
  <c r="E171" i="3"/>
  <c r="F89" i="3"/>
  <c r="I82" i="3"/>
  <c r="J94" i="3"/>
  <c r="E179" i="3"/>
  <c r="E42" i="3" s="1"/>
  <c r="Z193" i="4"/>
  <c r="H7" i="4"/>
  <c r="I171" i="4"/>
  <c r="J89" i="4"/>
  <c r="L178" i="4"/>
  <c r="K214" i="4"/>
  <c r="AA193" i="4"/>
  <c r="I7" i="4"/>
  <c r="L173" i="4"/>
  <c r="K179" i="4"/>
  <c r="K42" i="4" s="1"/>
  <c r="K43" i="4" s="1"/>
  <c r="K65" i="4" s="1"/>
  <c r="J43" i="4"/>
  <c r="K94" i="4"/>
  <c r="J82" i="4"/>
  <c r="K94" i="3"/>
  <c r="J82" i="3"/>
  <c r="F214" i="3"/>
  <c r="G178" i="3"/>
  <c r="F171" i="3"/>
  <c r="G89" i="3"/>
  <c r="E43" i="3"/>
  <c r="F179" i="3"/>
  <c r="F42" i="3" s="1"/>
  <c r="F43" i="3" s="1"/>
  <c r="F65" i="3" s="1"/>
  <c r="G179" i="3"/>
  <c r="G42" i="3" s="1"/>
  <c r="G43" i="3" s="1"/>
  <c r="G65" i="3" s="1"/>
  <c r="H173" i="3"/>
  <c r="J171" i="4"/>
  <c r="K89" i="4"/>
  <c r="J65" i="4"/>
  <c r="AC193" i="4"/>
  <c r="K7" i="4"/>
  <c r="M173" i="4"/>
  <c r="L179" i="4"/>
  <c r="L42" i="4" s="1"/>
  <c r="L94" i="4"/>
  <c r="K82" i="4"/>
  <c r="M178" i="4"/>
  <c r="L214" i="4"/>
  <c r="I173" i="3"/>
  <c r="G171" i="3"/>
  <c r="H89" i="3"/>
  <c r="H178" i="3"/>
  <c r="G214" i="3"/>
  <c r="Y193" i="3"/>
  <c r="G7" i="3"/>
  <c r="L94" i="3"/>
  <c r="K82" i="3"/>
  <c r="X193" i="3"/>
  <c r="F7" i="3"/>
  <c r="E65" i="3"/>
  <c r="L43" i="4"/>
  <c r="N173" i="4"/>
  <c r="M179" i="4"/>
  <c r="M42" i="4" s="1"/>
  <c r="M43" i="4" s="1"/>
  <c r="M65" i="4" s="1"/>
  <c r="M214" i="4"/>
  <c r="N178" i="4"/>
  <c r="L82" i="4"/>
  <c r="M94" i="4"/>
  <c r="AB193" i="4"/>
  <c r="J7" i="4"/>
  <c r="K171" i="4"/>
  <c r="L89" i="4"/>
  <c r="H171" i="3"/>
  <c r="I89" i="3"/>
  <c r="H214" i="3"/>
  <c r="I178" i="3"/>
  <c r="I179" i="3"/>
  <c r="I42" i="3" s="1"/>
  <c r="I43" i="3" s="1"/>
  <c r="I65" i="3" s="1"/>
  <c r="J173" i="3"/>
  <c r="L82" i="3"/>
  <c r="M94" i="3"/>
  <c r="W193" i="3"/>
  <c r="E7" i="3"/>
  <c r="H179" i="3"/>
  <c r="H42" i="3" s="1"/>
  <c r="H43" i="3" s="1"/>
  <c r="L171" i="4"/>
  <c r="M89" i="4"/>
  <c r="N94" i="4"/>
  <c r="M82" i="4"/>
  <c r="AE193" i="4"/>
  <c r="M7" i="4"/>
  <c r="N214" i="4"/>
  <c r="O178" i="4"/>
  <c r="O173" i="4"/>
  <c r="N179" i="4"/>
  <c r="N42" i="4" s="1"/>
  <c r="N43" i="4" s="1"/>
  <c r="N65" i="4" s="1"/>
  <c r="L65" i="4"/>
  <c r="I214" i="3"/>
  <c r="J178" i="3"/>
  <c r="N94" i="3"/>
  <c r="M82" i="3"/>
  <c r="K173" i="3"/>
  <c r="J179" i="3"/>
  <c r="J42" i="3" s="1"/>
  <c r="J43" i="3" s="1"/>
  <c r="J65" i="3" s="1"/>
  <c r="AA193" i="3"/>
  <c r="I7" i="3"/>
  <c r="I171" i="3"/>
  <c r="J89" i="3"/>
  <c r="H65" i="3"/>
  <c r="AF193" i="4"/>
  <c r="N7" i="4"/>
  <c r="M171" i="4"/>
  <c r="N89" i="4"/>
  <c r="P178" i="4"/>
  <c r="O214" i="4"/>
  <c r="AD193" i="4"/>
  <c r="L7" i="4"/>
  <c r="C188" i="4"/>
  <c r="B188" i="4"/>
  <c r="O94" i="4"/>
  <c r="N82" i="4"/>
  <c r="P173" i="4"/>
  <c r="O179" i="4"/>
  <c r="O42" i="4" s="1"/>
  <c r="O43" i="4" s="1"/>
  <c r="O65" i="4" s="1"/>
  <c r="L173" i="3"/>
  <c r="K179" i="3"/>
  <c r="K42" i="3" s="1"/>
  <c r="K43" i="3" s="1"/>
  <c r="K65" i="3" s="1"/>
  <c r="J171" i="3"/>
  <c r="K89" i="3"/>
  <c r="O94" i="3"/>
  <c r="N82" i="3"/>
  <c r="AB193" i="3"/>
  <c r="J7" i="3"/>
  <c r="Z193" i="3"/>
  <c r="H7" i="3"/>
  <c r="J214" i="3"/>
  <c r="K178" i="3"/>
  <c r="AG193" i="4"/>
  <c r="O7" i="4"/>
  <c r="P179" i="4"/>
  <c r="P42" i="4" s="1"/>
  <c r="P43" i="4" s="1"/>
  <c r="P65" i="4" s="1"/>
  <c r="Q173" i="4"/>
  <c r="P214" i="4"/>
  <c r="Q178" i="4"/>
  <c r="N171" i="4"/>
  <c r="O89" i="4"/>
  <c r="P94" i="4"/>
  <c r="O82" i="4"/>
  <c r="K6" i="4"/>
  <c r="O82" i="3"/>
  <c r="P94" i="3"/>
  <c r="K171" i="3"/>
  <c r="L89" i="3"/>
  <c r="AC193" i="3"/>
  <c r="K7" i="3"/>
  <c r="K214" i="3"/>
  <c r="L178" i="3"/>
  <c r="M173" i="3"/>
  <c r="L179" i="3"/>
  <c r="L42" i="3" s="1"/>
  <c r="L43" i="3" s="1"/>
  <c r="L65" i="3" s="1"/>
  <c r="O171" i="4"/>
  <c r="P89" i="4"/>
  <c r="Q214" i="4"/>
  <c r="R178" i="4"/>
  <c r="AH193" i="4"/>
  <c r="P7" i="4"/>
  <c r="Q179" i="4"/>
  <c r="Q42" i="4" s="1"/>
  <c r="Q43" i="4" s="1"/>
  <c r="Q65" i="4" s="1"/>
  <c r="R173" i="4"/>
  <c r="Q94" i="4"/>
  <c r="P82" i="4"/>
  <c r="L171" i="3"/>
  <c r="M89" i="3"/>
  <c r="Q94" i="3"/>
  <c r="P82" i="3"/>
  <c r="AD193" i="3"/>
  <c r="L7" i="3"/>
  <c r="N173" i="3"/>
  <c r="M178" i="3"/>
  <c r="L214" i="3"/>
  <c r="P171" i="4"/>
  <c r="Q89" i="4"/>
  <c r="R94" i="4"/>
  <c r="Q82" i="4"/>
  <c r="R179" i="4"/>
  <c r="R42" i="4" s="1"/>
  <c r="R43" i="4" s="1"/>
  <c r="R65" i="4" s="1"/>
  <c r="S173" i="4"/>
  <c r="R214" i="4"/>
  <c r="S178" i="4"/>
  <c r="AI193" i="4"/>
  <c r="Q7" i="4"/>
  <c r="M214" i="3"/>
  <c r="N178" i="3"/>
  <c r="M179" i="3"/>
  <c r="M42" i="3" s="1"/>
  <c r="M43" i="3" s="1"/>
  <c r="M65" i="3" s="1"/>
  <c r="N179" i="3"/>
  <c r="N42" i="3" s="1"/>
  <c r="N43" i="3" s="1"/>
  <c r="N65" i="3" s="1"/>
  <c r="O173" i="3"/>
  <c r="Q82" i="3"/>
  <c r="R94" i="3"/>
  <c r="M171" i="3"/>
  <c r="N89" i="3"/>
  <c r="T178" i="4"/>
  <c r="S214" i="4"/>
  <c r="T173" i="4"/>
  <c r="S179" i="4"/>
  <c r="S42" i="4" s="1"/>
  <c r="S43" i="4" s="1"/>
  <c r="S65" i="4" s="1"/>
  <c r="AJ193" i="4"/>
  <c r="R7" i="4"/>
  <c r="S94" i="4"/>
  <c r="R82" i="4"/>
  <c r="Q171" i="4"/>
  <c r="R89" i="4"/>
  <c r="S94" i="3"/>
  <c r="R82" i="3"/>
  <c r="AF193" i="3"/>
  <c r="N7" i="3"/>
  <c r="P173" i="3"/>
  <c r="AE193" i="3"/>
  <c r="M7" i="3"/>
  <c r="C188" i="3"/>
  <c r="B188" i="3"/>
  <c r="N214" i="3"/>
  <c r="O178" i="3"/>
  <c r="O179" i="3" s="1"/>
  <c r="O42" i="3" s="1"/>
  <c r="O43" i="3" s="1"/>
  <c r="O65" i="3" s="1"/>
  <c r="N171" i="3"/>
  <c r="O89" i="3"/>
  <c r="R171" i="4"/>
  <c r="S89" i="4"/>
  <c r="U178" i="4"/>
  <c r="T214" i="4"/>
  <c r="AK193" i="4"/>
  <c r="S7" i="4"/>
  <c r="T94" i="4"/>
  <c r="S82" i="4"/>
  <c r="T179" i="4"/>
  <c r="T42" i="4" s="1"/>
  <c r="T43" i="4" s="1"/>
  <c r="T65" i="4" s="1"/>
  <c r="U173" i="4"/>
  <c r="K6" i="3"/>
  <c r="AG193" i="3"/>
  <c r="O7" i="3"/>
  <c r="O171" i="3"/>
  <c r="P89" i="3"/>
  <c r="Q173" i="3"/>
  <c r="P178" i="3"/>
  <c r="O214" i="3"/>
  <c r="T94" i="3"/>
  <c r="V173" i="4"/>
  <c r="U179" i="4"/>
  <c r="U42" i="4" s="1"/>
  <c r="U43" i="4" s="1"/>
  <c r="U65" i="4" s="1"/>
  <c r="AL193" i="4"/>
  <c r="T7" i="4"/>
  <c r="U94" i="4"/>
  <c r="T82" i="4"/>
  <c r="U214" i="4"/>
  <c r="V178" i="4"/>
  <c r="S171" i="4"/>
  <c r="T89" i="4"/>
  <c r="Q178" i="3"/>
  <c r="P214" i="3"/>
  <c r="P179" i="3"/>
  <c r="P42" i="3" s="1"/>
  <c r="P43" i="3" s="1"/>
  <c r="P65" i="3" s="1"/>
  <c r="Q179" i="3"/>
  <c r="Q42" i="3" s="1"/>
  <c r="Q43" i="3" s="1"/>
  <c r="Q65" i="3" s="1"/>
  <c r="R173" i="3"/>
  <c r="P171" i="3"/>
  <c r="Q89" i="3"/>
  <c r="T82" i="3"/>
  <c r="U94" i="3"/>
  <c r="AM193" i="4"/>
  <c r="U7" i="4"/>
  <c r="V214" i="4"/>
  <c r="W178" i="4"/>
  <c r="V94" i="4"/>
  <c r="U82" i="4"/>
  <c r="T171" i="4"/>
  <c r="U89" i="4"/>
  <c r="W173" i="4"/>
  <c r="V179" i="4"/>
  <c r="V42" i="4" s="1"/>
  <c r="V43" i="4" s="1"/>
  <c r="V65" i="4" s="1"/>
  <c r="Q171" i="3"/>
  <c r="R89" i="3"/>
  <c r="AI193" i="3"/>
  <c r="Q7" i="3"/>
  <c r="S173" i="3"/>
  <c r="R179" i="3"/>
  <c r="R42" i="3" s="1"/>
  <c r="R43" i="3" s="1"/>
  <c r="R65" i="3" s="1"/>
  <c r="AH193" i="3"/>
  <c r="P7" i="3"/>
  <c r="V94" i="3"/>
  <c r="U82" i="3"/>
  <c r="Q214" i="3"/>
  <c r="R178" i="3"/>
  <c r="U171" i="4"/>
  <c r="V89" i="4"/>
  <c r="W94" i="4"/>
  <c r="V82" i="4"/>
  <c r="X178" i="4"/>
  <c r="W214" i="4"/>
  <c r="AN193" i="4"/>
  <c r="V7" i="4"/>
  <c r="X173" i="4"/>
  <c r="W179" i="4"/>
  <c r="W42" i="4" s="1"/>
  <c r="W43" i="4" s="1"/>
  <c r="W65" i="4" s="1"/>
  <c r="T173" i="3"/>
  <c r="R171" i="3"/>
  <c r="S89" i="3"/>
  <c r="AJ193" i="3"/>
  <c r="R7" i="3"/>
  <c r="R214" i="3"/>
  <c r="S178" i="3"/>
  <c r="W94" i="3"/>
  <c r="V82" i="3"/>
  <c r="AO193" i="4"/>
  <c r="W7" i="4"/>
  <c r="X214" i="4"/>
  <c r="Y178" i="4"/>
  <c r="W82" i="4"/>
  <c r="X94" i="4"/>
  <c r="V171" i="4"/>
  <c r="W89" i="4"/>
  <c r="X179" i="4"/>
  <c r="X42" i="4" s="1"/>
  <c r="X43" i="4" s="1"/>
  <c r="X65" i="4" s="1"/>
  <c r="Y173" i="4"/>
  <c r="U173" i="3"/>
  <c r="S214" i="3"/>
  <c r="T178" i="3"/>
  <c r="S171" i="3"/>
  <c r="T89" i="3"/>
  <c r="W82" i="3"/>
  <c r="X94" i="3"/>
  <c r="S179" i="3"/>
  <c r="S42" i="3" s="1"/>
  <c r="S43" i="3" s="1"/>
  <c r="S65" i="3" s="1"/>
  <c r="Y179" i="4"/>
  <c r="Y42" i="4" s="1"/>
  <c r="Y43" i="4" s="1"/>
  <c r="Y65" i="4" s="1"/>
  <c r="Z173" i="4"/>
  <c r="Y214" i="4"/>
  <c r="Z178" i="4"/>
  <c r="W171" i="4"/>
  <c r="X89" i="4"/>
  <c r="Y94" i="4"/>
  <c r="X82" i="4"/>
  <c r="AP193" i="4"/>
  <c r="X7" i="4"/>
  <c r="T171" i="3"/>
  <c r="U89" i="3"/>
  <c r="Y94" i="3"/>
  <c r="X82" i="3"/>
  <c r="V173" i="3"/>
  <c r="U179" i="3"/>
  <c r="U42" i="3" s="1"/>
  <c r="U43" i="3" s="1"/>
  <c r="U65" i="3" s="1"/>
  <c r="U178" i="3"/>
  <c r="T214" i="3"/>
  <c r="AK193" i="3"/>
  <c r="S7" i="3"/>
  <c r="T179" i="3"/>
  <c r="T42" i="3" s="1"/>
  <c r="T43" i="3" s="1"/>
  <c r="T65" i="3" s="1"/>
  <c r="Z94" i="4"/>
  <c r="Y82" i="4"/>
  <c r="X171" i="4"/>
  <c r="Y89" i="4"/>
  <c r="Z214" i="4"/>
  <c r="AA178" i="4"/>
  <c r="AQ193" i="4"/>
  <c r="Y7" i="4"/>
  <c r="Z179" i="4"/>
  <c r="Z43" i="4" s="1"/>
  <c r="Z65" i="4" s="1"/>
  <c r="AA173" i="4"/>
  <c r="AM193" i="3"/>
  <c r="U7" i="3"/>
  <c r="W173" i="3"/>
  <c r="U214" i="3"/>
  <c r="V178" i="3"/>
  <c r="V179" i="3" s="1"/>
  <c r="V42" i="3" s="1"/>
  <c r="V43" i="3" s="1"/>
  <c r="V65" i="3" s="1"/>
  <c r="U171" i="3"/>
  <c r="V89" i="3"/>
  <c r="AL193" i="3"/>
  <c r="T7" i="3"/>
  <c r="Y82" i="3"/>
  <c r="Z94" i="3"/>
  <c r="AR193" i="4"/>
  <c r="Z7" i="4"/>
  <c r="AB178" i="4"/>
  <c r="AA214" i="4"/>
  <c r="Y171" i="4"/>
  <c r="Z89" i="4"/>
  <c r="AA94" i="4"/>
  <c r="Z82" i="4"/>
  <c r="AB173" i="4"/>
  <c r="AA179" i="4"/>
  <c r="AA42" i="4" s="1"/>
  <c r="AA43" i="4" s="1"/>
  <c r="AA65" i="4" s="1"/>
  <c r="AN193" i="3"/>
  <c r="V7" i="3"/>
  <c r="V171" i="3"/>
  <c r="W89" i="3"/>
  <c r="AA94" i="3"/>
  <c r="Z82" i="3"/>
  <c r="V214" i="3"/>
  <c r="W178" i="3"/>
  <c r="X173" i="3"/>
  <c r="AS193" i="4"/>
  <c r="AA7" i="4"/>
  <c r="AB94" i="4"/>
  <c r="AA82" i="4"/>
  <c r="Z171" i="4"/>
  <c r="AA89" i="4"/>
  <c r="AC178" i="4"/>
  <c r="AB214" i="4"/>
  <c r="AC173" i="4"/>
  <c r="AB179" i="4"/>
  <c r="AB42" i="4" s="1"/>
  <c r="AB43" i="4" s="1"/>
  <c r="AB65" i="4" s="1"/>
  <c r="X178" i="3"/>
  <c r="W214" i="3"/>
  <c r="AA82" i="3"/>
  <c r="AB94" i="3"/>
  <c r="W171" i="3"/>
  <c r="X89" i="3"/>
  <c r="Y173" i="3"/>
  <c r="X179" i="3"/>
  <c r="X42" i="3" s="1"/>
  <c r="X43" i="3" s="1"/>
  <c r="X65" i="3" s="1"/>
  <c r="W179" i="3"/>
  <c r="W42" i="3" s="1"/>
  <c r="W43" i="3" s="1"/>
  <c r="W65" i="3" s="1"/>
  <c r="AT193" i="4"/>
  <c r="AB7" i="4"/>
  <c r="AC214" i="4"/>
  <c r="AD178" i="4"/>
  <c r="AA171" i="4"/>
  <c r="AB89" i="4"/>
  <c r="AC94" i="4"/>
  <c r="AB82" i="4"/>
  <c r="AD173" i="4"/>
  <c r="AC179" i="4"/>
  <c r="AC42" i="4" s="1"/>
  <c r="AC43" i="4" s="1"/>
  <c r="AC65" i="4" s="1"/>
  <c r="AP193" i="3"/>
  <c r="X7" i="3"/>
  <c r="Z173" i="3"/>
  <c r="X171" i="3"/>
  <c r="Y89" i="3"/>
  <c r="AB82" i="3"/>
  <c r="AC94" i="3"/>
  <c r="AO193" i="3"/>
  <c r="W7" i="3"/>
  <c r="X214" i="3"/>
  <c r="Y178" i="3"/>
  <c r="AU193" i="4"/>
  <c r="AC7" i="4"/>
  <c r="AE173" i="4"/>
  <c r="AD179" i="4"/>
  <c r="AD42" i="4" s="1"/>
  <c r="AD43" i="4" s="1"/>
  <c r="AD65" i="4" s="1"/>
  <c r="AD214" i="4"/>
  <c r="AE178" i="4"/>
  <c r="AD94" i="4"/>
  <c r="AC82" i="4"/>
  <c r="AB171" i="4"/>
  <c r="AC89" i="4"/>
  <c r="Y214" i="3"/>
  <c r="Z178" i="3"/>
  <c r="AA173" i="3"/>
  <c r="Z179" i="3"/>
  <c r="Z42" i="3" s="1"/>
  <c r="Z43" i="3" s="1"/>
  <c r="Z65" i="3" s="1"/>
  <c r="Y179" i="3"/>
  <c r="Y42" i="3" s="1"/>
  <c r="Y43" i="3" s="1"/>
  <c r="Y65" i="3" s="1"/>
  <c r="AD94" i="3"/>
  <c r="AC82" i="3"/>
  <c r="Y171" i="3"/>
  <c r="Z89" i="3"/>
  <c r="AV193" i="4"/>
  <c r="AD7" i="4"/>
  <c r="AE94" i="4"/>
  <c r="AD82" i="4"/>
  <c r="AE214" i="4"/>
  <c r="AF178" i="4"/>
  <c r="AF214" i="4" s="1"/>
  <c r="AF173" i="4"/>
  <c r="AF179" i="4" s="1"/>
  <c r="AF42" i="4" s="1"/>
  <c r="AE179" i="4"/>
  <c r="AE42" i="4" s="1"/>
  <c r="AE43" i="4" s="1"/>
  <c r="AE65" i="4" s="1"/>
  <c r="AC171" i="4"/>
  <c r="AD89" i="4"/>
  <c r="AR193" i="3"/>
  <c r="Z7" i="3"/>
  <c r="AB173" i="3"/>
  <c r="AE94" i="3"/>
  <c r="AD82" i="3"/>
  <c r="Z214" i="3"/>
  <c r="AA178" i="3"/>
  <c r="AQ193" i="3"/>
  <c r="Y7" i="3"/>
  <c r="Z171" i="3"/>
  <c r="AA89" i="3"/>
  <c r="AW193" i="4"/>
  <c r="AE7" i="4"/>
  <c r="AF43" i="4"/>
  <c r="AH42" i="4"/>
  <c r="AI42" i="4"/>
  <c r="AE82" i="4"/>
  <c r="AF94" i="4"/>
  <c r="AF82" i="4" s="1"/>
  <c r="AD171" i="4"/>
  <c r="AE89" i="4"/>
  <c r="AA214" i="3"/>
  <c r="AB178" i="3"/>
  <c r="AE82" i="3"/>
  <c r="AF94" i="3"/>
  <c r="AF82" i="3" s="1"/>
  <c r="AA171" i="3"/>
  <c r="AB89" i="3"/>
  <c r="AA179" i="3"/>
  <c r="AA42" i="3" s="1"/>
  <c r="AA43" i="3" s="1"/>
  <c r="AA65" i="3" s="1"/>
  <c r="AB179" i="3"/>
  <c r="AB42" i="3" s="1"/>
  <c r="AB43" i="3" s="1"/>
  <c r="AB65" i="3" s="1"/>
  <c r="AC173" i="3"/>
  <c r="AE171" i="4"/>
  <c r="AF89" i="4"/>
  <c r="AF171" i="4" s="1"/>
  <c r="AI82" i="4"/>
  <c r="AH82" i="4"/>
  <c r="AF65" i="4"/>
  <c r="AI43" i="4"/>
  <c r="AH43" i="4"/>
  <c r="AS193" i="3"/>
  <c r="AA7" i="3"/>
  <c r="AB171" i="3"/>
  <c r="AC89" i="3"/>
  <c r="AT193" i="3"/>
  <c r="AB7" i="3"/>
  <c r="AI82" i="3"/>
  <c r="AH82" i="3"/>
  <c r="AC178" i="3"/>
  <c r="AB214" i="3"/>
  <c r="AD173" i="3"/>
  <c r="AC179" i="3"/>
  <c r="AC42" i="3" s="1"/>
  <c r="AC43" i="3" s="1"/>
  <c r="AC65" i="3" s="1"/>
  <c r="AX193" i="4"/>
  <c r="AF7" i="4"/>
  <c r="A7" i="4" s="1"/>
  <c r="AI65" i="4"/>
  <c r="AH65" i="4"/>
  <c r="AU193" i="3"/>
  <c r="AC7" i="3"/>
  <c r="AC171" i="3"/>
  <c r="AD89" i="3"/>
  <c r="AE173" i="3"/>
  <c r="AC214" i="3"/>
  <c r="AD178" i="3"/>
  <c r="AD179" i="3" s="1"/>
  <c r="AD42" i="3" s="1"/>
  <c r="AD43" i="3" s="1"/>
  <c r="AD65" i="3" s="1"/>
  <c r="AV193" i="3"/>
  <c r="AD7" i="3"/>
  <c r="AD214" i="3"/>
  <c r="AE178" i="3"/>
  <c r="AE179" i="3"/>
  <c r="AE42" i="3" s="1"/>
  <c r="AE43" i="3" s="1"/>
  <c r="AE65" i="3" s="1"/>
  <c r="AF173" i="3"/>
  <c r="AD171" i="3"/>
  <c r="AE89" i="3"/>
  <c r="AW193" i="3"/>
  <c r="AE7" i="3"/>
  <c r="AE171" i="3"/>
  <c r="AF89" i="3"/>
  <c r="AF171" i="3" s="1"/>
  <c r="AE214" i="3"/>
  <c r="AF178" i="3"/>
  <c r="AF214" i="3" s="1"/>
  <c r="AF179" i="3"/>
  <c r="AF42" i="3" s="1"/>
  <c r="AF43" i="3"/>
  <c r="AH42" i="3"/>
  <c r="AI42" i="3"/>
  <c r="AF65" i="3"/>
  <c r="AI43" i="3"/>
  <c r="AH43" i="3"/>
  <c r="AX193" i="3"/>
  <c r="AF7" i="3"/>
  <c r="A7" i="3" s="1"/>
  <c r="AI65" i="3"/>
  <c r="AH65" i="3"/>
  <c r="AH87" i="2"/>
  <c r="AI87" i="2" s="1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B214" i="2"/>
  <c r="S189" i="2"/>
  <c r="AG179" i="2"/>
  <c r="B179" i="2"/>
  <c r="C178" i="2"/>
  <c r="C177" i="2"/>
  <c r="D177" i="2" s="1"/>
  <c r="E177" i="2" s="1"/>
  <c r="F177" i="2" s="1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D176" i="2"/>
  <c r="E176" i="2" s="1"/>
  <c r="F176" i="2" s="1"/>
  <c r="G176" i="2" s="1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C176" i="2"/>
  <c r="C175" i="2"/>
  <c r="D175" i="2" s="1"/>
  <c r="E175" i="2" s="1"/>
  <c r="F175" i="2" s="1"/>
  <c r="G175" i="2" s="1"/>
  <c r="H175" i="2" s="1"/>
  <c r="I175" i="2" s="1"/>
  <c r="J175" i="2" s="1"/>
  <c r="K175" i="2" s="1"/>
  <c r="L175" i="2" s="1"/>
  <c r="M175" i="2" s="1"/>
  <c r="N175" i="2" s="1"/>
  <c r="O175" i="2" s="1"/>
  <c r="P175" i="2" s="1"/>
  <c r="Q175" i="2" s="1"/>
  <c r="R175" i="2" s="1"/>
  <c r="S175" i="2" s="1"/>
  <c r="T175" i="2" s="1"/>
  <c r="U175" i="2" s="1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C174" i="2"/>
  <c r="D174" i="2" s="1"/>
  <c r="E174" i="2" s="1"/>
  <c r="F174" i="2" s="1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C173" i="2"/>
  <c r="AG171" i="2"/>
  <c r="B171" i="2"/>
  <c r="C170" i="2"/>
  <c r="D170" i="2" s="1"/>
  <c r="E170" i="2" s="1"/>
  <c r="F170" i="2" s="1"/>
  <c r="G170" i="2" s="1"/>
  <c r="H170" i="2" s="1"/>
  <c r="I170" i="2" s="1"/>
  <c r="J170" i="2" s="1"/>
  <c r="K170" i="2" s="1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D169" i="2"/>
  <c r="E169" i="2" s="1"/>
  <c r="F169" i="2" s="1"/>
  <c r="G169" i="2" s="1"/>
  <c r="H169" i="2" s="1"/>
  <c r="I169" i="2" s="1"/>
  <c r="J169" i="2" s="1"/>
  <c r="K169" i="2" s="1"/>
  <c r="L169" i="2" s="1"/>
  <c r="M169" i="2" s="1"/>
  <c r="N169" i="2" s="1"/>
  <c r="O169" i="2" s="1"/>
  <c r="P169" i="2" s="1"/>
  <c r="Q169" i="2" s="1"/>
  <c r="R169" i="2" s="1"/>
  <c r="S169" i="2" s="1"/>
  <c r="T169" i="2" s="1"/>
  <c r="U169" i="2" s="1"/>
  <c r="V169" i="2" s="1"/>
  <c r="W169" i="2" s="1"/>
  <c r="X169" i="2" s="1"/>
  <c r="Y169" i="2" s="1"/>
  <c r="Z169" i="2" s="1"/>
  <c r="AA169" i="2" s="1"/>
  <c r="AB169" i="2" s="1"/>
  <c r="AC169" i="2" s="1"/>
  <c r="AD169" i="2" s="1"/>
  <c r="AE169" i="2" s="1"/>
  <c r="AF169" i="2" s="1"/>
  <c r="C169" i="2"/>
  <c r="J168" i="2"/>
  <c r="K168" i="2" s="1"/>
  <c r="L168" i="2" s="1"/>
  <c r="M168" i="2" s="1"/>
  <c r="N168" i="2" s="1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C168" i="2"/>
  <c r="D168" i="2" s="1"/>
  <c r="E168" i="2" s="1"/>
  <c r="F168" i="2" s="1"/>
  <c r="G168" i="2" s="1"/>
  <c r="H168" i="2" s="1"/>
  <c r="I168" i="2" s="1"/>
  <c r="C167" i="2"/>
  <c r="D167" i="2" s="1"/>
  <c r="E167" i="2" s="1"/>
  <c r="F167" i="2" s="1"/>
  <c r="G167" i="2" s="1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D166" i="2"/>
  <c r="E166" i="2" s="1"/>
  <c r="F166" i="2" s="1"/>
  <c r="G166" i="2" s="1"/>
  <c r="H166" i="2" s="1"/>
  <c r="I166" i="2" s="1"/>
  <c r="J166" i="2" s="1"/>
  <c r="K166" i="2" s="1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C166" i="2"/>
  <c r="D165" i="2"/>
  <c r="E165" i="2" s="1"/>
  <c r="F165" i="2" s="1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C165" i="2"/>
  <c r="C164" i="2"/>
  <c r="D164" i="2" s="1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C163" i="2"/>
  <c r="D163" i="2" s="1"/>
  <c r="E163" i="2" s="1"/>
  <c r="F163" i="2" s="1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D162" i="2"/>
  <c r="E162" i="2" s="1"/>
  <c r="F162" i="2" s="1"/>
  <c r="G162" i="2" s="1"/>
  <c r="H162" i="2" s="1"/>
  <c r="I162" i="2" s="1"/>
  <c r="J162" i="2" s="1"/>
  <c r="K162" i="2" s="1"/>
  <c r="L162" i="2" s="1"/>
  <c r="M162" i="2" s="1"/>
  <c r="N162" i="2" s="1"/>
  <c r="O162" i="2" s="1"/>
  <c r="P162" i="2" s="1"/>
  <c r="Q162" i="2" s="1"/>
  <c r="R162" i="2" s="1"/>
  <c r="S162" i="2" s="1"/>
  <c r="T162" i="2" s="1"/>
  <c r="U162" i="2" s="1"/>
  <c r="V162" i="2" s="1"/>
  <c r="W162" i="2" s="1"/>
  <c r="X162" i="2" s="1"/>
  <c r="Y162" i="2" s="1"/>
  <c r="Z162" i="2" s="1"/>
  <c r="AA162" i="2" s="1"/>
  <c r="AB162" i="2" s="1"/>
  <c r="AC162" i="2" s="1"/>
  <c r="AD162" i="2" s="1"/>
  <c r="AE162" i="2" s="1"/>
  <c r="AF162" i="2" s="1"/>
  <c r="C162" i="2"/>
  <c r="C161" i="2"/>
  <c r="D161" i="2" s="1"/>
  <c r="E161" i="2" s="1"/>
  <c r="F161" i="2" s="1"/>
  <c r="G161" i="2" s="1"/>
  <c r="H161" i="2" s="1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E161" i="2" s="1"/>
  <c r="AF161" i="2" s="1"/>
  <c r="C160" i="2"/>
  <c r="D160" i="2" s="1"/>
  <c r="E160" i="2" s="1"/>
  <c r="F160" i="2" s="1"/>
  <c r="G160" i="2" s="1"/>
  <c r="H160" i="2" s="1"/>
  <c r="I160" i="2" s="1"/>
  <c r="J160" i="2" s="1"/>
  <c r="K160" i="2" s="1"/>
  <c r="L160" i="2" s="1"/>
  <c r="M160" i="2" s="1"/>
  <c r="N160" i="2" s="1"/>
  <c r="O160" i="2" s="1"/>
  <c r="P160" i="2" s="1"/>
  <c r="Q160" i="2" s="1"/>
  <c r="R160" i="2" s="1"/>
  <c r="S160" i="2" s="1"/>
  <c r="T160" i="2" s="1"/>
  <c r="U160" i="2" s="1"/>
  <c r="V160" i="2" s="1"/>
  <c r="W160" i="2" s="1"/>
  <c r="X160" i="2" s="1"/>
  <c r="Y160" i="2" s="1"/>
  <c r="Z160" i="2" s="1"/>
  <c r="AA160" i="2" s="1"/>
  <c r="AB160" i="2" s="1"/>
  <c r="AC160" i="2" s="1"/>
  <c r="AD160" i="2" s="1"/>
  <c r="AE160" i="2" s="1"/>
  <c r="AF160" i="2" s="1"/>
  <c r="D159" i="2"/>
  <c r="E159" i="2" s="1"/>
  <c r="F159" i="2" s="1"/>
  <c r="G159" i="2" s="1"/>
  <c r="H159" i="2" s="1"/>
  <c r="I159" i="2" s="1"/>
  <c r="J159" i="2" s="1"/>
  <c r="K159" i="2" s="1"/>
  <c r="L159" i="2" s="1"/>
  <c r="M159" i="2" s="1"/>
  <c r="N159" i="2" s="1"/>
  <c r="O159" i="2" s="1"/>
  <c r="P159" i="2" s="1"/>
  <c r="Q159" i="2" s="1"/>
  <c r="R159" i="2" s="1"/>
  <c r="S159" i="2" s="1"/>
  <c r="T159" i="2" s="1"/>
  <c r="U159" i="2" s="1"/>
  <c r="V159" i="2" s="1"/>
  <c r="W159" i="2" s="1"/>
  <c r="X159" i="2" s="1"/>
  <c r="Y159" i="2" s="1"/>
  <c r="Z159" i="2" s="1"/>
  <c r="AA159" i="2" s="1"/>
  <c r="AB159" i="2" s="1"/>
  <c r="AC159" i="2" s="1"/>
  <c r="AD159" i="2" s="1"/>
  <c r="AE159" i="2" s="1"/>
  <c r="AF159" i="2" s="1"/>
  <c r="C159" i="2"/>
  <c r="C158" i="2"/>
  <c r="D158" i="2" s="1"/>
  <c r="E158" i="2" s="1"/>
  <c r="F158" i="2" s="1"/>
  <c r="G158" i="2" s="1"/>
  <c r="H158" i="2" s="1"/>
  <c r="I158" i="2" s="1"/>
  <c r="J158" i="2" s="1"/>
  <c r="K158" i="2" s="1"/>
  <c r="L158" i="2" s="1"/>
  <c r="M158" i="2" s="1"/>
  <c r="N158" i="2" s="1"/>
  <c r="O158" i="2" s="1"/>
  <c r="P158" i="2" s="1"/>
  <c r="Q158" i="2" s="1"/>
  <c r="R158" i="2" s="1"/>
  <c r="S158" i="2" s="1"/>
  <c r="T158" i="2" s="1"/>
  <c r="U158" i="2" s="1"/>
  <c r="V158" i="2" s="1"/>
  <c r="W158" i="2" s="1"/>
  <c r="X158" i="2" s="1"/>
  <c r="Y158" i="2" s="1"/>
  <c r="Z158" i="2" s="1"/>
  <c r="AA158" i="2" s="1"/>
  <c r="AB158" i="2" s="1"/>
  <c r="AC158" i="2" s="1"/>
  <c r="AD158" i="2" s="1"/>
  <c r="AE158" i="2" s="1"/>
  <c r="AF158" i="2" s="1"/>
  <c r="C157" i="2"/>
  <c r="D157" i="2" s="1"/>
  <c r="E157" i="2" s="1"/>
  <c r="F157" i="2" s="1"/>
  <c r="G157" i="2" s="1"/>
  <c r="H157" i="2" s="1"/>
  <c r="I157" i="2" s="1"/>
  <c r="J157" i="2" s="1"/>
  <c r="K157" i="2" s="1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D156" i="2"/>
  <c r="E156" i="2" s="1"/>
  <c r="F156" i="2" s="1"/>
  <c r="G156" i="2" s="1"/>
  <c r="H156" i="2" s="1"/>
  <c r="I156" i="2" s="1"/>
  <c r="J156" i="2" s="1"/>
  <c r="K156" i="2" s="1"/>
  <c r="L156" i="2" s="1"/>
  <c r="M156" i="2" s="1"/>
  <c r="N156" i="2" s="1"/>
  <c r="O156" i="2" s="1"/>
  <c r="P156" i="2" s="1"/>
  <c r="Q156" i="2" s="1"/>
  <c r="R156" i="2" s="1"/>
  <c r="S156" i="2" s="1"/>
  <c r="T156" i="2" s="1"/>
  <c r="U156" i="2" s="1"/>
  <c r="V156" i="2" s="1"/>
  <c r="W156" i="2" s="1"/>
  <c r="X156" i="2" s="1"/>
  <c r="Y156" i="2" s="1"/>
  <c r="Z156" i="2" s="1"/>
  <c r="AA156" i="2" s="1"/>
  <c r="AB156" i="2" s="1"/>
  <c r="AC156" i="2" s="1"/>
  <c r="AD156" i="2" s="1"/>
  <c r="AE156" i="2" s="1"/>
  <c r="AF156" i="2" s="1"/>
  <c r="C156" i="2"/>
  <c r="D155" i="2"/>
  <c r="E155" i="2" s="1"/>
  <c r="F155" i="2" s="1"/>
  <c r="G155" i="2" s="1"/>
  <c r="H155" i="2" s="1"/>
  <c r="I155" i="2" s="1"/>
  <c r="J155" i="2" s="1"/>
  <c r="K155" i="2" s="1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V155" i="2" s="1"/>
  <c r="W155" i="2" s="1"/>
  <c r="X155" i="2" s="1"/>
  <c r="Y155" i="2" s="1"/>
  <c r="Z155" i="2" s="1"/>
  <c r="AA155" i="2" s="1"/>
  <c r="AB155" i="2" s="1"/>
  <c r="AC155" i="2" s="1"/>
  <c r="AD155" i="2" s="1"/>
  <c r="AE155" i="2" s="1"/>
  <c r="AF155" i="2" s="1"/>
  <c r="C155" i="2"/>
  <c r="C154" i="2"/>
  <c r="D154" i="2" s="1"/>
  <c r="E154" i="2" s="1"/>
  <c r="F154" i="2" s="1"/>
  <c r="G154" i="2" s="1"/>
  <c r="H154" i="2" s="1"/>
  <c r="I154" i="2" s="1"/>
  <c r="J154" i="2" s="1"/>
  <c r="K154" i="2" s="1"/>
  <c r="L154" i="2" s="1"/>
  <c r="M154" i="2" s="1"/>
  <c r="N154" i="2" s="1"/>
  <c r="O154" i="2" s="1"/>
  <c r="P154" i="2" s="1"/>
  <c r="Q154" i="2" s="1"/>
  <c r="R154" i="2" s="1"/>
  <c r="S154" i="2" s="1"/>
  <c r="T154" i="2" s="1"/>
  <c r="U154" i="2" s="1"/>
  <c r="V154" i="2" s="1"/>
  <c r="W154" i="2" s="1"/>
  <c r="X154" i="2" s="1"/>
  <c r="Y154" i="2" s="1"/>
  <c r="Z154" i="2" s="1"/>
  <c r="AA154" i="2" s="1"/>
  <c r="AB154" i="2" s="1"/>
  <c r="AC154" i="2" s="1"/>
  <c r="AD154" i="2" s="1"/>
  <c r="AE154" i="2" s="1"/>
  <c r="AF154" i="2" s="1"/>
  <c r="C153" i="2"/>
  <c r="D153" i="2" s="1"/>
  <c r="E153" i="2" s="1"/>
  <c r="F153" i="2" s="1"/>
  <c r="G153" i="2" s="1"/>
  <c r="H153" i="2" s="1"/>
  <c r="I153" i="2" s="1"/>
  <c r="J153" i="2" s="1"/>
  <c r="K153" i="2" s="1"/>
  <c r="L153" i="2" s="1"/>
  <c r="M153" i="2" s="1"/>
  <c r="N153" i="2" s="1"/>
  <c r="O153" i="2" s="1"/>
  <c r="P153" i="2" s="1"/>
  <c r="Q153" i="2" s="1"/>
  <c r="R153" i="2" s="1"/>
  <c r="S153" i="2" s="1"/>
  <c r="T153" i="2" s="1"/>
  <c r="U153" i="2" s="1"/>
  <c r="V153" i="2" s="1"/>
  <c r="W153" i="2" s="1"/>
  <c r="X153" i="2" s="1"/>
  <c r="Y153" i="2" s="1"/>
  <c r="Z153" i="2" s="1"/>
  <c r="AA153" i="2" s="1"/>
  <c r="AB153" i="2" s="1"/>
  <c r="AC153" i="2" s="1"/>
  <c r="AD153" i="2" s="1"/>
  <c r="AE153" i="2" s="1"/>
  <c r="AF153" i="2" s="1"/>
  <c r="C152" i="2"/>
  <c r="D152" i="2" s="1"/>
  <c r="E152" i="2" s="1"/>
  <c r="F152" i="2" s="1"/>
  <c r="G152" i="2" s="1"/>
  <c r="H152" i="2" s="1"/>
  <c r="I152" i="2" s="1"/>
  <c r="J152" i="2" s="1"/>
  <c r="K152" i="2" s="1"/>
  <c r="L152" i="2" s="1"/>
  <c r="M152" i="2" s="1"/>
  <c r="N152" i="2" s="1"/>
  <c r="O152" i="2" s="1"/>
  <c r="P152" i="2" s="1"/>
  <c r="Q152" i="2" s="1"/>
  <c r="R152" i="2" s="1"/>
  <c r="S152" i="2" s="1"/>
  <c r="T152" i="2" s="1"/>
  <c r="U152" i="2" s="1"/>
  <c r="V152" i="2" s="1"/>
  <c r="W152" i="2" s="1"/>
  <c r="X152" i="2" s="1"/>
  <c r="Y152" i="2" s="1"/>
  <c r="Z152" i="2" s="1"/>
  <c r="AA152" i="2" s="1"/>
  <c r="AB152" i="2" s="1"/>
  <c r="AC152" i="2" s="1"/>
  <c r="AD152" i="2" s="1"/>
  <c r="AE152" i="2" s="1"/>
  <c r="AF152" i="2" s="1"/>
  <c r="D151" i="2"/>
  <c r="E151" i="2" s="1"/>
  <c r="F151" i="2" s="1"/>
  <c r="G151" i="2" s="1"/>
  <c r="H151" i="2" s="1"/>
  <c r="I151" i="2" s="1"/>
  <c r="J151" i="2" s="1"/>
  <c r="K151" i="2" s="1"/>
  <c r="L151" i="2" s="1"/>
  <c r="M151" i="2" s="1"/>
  <c r="N151" i="2" s="1"/>
  <c r="O151" i="2" s="1"/>
  <c r="P151" i="2" s="1"/>
  <c r="Q151" i="2" s="1"/>
  <c r="R151" i="2" s="1"/>
  <c r="S151" i="2" s="1"/>
  <c r="T151" i="2" s="1"/>
  <c r="U151" i="2" s="1"/>
  <c r="V151" i="2" s="1"/>
  <c r="W151" i="2" s="1"/>
  <c r="X151" i="2" s="1"/>
  <c r="Y151" i="2" s="1"/>
  <c r="Z151" i="2" s="1"/>
  <c r="AA151" i="2" s="1"/>
  <c r="AB151" i="2" s="1"/>
  <c r="AC151" i="2" s="1"/>
  <c r="AD151" i="2" s="1"/>
  <c r="AE151" i="2" s="1"/>
  <c r="AF151" i="2" s="1"/>
  <c r="C151" i="2"/>
  <c r="F150" i="2"/>
  <c r="G150" i="2" s="1"/>
  <c r="H150" i="2" s="1"/>
  <c r="I150" i="2" s="1"/>
  <c r="J150" i="2" s="1"/>
  <c r="K150" i="2" s="1"/>
  <c r="L150" i="2" s="1"/>
  <c r="M150" i="2" s="1"/>
  <c r="N150" i="2" s="1"/>
  <c r="O150" i="2" s="1"/>
  <c r="P150" i="2" s="1"/>
  <c r="Q150" i="2" s="1"/>
  <c r="R150" i="2" s="1"/>
  <c r="S150" i="2" s="1"/>
  <c r="T150" i="2" s="1"/>
  <c r="U150" i="2" s="1"/>
  <c r="V150" i="2" s="1"/>
  <c r="W150" i="2" s="1"/>
  <c r="X150" i="2" s="1"/>
  <c r="Y150" i="2" s="1"/>
  <c r="Z150" i="2" s="1"/>
  <c r="AA150" i="2" s="1"/>
  <c r="AB150" i="2" s="1"/>
  <c r="AC150" i="2" s="1"/>
  <c r="AD150" i="2" s="1"/>
  <c r="AE150" i="2" s="1"/>
  <c r="AF150" i="2" s="1"/>
  <c r="C150" i="2"/>
  <c r="D150" i="2" s="1"/>
  <c r="E150" i="2" s="1"/>
  <c r="D149" i="2"/>
  <c r="E149" i="2" s="1"/>
  <c r="F149" i="2" s="1"/>
  <c r="G149" i="2" s="1"/>
  <c r="H149" i="2" s="1"/>
  <c r="I149" i="2" s="1"/>
  <c r="J149" i="2" s="1"/>
  <c r="K149" i="2" s="1"/>
  <c r="L149" i="2" s="1"/>
  <c r="M149" i="2" s="1"/>
  <c r="N149" i="2" s="1"/>
  <c r="O149" i="2" s="1"/>
  <c r="P149" i="2" s="1"/>
  <c r="Q149" i="2" s="1"/>
  <c r="R149" i="2" s="1"/>
  <c r="S149" i="2" s="1"/>
  <c r="T149" i="2" s="1"/>
  <c r="U149" i="2" s="1"/>
  <c r="V149" i="2" s="1"/>
  <c r="W149" i="2" s="1"/>
  <c r="X149" i="2" s="1"/>
  <c r="Y149" i="2" s="1"/>
  <c r="Z149" i="2" s="1"/>
  <c r="AA149" i="2" s="1"/>
  <c r="AB149" i="2" s="1"/>
  <c r="AC149" i="2" s="1"/>
  <c r="AD149" i="2" s="1"/>
  <c r="AE149" i="2" s="1"/>
  <c r="AF149" i="2" s="1"/>
  <c r="C149" i="2"/>
  <c r="D148" i="2"/>
  <c r="E148" i="2" s="1"/>
  <c r="F148" i="2" s="1"/>
  <c r="G148" i="2" s="1"/>
  <c r="H148" i="2" s="1"/>
  <c r="I148" i="2" s="1"/>
  <c r="J148" i="2" s="1"/>
  <c r="K148" i="2" s="1"/>
  <c r="L148" i="2" s="1"/>
  <c r="M148" i="2" s="1"/>
  <c r="N148" i="2" s="1"/>
  <c r="O148" i="2" s="1"/>
  <c r="P148" i="2" s="1"/>
  <c r="Q148" i="2" s="1"/>
  <c r="R148" i="2" s="1"/>
  <c r="S148" i="2" s="1"/>
  <c r="T148" i="2" s="1"/>
  <c r="U148" i="2" s="1"/>
  <c r="V148" i="2" s="1"/>
  <c r="W148" i="2" s="1"/>
  <c r="X148" i="2" s="1"/>
  <c r="Y148" i="2" s="1"/>
  <c r="Z148" i="2" s="1"/>
  <c r="AA148" i="2" s="1"/>
  <c r="AB148" i="2" s="1"/>
  <c r="AC148" i="2" s="1"/>
  <c r="AD148" i="2" s="1"/>
  <c r="AE148" i="2" s="1"/>
  <c r="AF148" i="2" s="1"/>
  <c r="C148" i="2"/>
  <c r="Y147" i="2"/>
  <c r="Z147" i="2" s="1"/>
  <c r="AA147" i="2" s="1"/>
  <c r="AB147" i="2" s="1"/>
  <c r="AC147" i="2" s="1"/>
  <c r="AD147" i="2" s="1"/>
  <c r="AE147" i="2" s="1"/>
  <c r="AF147" i="2" s="1"/>
  <c r="C147" i="2"/>
  <c r="D147" i="2" s="1"/>
  <c r="E147" i="2" s="1"/>
  <c r="F147" i="2" s="1"/>
  <c r="G147" i="2" s="1"/>
  <c r="H147" i="2" s="1"/>
  <c r="I147" i="2" s="1"/>
  <c r="J147" i="2" s="1"/>
  <c r="K147" i="2" s="1"/>
  <c r="L147" i="2" s="1"/>
  <c r="M147" i="2" s="1"/>
  <c r="N147" i="2" s="1"/>
  <c r="O147" i="2" s="1"/>
  <c r="P147" i="2" s="1"/>
  <c r="Q147" i="2" s="1"/>
  <c r="R147" i="2" s="1"/>
  <c r="S147" i="2" s="1"/>
  <c r="T147" i="2" s="1"/>
  <c r="U147" i="2" s="1"/>
  <c r="V147" i="2" s="1"/>
  <c r="W147" i="2" s="1"/>
  <c r="X147" i="2" s="1"/>
  <c r="D146" i="2"/>
  <c r="E146" i="2" s="1"/>
  <c r="F146" i="2" s="1"/>
  <c r="G146" i="2" s="1"/>
  <c r="H146" i="2" s="1"/>
  <c r="I146" i="2" s="1"/>
  <c r="J146" i="2" s="1"/>
  <c r="K146" i="2" s="1"/>
  <c r="L146" i="2" s="1"/>
  <c r="M146" i="2" s="1"/>
  <c r="N146" i="2" s="1"/>
  <c r="O146" i="2" s="1"/>
  <c r="P146" i="2" s="1"/>
  <c r="Q146" i="2" s="1"/>
  <c r="R146" i="2" s="1"/>
  <c r="S146" i="2" s="1"/>
  <c r="T146" i="2" s="1"/>
  <c r="U146" i="2" s="1"/>
  <c r="V146" i="2" s="1"/>
  <c r="W146" i="2" s="1"/>
  <c r="X146" i="2" s="1"/>
  <c r="Y146" i="2" s="1"/>
  <c r="Z146" i="2" s="1"/>
  <c r="AA146" i="2" s="1"/>
  <c r="AB146" i="2" s="1"/>
  <c r="AC146" i="2" s="1"/>
  <c r="AD146" i="2" s="1"/>
  <c r="AE146" i="2" s="1"/>
  <c r="AF146" i="2" s="1"/>
  <c r="C146" i="2"/>
  <c r="C145" i="2"/>
  <c r="D145" i="2" s="1"/>
  <c r="E145" i="2" s="1"/>
  <c r="F145" i="2" s="1"/>
  <c r="G145" i="2" s="1"/>
  <c r="H145" i="2" s="1"/>
  <c r="I145" i="2" s="1"/>
  <c r="J145" i="2" s="1"/>
  <c r="K145" i="2" s="1"/>
  <c r="L145" i="2" s="1"/>
  <c r="M145" i="2" s="1"/>
  <c r="N145" i="2" s="1"/>
  <c r="O145" i="2" s="1"/>
  <c r="P145" i="2" s="1"/>
  <c r="Q145" i="2" s="1"/>
  <c r="R145" i="2" s="1"/>
  <c r="S145" i="2" s="1"/>
  <c r="T145" i="2" s="1"/>
  <c r="U145" i="2" s="1"/>
  <c r="V145" i="2" s="1"/>
  <c r="W145" i="2" s="1"/>
  <c r="X145" i="2" s="1"/>
  <c r="Y145" i="2" s="1"/>
  <c r="Z145" i="2" s="1"/>
  <c r="AA145" i="2" s="1"/>
  <c r="AB145" i="2" s="1"/>
  <c r="AC145" i="2" s="1"/>
  <c r="AD145" i="2" s="1"/>
  <c r="AE145" i="2" s="1"/>
  <c r="AF145" i="2" s="1"/>
  <c r="C144" i="2"/>
  <c r="D144" i="2" s="1"/>
  <c r="E144" i="2" s="1"/>
  <c r="F144" i="2" s="1"/>
  <c r="G144" i="2" s="1"/>
  <c r="H144" i="2" s="1"/>
  <c r="I144" i="2" s="1"/>
  <c r="J144" i="2" s="1"/>
  <c r="K144" i="2" s="1"/>
  <c r="L144" i="2" s="1"/>
  <c r="M144" i="2" s="1"/>
  <c r="N144" i="2" s="1"/>
  <c r="O144" i="2" s="1"/>
  <c r="P144" i="2" s="1"/>
  <c r="Q144" i="2" s="1"/>
  <c r="R144" i="2" s="1"/>
  <c r="S144" i="2" s="1"/>
  <c r="T144" i="2" s="1"/>
  <c r="U144" i="2" s="1"/>
  <c r="V144" i="2" s="1"/>
  <c r="W144" i="2" s="1"/>
  <c r="X144" i="2" s="1"/>
  <c r="Y144" i="2" s="1"/>
  <c r="Z144" i="2" s="1"/>
  <c r="AA144" i="2" s="1"/>
  <c r="AB144" i="2" s="1"/>
  <c r="AC144" i="2" s="1"/>
  <c r="AD144" i="2" s="1"/>
  <c r="AE144" i="2" s="1"/>
  <c r="AF144" i="2" s="1"/>
  <c r="I143" i="2"/>
  <c r="J143" i="2" s="1"/>
  <c r="K143" i="2" s="1"/>
  <c r="L143" i="2" s="1"/>
  <c r="M143" i="2" s="1"/>
  <c r="N143" i="2" s="1"/>
  <c r="O143" i="2" s="1"/>
  <c r="P143" i="2" s="1"/>
  <c r="Q143" i="2" s="1"/>
  <c r="R143" i="2" s="1"/>
  <c r="S143" i="2" s="1"/>
  <c r="T143" i="2" s="1"/>
  <c r="U143" i="2" s="1"/>
  <c r="V143" i="2" s="1"/>
  <c r="W143" i="2" s="1"/>
  <c r="X143" i="2" s="1"/>
  <c r="Y143" i="2" s="1"/>
  <c r="Z143" i="2" s="1"/>
  <c r="AA143" i="2" s="1"/>
  <c r="AB143" i="2" s="1"/>
  <c r="AC143" i="2" s="1"/>
  <c r="AD143" i="2" s="1"/>
  <c r="AE143" i="2" s="1"/>
  <c r="AF143" i="2" s="1"/>
  <c r="C143" i="2"/>
  <c r="D143" i="2" s="1"/>
  <c r="E143" i="2" s="1"/>
  <c r="F143" i="2" s="1"/>
  <c r="G143" i="2" s="1"/>
  <c r="H143" i="2" s="1"/>
  <c r="D142" i="2"/>
  <c r="E142" i="2" s="1"/>
  <c r="F142" i="2" s="1"/>
  <c r="G142" i="2" s="1"/>
  <c r="H142" i="2" s="1"/>
  <c r="I142" i="2" s="1"/>
  <c r="J142" i="2" s="1"/>
  <c r="K142" i="2" s="1"/>
  <c r="L142" i="2" s="1"/>
  <c r="M142" i="2" s="1"/>
  <c r="N142" i="2" s="1"/>
  <c r="O142" i="2" s="1"/>
  <c r="P142" i="2" s="1"/>
  <c r="Q142" i="2" s="1"/>
  <c r="R142" i="2" s="1"/>
  <c r="S142" i="2" s="1"/>
  <c r="T142" i="2" s="1"/>
  <c r="U142" i="2" s="1"/>
  <c r="V142" i="2" s="1"/>
  <c r="W142" i="2" s="1"/>
  <c r="X142" i="2" s="1"/>
  <c r="Y142" i="2" s="1"/>
  <c r="Z142" i="2" s="1"/>
  <c r="AA142" i="2" s="1"/>
  <c r="AB142" i="2" s="1"/>
  <c r="AC142" i="2" s="1"/>
  <c r="AD142" i="2" s="1"/>
  <c r="AE142" i="2" s="1"/>
  <c r="AF142" i="2" s="1"/>
  <c r="C142" i="2"/>
  <c r="D141" i="2"/>
  <c r="E141" i="2" s="1"/>
  <c r="F141" i="2" s="1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T141" i="2" s="1"/>
  <c r="U141" i="2" s="1"/>
  <c r="V141" i="2" s="1"/>
  <c r="W141" i="2" s="1"/>
  <c r="X141" i="2" s="1"/>
  <c r="Y141" i="2" s="1"/>
  <c r="Z141" i="2" s="1"/>
  <c r="AA141" i="2" s="1"/>
  <c r="AB141" i="2" s="1"/>
  <c r="AC141" i="2" s="1"/>
  <c r="AD141" i="2" s="1"/>
  <c r="AE141" i="2" s="1"/>
  <c r="AF141" i="2" s="1"/>
  <c r="C141" i="2"/>
  <c r="E140" i="2"/>
  <c r="F140" i="2" s="1"/>
  <c r="G140" i="2" s="1"/>
  <c r="H140" i="2" s="1"/>
  <c r="I140" i="2" s="1"/>
  <c r="J140" i="2" s="1"/>
  <c r="K140" i="2" s="1"/>
  <c r="L140" i="2" s="1"/>
  <c r="M140" i="2" s="1"/>
  <c r="N140" i="2" s="1"/>
  <c r="O140" i="2" s="1"/>
  <c r="P140" i="2" s="1"/>
  <c r="Q140" i="2" s="1"/>
  <c r="R140" i="2" s="1"/>
  <c r="S140" i="2" s="1"/>
  <c r="T140" i="2" s="1"/>
  <c r="U140" i="2" s="1"/>
  <c r="V140" i="2" s="1"/>
  <c r="W140" i="2" s="1"/>
  <c r="X140" i="2" s="1"/>
  <c r="Y140" i="2" s="1"/>
  <c r="Z140" i="2" s="1"/>
  <c r="AA140" i="2" s="1"/>
  <c r="AB140" i="2" s="1"/>
  <c r="AC140" i="2" s="1"/>
  <c r="AD140" i="2" s="1"/>
  <c r="AE140" i="2" s="1"/>
  <c r="AF140" i="2" s="1"/>
  <c r="C140" i="2"/>
  <c r="D140" i="2" s="1"/>
  <c r="D139" i="2"/>
  <c r="E139" i="2" s="1"/>
  <c r="F139" i="2" s="1"/>
  <c r="G139" i="2" s="1"/>
  <c r="H139" i="2" s="1"/>
  <c r="I139" i="2" s="1"/>
  <c r="J139" i="2" s="1"/>
  <c r="K139" i="2" s="1"/>
  <c r="L139" i="2" s="1"/>
  <c r="M139" i="2" s="1"/>
  <c r="N139" i="2" s="1"/>
  <c r="O139" i="2" s="1"/>
  <c r="P139" i="2" s="1"/>
  <c r="Q139" i="2" s="1"/>
  <c r="R139" i="2" s="1"/>
  <c r="S139" i="2" s="1"/>
  <c r="T139" i="2" s="1"/>
  <c r="U139" i="2" s="1"/>
  <c r="V139" i="2" s="1"/>
  <c r="W139" i="2" s="1"/>
  <c r="X139" i="2" s="1"/>
  <c r="Y139" i="2" s="1"/>
  <c r="Z139" i="2" s="1"/>
  <c r="AA139" i="2" s="1"/>
  <c r="AB139" i="2" s="1"/>
  <c r="AC139" i="2" s="1"/>
  <c r="AD139" i="2" s="1"/>
  <c r="AE139" i="2" s="1"/>
  <c r="AF139" i="2" s="1"/>
  <c r="C139" i="2"/>
  <c r="I138" i="2"/>
  <c r="J138" i="2" s="1"/>
  <c r="K138" i="2" s="1"/>
  <c r="L138" i="2" s="1"/>
  <c r="M138" i="2" s="1"/>
  <c r="N138" i="2" s="1"/>
  <c r="O138" i="2" s="1"/>
  <c r="P138" i="2" s="1"/>
  <c r="Q138" i="2" s="1"/>
  <c r="R138" i="2" s="1"/>
  <c r="S138" i="2" s="1"/>
  <c r="T138" i="2" s="1"/>
  <c r="U138" i="2" s="1"/>
  <c r="V138" i="2" s="1"/>
  <c r="W138" i="2" s="1"/>
  <c r="X138" i="2" s="1"/>
  <c r="Y138" i="2" s="1"/>
  <c r="Z138" i="2" s="1"/>
  <c r="AA138" i="2" s="1"/>
  <c r="AB138" i="2" s="1"/>
  <c r="AC138" i="2" s="1"/>
  <c r="AD138" i="2" s="1"/>
  <c r="AE138" i="2" s="1"/>
  <c r="AF138" i="2" s="1"/>
  <c r="C138" i="2"/>
  <c r="D138" i="2" s="1"/>
  <c r="E138" i="2" s="1"/>
  <c r="F138" i="2" s="1"/>
  <c r="G138" i="2" s="1"/>
  <c r="H138" i="2" s="1"/>
  <c r="C137" i="2"/>
  <c r="D137" i="2" s="1"/>
  <c r="E137" i="2" s="1"/>
  <c r="F137" i="2" s="1"/>
  <c r="G137" i="2" s="1"/>
  <c r="H137" i="2" s="1"/>
  <c r="I137" i="2" s="1"/>
  <c r="J137" i="2" s="1"/>
  <c r="K137" i="2" s="1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V137" i="2" s="1"/>
  <c r="W137" i="2" s="1"/>
  <c r="X137" i="2" s="1"/>
  <c r="Y137" i="2" s="1"/>
  <c r="Z137" i="2" s="1"/>
  <c r="AA137" i="2" s="1"/>
  <c r="AB137" i="2" s="1"/>
  <c r="AC137" i="2" s="1"/>
  <c r="AD137" i="2" s="1"/>
  <c r="AE137" i="2" s="1"/>
  <c r="AF137" i="2" s="1"/>
  <c r="E136" i="2"/>
  <c r="F136" i="2" s="1"/>
  <c r="G136" i="2" s="1"/>
  <c r="H136" i="2" s="1"/>
  <c r="I136" i="2" s="1"/>
  <c r="J136" i="2" s="1"/>
  <c r="K136" i="2" s="1"/>
  <c r="L136" i="2" s="1"/>
  <c r="M136" i="2" s="1"/>
  <c r="N136" i="2" s="1"/>
  <c r="O136" i="2" s="1"/>
  <c r="P136" i="2" s="1"/>
  <c r="Q136" i="2" s="1"/>
  <c r="R136" i="2" s="1"/>
  <c r="S136" i="2" s="1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C136" i="2"/>
  <c r="D136" i="2" s="1"/>
  <c r="J135" i="2"/>
  <c r="K135" i="2" s="1"/>
  <c r="L135" i="2" s="1"/>
  <c r="M135" i="2" s="1"/>
  <c r="N135" i="2" s="1"/>
  <c r="O135" i="2" s="1"/>
  <c r="P135" i="2" s="1"/>
  <c r="Q135" i="2" s="1"/>
  <c r="R135" i="2" s="1"/>
  <c r="S135" i="2" s="1"/>
  <c r="T135" i="2" s="1"/>
  <c r="U135" i="2" s="1"/>
  <c r="V135" i="2" s="1"/>
  <c r="W135" i="2" s="1"/>
  <c r="X135" i="2" s="1"/>
  <c r="Y135" i="2" s="1"/>
  <c r="Z135" i="2" s="1"/>
  <c r="AA135" i="2" s="1"/>
  <c r="AB135" i="2" s="1"/>
  <c r="AC135" i="2" s="1"/>
  <c r="AD135" i="2" s="1"/>
  <c r="AE135" i="2" s="1"/>
  <c r="AF135" i="2" s="1"/>
  <c r="C135" i="2"/>
  <c r="D135" i="2" s="1"/>
  <c r="E135" i="2" s="1"/>
  <c r="F135" i="2" s="1"/>
  <c r="G135" i="2" s="1"/>
  <c r="H135" i="2" s="1"/>
  <c r="I135" i="2" s="1"/>
  <c r="C134" i="2"/>
  <c r="D134" i="2" s="1"/>
  <c r="E134" i="2" s="1"/>
  <c r="F134" i="2" s="1"/>
  <c r="G134" i="2" s="1"/>
  <c r="H134" i="2" s="1"/>
  <c r="I134" i="2" s="1"/>
  <c r="J134" i="2" s="1"/>
  <c r="K134" i="2" s="1"/>
  <c r="L134" i="2" s="1"/>
  <c r="M134" i="2" s="1"/>
  <c r="N134" i="2" s="1"/>
  <c r="O134" i="2" s="1"/>
  <c r="P134" i="2" s="1"/>
  <c r="Q134" i="2" s="1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AF134" i="2" s="1"/>
  <c r="D133" i="2"/>
  <c r="E133" i="2" s="1"/>
  <c r="F133" i="2" s="1"/>
  <c r="G133" i="2" s="1"/>
  <c r="H133" i="2" s="1"/>
  <c r="I133" i="2" s="1"/>
  <c r="J133" i="2" s="1"/>
  <c r="K133" i="2" s="1"/>
  <c r="L133" i="2" s="1"/>
  <c r="M133" i="2" s="1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C133" i="2"/>
  <c r="C132" i="2"/>
  <c r="D132" i="2" s="1"/>
  <c r="E132" i="2" s="1"/>
  <c r="F132" i="2" s="1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F131" i="2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C131" i="2"/>
  <c r="D131" i="2" s="1"/>
  <c r="E131" i="2" s="1"/>
  <c r="D130" i="2"/>
  <c r="E130" i="2" s="1"/>
  <c r="F130" i="2" s="1"/>
  <c r="G130" i="2" s="1"/>
  <c r="H130" i="2" s="1"/>
  <c r="I130" i="2" s="1"/>
  <c r="J130" i="2" s="1"/>
  <c r="K130" i="2" s="1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AA130" i="2" s="1"/>
  <c r="AB130" i="2" s="1"/>
  <c r="AC130" i="2" s="1"/>
  <c r="AD130" i="2" s="1"/>
  <c r="AE130" i="2" s="1"/>
  <c r="AF130" i="2" s="1"/>
  <c r="C130" i="2"/>
  <c r="D129" i="2"/>
  <c r="E129" i="2" s="1"/>
  <c r="F129" i="2" s="1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AA129" i="2" s="1"/>
  <c r="AB129" i="2" s="1"/>
  <c r="AC129" i="2" s="1"/>
  <c r="AD129" i="2" s="1"/>
  <c r="AE129" i="2" s="1"/>
  <c r="AF129" i="2" s="1"/>
  <c r="C129" i="2"/>
  <c r="D128" i="2"/>
  <c r="E128" i="2" s="1"/>
  <c r="F128" i="2" s="1"/>
  <c r="G128" i="2" s="1"/>
  <c r="H128" i="2" s="1"/>
  <c r="I128" i="2" s="1"/>
  <c r="J128" i="2" s="1"/>
  <c r="K128" i="2" s="1"/>
  <c r="L128" i="2" s="1"/>
  <c r="M128" i="2" s="1"/>
  <c r="N128" i="2" s="1"/>
  <c r="O128" i="2" s="1"/>
  <c r="P128" i="2" s="1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AA128" i="2" s="1"/>
  <c r="AB128" i="2" s="1"/>
  <c r="AC128" i="2" s="1"/>
  <c r="AD128" i="2" s="1"/>
  <c r="AE128" i="2" s="1"/>
  <c r="AF128" i="2" s="1"/>
  <c r="C128" i="2"/>
  <c r="H127" i="2"/>
  <c r="I127" i="2" s="1"/>
  <c r="J127" i="2" s="1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C127" i="2"/>
  <c r="D127" i="2" s="1"/>
  <c r="E127" i="2" s="1"/>
  <c r="F127" i="2" s="1"/>
  <c r="G127" i="2" s="1"/>
  <c r="C126" i="2"/>
  <c r="D126" i="2" s="1"/>
  <c r="E126" i="2" s="1"/>
  <c r="F126" i="2" s="1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AA126" i="2" s="1"/>
  <c r="AB126" i="2" s="1"/>
  <c r="AC126" i="2" s="1"/>
  <c r="AD126" i="2" s="1"/>
  <c r="AE126" i="2" s="1"/>
  <c r="AF126" i="2" s="1"/>
  <c r="D125" i="2"/>
  <c r="E125" i="2" s="1"/>
  <c r="F125" i="2" s="1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C125" i="2"/>
  <c r="C124" i="2"/>
  <c r="D124" i="2" s="1"/>
  <c r="E124" i="2" s="1"/>
  <c r="F124" i="2" s="1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C123" i="2"/>
  <c r="D123" i="2" s="1"/>
  <c r="E123" i="2" s="1"/>
  <c r="F123" i="2" s="1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AA123" i="2" s="1"/>
  <c r="AB123" i="2" s="1"/>
  <c r="AC123" i="2" s="1"/>
  <c r="AD123" i="2" s="1"/>
  <c r="AE123" i="2" s="1"/>
  <c r="AF123" i="2" s="1"/>
  <c r="K122" i="2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C122" i="2"/>
  <c r="D122" i="2" s="1"/>
  <c r="E122" i="2" s="1"/>
  <c r="F122" i="2" s="1"/>
  <c r="G122" i="2" s="1"/>
  <c r="H122" i="2" s="1"/>
  <c r="I122" i="2" s="1"/>
  <c r="J122" i="2" s="1"/>
  <c r="C121" i="2"/>
  <c r="D121" i="2" s="1"/>
  <c r="E121" i="2" s="1"/>
  <c r="F121" i="2" s="1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D120" i="2"/>
  <c r="E120" i="2" s="1"/>
  <c r="F120" i="2" s="1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C120" i="2"/>
  <c r="C119" i="2"/>
  <c r="D119" i="2" s="1"/>
  <c r="E119" i="2" s="1"/>
  <c r="F119" i="2" s="1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AA119" i="2" s="1"/>
  <c r="AB119" i="2" s="1"/>
  <c r="AC119" i="2" s="1"/>
  <c r="AD119" i="2" s="1"/>
  <c r="AE119" i="2" s="1"/>
  <c r="AF119" i="2" s="1"/>
  <c r="D118" i="2"/>
  <c r="E118" i="2" s="1"/>
  <c r="F118" i="2" s="1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C118" i="2"/>
  <c r="C117" i="2"/>
  <c r="D117" i="2" s="1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D116" i="2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C116" i="2"/>
  <c r="C115" i="2"/>
  <c r="D115" i="2" s="1"/>
  <c r="E115" i="2" s="1"/>
  <c r="F115" i="2" s="1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D114" i="2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AC114" i="2" s="1"/>
  <c r="AD114" i="2" s="1"/>
  <c r="AE114" i="2" s="1"/>
  <c r="AF114" i="2" s="1"/>
  <c r="C114" i="2"/>
  <c r="C113" i="2"/>
  <c r="D113" i="2" s="1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D112" i="2"/>
  <c r="E112" i="2" s="1"/>
  <c r="F112" i="2" s="1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C112" i="2"/>
  <c r="F111" i="2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AA111" i="2" s="1"/>
  <c r="AB111" i="2" s="1"/>
  <c r="AC111" i="2" s="1"/>
  <c r="AD111" i="2" s="1"/>
  <c r="AE111" i="2" s="1"/>
  <c r="AF111" i="2" s="1"/>
  <c r="C111" i="2"/>
  <c r="D111" i="2" s="1"/>
  <c r="E111" i="2" s="1"/>
  <c r="D110" i="2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C110" i="2"/>
  <c r="D109" i="2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C109" i="2"/>
  <c r="D108" i="2"/>
  <c r="E108" i="2" s="1"/>
  <c r="F108" i="2" s="1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AC108" i="2" s="1"/>
  <c r="AD108" i="2" s="1"/>
  <c r="AE108" i="2" s="1"/>
  <c r="AF108" i="2" s="1"/>
  <c r="C108" i="2"/>
  <c r="C107" i="2"/>
  <c r="D107" i="2" s="1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AD107" i="2" s="1"/>
  <c r="AE107" i="2" s="1"/>
  <c r="AF107" i="2" s="1"/>
  <c r="D106" i="2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C106" i="2"/>
  <c r="D105" i="2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C105" i="2"/>
  <c r="C104" i="2"/>
  <c r="D104" i="2" s="1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C103" i="2"/>
  <c r="D103" i="2" s="1"/>
  <c r="E103" i="2" s="1"/>
  <c r="F103" i="2" s="1"/>
  <c r="G103" i="2" s="1"/>
  <c r="H103" i="2" s="1"/>
  <c r="I103" i="2" s="1"/>
  <c r="J103" i="2" s="1"/>
  <c r="K103" i="2" s="1"/>
  <c r="L103" i="2" s="1"/>
  <c r="M103" i="2" s="1"/>
  <c r="N103" i="2" s="1"/>
  <c r="O103" i="2" s="1"/>
  <c r="P103" i="2" s="1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AC103" i="2" s="1"/>
  <c r="AD103" i="2" s="1"/>
  <c r="AE103" i="2" s="1"/>
  <c r="AF103" i="2" s="1"/>
  <c r="C102" i="2"/>
  <c r="D102" i="2" s="1"/>
  <c r="E102" i="2" s="1"/>
  <c r="F102" i="2" s="1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C101" i="2"/>
  <c r="D101" i="2" s="1"/>
  <c r="E101" i="2" s="1"/>
  <c r="F101" i="2" s="1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C100" i="2"/>
  <c r="D100" i="2" s="1"/>
  <c r="E100" i="2" s="1"/>
  <c r="F100" i="2" s="1"/>
  <c r="G100" i="2" s="1"/>
  <c r="H100" i="2" s="1"/>
  <c r="I100" i="2" s="1"/>
  <c r="J100" i="2" s="1"/>
  <c r="K100" i="2" s="1"/>
  <c r="L100" i="2" s="1"/>
  <c r="M100" i="2" s="1"/>
  <c r="N100" i="2" s="1"/>
  <c r="O100" i="2" s="1"/>
  <c r="P100" i="2" s="1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J99" i="2"/>
  <c r="K99" i="2" s="1"/>
  <c r="L99" i="2" s="1"/>
  <c r="M99" i="2" s="1"/>
  <c r="N99" i="2" s="1"/>
  <c r="O99" i="2" s="1"/>
  <c r="P99" i="2" s="1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AA99" i="2" s="1"/>
  <c r="AB99" i="2" s="1"/>
  <c r="AC99" i="2" s="1"/>
  <c r="AD99" i="2" s="1"/>
  <c r="AE99" i="2" s="1"/>
  <c r="AF99" i="2" s="1"/>
  <c r="C99" i="2"/>
  <c r="D99" i="2" s="1"/>
  <c r="E99" i="2" s="1"/>
  <c r="F99" i="2" s="1"/>
  <c r="G99" i="2" s="1"/>
  <c r="H99" i="2" s="1"/>
  <c r="C98" i="2"/>
  <c r="D98" i="2" s="1"/>
  <c r="E98" i="2" s="1"/>
  <c r="F98" i="2" s="1"/>
  <c r="G98" i="2" s="1"/>
  <c r="H98" i="2" s="1"/>
  <c r="I98" i="2" s="1"/>
  <c r="J98" i="2" s="1"/>
  <c r="K98" i="2" s="1"/>
  <c r="L98" i="2" s="1"/>
  <c r="M98" i="2" s="1"/>
  <c r="N98" i="2" s="1"/>
  <c r="O98" i="2" s="1"/>
  <c r="P98" i="2" s="1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AA98" i="2" s="1"/>
  <c r="AB98" i="2" s="1"/>
  <c r="AC98" i="2" s="1"/>
  <c r="AD98" i="2" s="1"/>
  <c r="AE98" i="2" s="1"/>
  <c r="AF98" i="2" s="1"/>
  <c r="C97" i="2"/>
  <c r="D97" i="2" s="1"/>
  <c r="E97" i="2" s="1"/>
  <c r="F97" i="2" s="1"/>
  <c r="G97" i="2" s="1"/>
  <c r="H97" i="2" s="1"/>
  <c r="I97" i="2" s="1"/>
  <c r="J97" i="2" s="1"/>
  <c r="K97" i="2" s="1"/>
  <c r="L97" i="2" s="1"/>
  <c r="M97" i="2" s="1"/>
  <c r="N97" i="2" s="1"/>
  <c r="O97" i="2" s="1"/>
  <c r="P97" i="2" s="1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C97" i="2" s="1"/>
  <c r="AD97" i="2" s="1"/>
  <c r="AE97" i="2" s="1"/>
  <c r="AF97" i="2" s="1"/>
  <c r="C96" i="2"/>
  <c r="D96" i="2" s="1"/>
  <c r="E96" i="2" s="1"/>
  <c r="F96" i="2" s="1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AA96" i="2" s="1"/>
  <c r="AB96" i="2" s="1"/>
  <c r="AC96" i="2" s="1"/>
  <c r="AD96" i="2" s="1"/>
  <c r="AE96" i="2" s="1"/>
  <c r="AF96" i="2" s="1"/>
  <c r="D95" i="2"/>
  <c r="E95" i="2" s="1"/>
  <c r="F95" i="2" s="1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 s="1"/>
  <c r="AE95" i="2" s="1"/>
  <c r="AF95" i="2" s="1"/>
  <c r="C95" i="2"/>
  <c r="D94" i="2"/>
  <c r="C94" i="2"/>
  <c r="E93" i="2"/>
  <c r="F93" i="2" s="1"/>
  <c r="G93" i="2" s="1"/>
  <c r="H93" i="2" s="1"/>
  <c r="I93" i="2" s="1"/>
  <c r="J93" i="2" s="1"/>
  <c r="K93" i="2" s="1"/>
  <c r="L93" i="2" s="1"/>
  <c r="M93" i="2" s="1"/>
  <c r="N93" i="2" s="1"/>
  <c r="O93" i="2" s="1"/>
  <c r="P93" i="2" s="1"/>
  <c r="Q93" i="2" s="1"/>
  <c r="R93" i="2" s="1"/>
  <c r="S93" i="2" s="1"/>
  <c r="T93" i="2" s="1"/>
  <c r="U93" i="2" s="1"/>
  <c r="V93" i="2" s="1"/>
  <c r="W93" i="2" s="1"/>
  <c r="X93" i="2" s="1"/>
  <c r="Y93" i="2" s="1"/>
  <c r="Z93" i="2" s="1"/>
  <c r="AA93" i="2" s="1"/>
  <c r="AB93" i="2" s="1"/>
  <c r="AC93" i="2" s="1"/>
  <c r="AD93" i="2" s="1"/>
  <c r="AE93" i="2" s="1"/>
  <c r="AF93" i="2" s="1"/>
  <c r="C93" i="2"/>
  <c r="D93" i="2" s="1"/>
  <c r="C92" i="2"/>
  <c r="D92" i="2" s="1"/>
  <c r="E92" i="2" s="1"/>
  <c r="F92" i="2" s="1"/>
  <c r="G92" i="2" s="1"/>
  <c r="H92" i="2" s="1"/>
  <c r="I92" i="2" s="1"/>
  <c r="J92" i="2" s="1"/>
  <c r="K92" i="2" s="1"/>
  <c r="L92" i="2" s="1"/>
  <c r="M92" i="2" s="1"/>
  <c r="N92" i="2" s="1"/>
  <c r="O92" i="2" s="1"/>
  <c r="P92" i="2" s="1"/>
  <c r="Q92" i="2" s="1"/>
  <c r="R92" i="2" s="1"/>
  <c r="S92" i="2" s="1"/>
  <c r="T92" i="2" s="1"/>
  <c r="U92" i="2" s="1"/>
  <c r="V92" i="2" s="1"/>
  <c r="W92" i="2" s="1"/>
  <c r="X92" i="2" s="1"/>
  <c r="Y92" i="2" s="1"/>
  <c r="Z92" i="2" s="1"/>
  <c r="AA92" i="2" s="1"/>
  <c r="AB92" i="2" s="1"/>
  <c r="AC92" i="2" s="1"/>
  <c r="AD92" i="2" s="1"/>
  <c r="AE92" i="2" s="1"/>
  <c r="AF92" i="2" s="1"/>
  <c r="C91" i="2"/>
  <c r="D91" i="2" s="1"/>
  <c r="E91" i="2" s="1"/>
  <c r="F91" i="2" s="1"/>
  <c r="G91" i="2" s="1"/>
  <c r="H91" i="2" s="1"/>
  <c r="I91" i="2" s="1"/>
  <c r="J91" i="2" s="1"/>
  <c r="K91" i="2" s="1"/>
  <c r="L91" i="2" s="1"/>
  <c r="M91" i="2" s="1"/>
  <c r="N91" i="2" s="1"/>
  <c r="O91" i="2" s="1"/>
  <c r="P91" i="2" s="1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C90" i="2"/>
  <c r="D90" i="2" s="1"/>
  <c r="E90" i="2" s="1"/>
  <c r="F90" i="2" s="1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Q90" i="2" s="1"/>
  <c r="R90" i="2" s="1"/>
  <c r="S90" i="2" s="1"/>
  <c r="T90" i="2" s="1"/>
  <c r="U90" i="2" s="1"/>
  <c r="V90" i="2" s="1"/>
  <c r="W90" i="2" s="1"/>
  <c r="X90" i="2" s="1"/>
  <c r="Y90" i="2" s="1"/>
  <c r="Z90" i="2" s="1"/>
  <c r="AA90" i="2" s="1"/>
  <c r="AB90" i="2" s="1"/>
  <c r="AC90" i="2" s="1"/>
  <c r="AD90" i="2" s="1"/>
  <c r="AE90" i="2" s="1"/>
  <c r="AF90" i="2" s="1"/>
  <c r="C89" i="2"/>
  <c r="AH86" i="2"/>
  <c r="AI86" i="2" s="1"/>
  <c r="AH85" i="2"/>
  <c r="AI85" i="2" s="1"/>
  <c r="AH84" i="2"/>
  <c r="AI84" i="2" s="1"/>
  <c r="AH83" i="2"/>
  <c r="AI83" i="2" s="1"/>
  <c r="B82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I79" i="2"/>
  <c r="AH79" i="2"/>
  <c r="AI78" i="2"/>
  <c r="AH78" i="2"/>
  <c r="AI77" i="2"/>
  <c r="AH77" i="2"/>
  <c r="AI76" i="2"/>
  <c r="AH76" i="2"/>
  <c r="AI75" i="2"/>
  <c r="AH75" i="2"/>
  <c r="AI74" i="2"/>
  <c r="AH74" i="2"/>
  <c r="AI73" i="2"/>
  <c r="AH73" i="2"/>
  <c r="AI72" i="2"/>
  <c r="AH72" i="2"/>
  <c r="AG71" i="2"/>
  <c r="AI70" i="2"/>
  <c r="AH70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I64" i="2"/>
  <c r="AH64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I62" i="2"/>
  <c r="AH62" i="2"/>
  <c r="AI61" i="2"/>
  <c r="AH61" i="2"/>
  <c r="AI60" i="2"/>
  <c r="AH60" i="2"/>
  <c r="AG59" i="2"/>
  <c r="AF59" i="2"/>
  <c r="AF5" i="2" s="1"/>
  <c r="AE59" i="2"/>
  <c r="AE5" i="2" s="1"/>
  <c r="AD59" i="2"/>
  <c r="AD5" i="2" s="1"/>
  <c r="AC59" i="2"/>
  <c r="AC5" i="2" s="1"/>
  <c r="AB59" i="2"/>
  <c r="AB5" i="2" s="1"/>
  <c r="AA59" i="2"/>
  <c r="AA5" i="2" s="1"/>
  <c r="Z59" i="2"/>
  <c r="Y59" i="2"/>
  <c r="Y5" i="2" s="1"/>
  <c r="X59" i="2"/>
  <c r="X5" i="2" s="1"/>
  <c r="W59" i="2"/>
  <c r="W5" i="2" s="1"/>
  <c r="V59" i="2"/>
  <c r="V5" i="2" s="1"/>
  <c r="U59" i="2"/>
  <c r="U5" i="2" s="1"/>
  <c r="T59" i="2"/>
  <c r="T5" i="2" s="1"/>
  <c r="S59" i="2"/>
  <c r="S5" i="2" s="1"/>
  <c r="R59" i="2"/>
  <c r="R5" i="2" s="1"/>
  <c r="Q59" i="2"/>
  <c r="Q5" i="2" s="1"/>
  <c r="P59" i="2"/>
  <c r="P5" i="2" s="1"/>
  <c r="O59" i="2"/>
  <c r="O5" i="2" s="1"/>
  <c r="N59" i="2"/>
  <c r="M59" i="2"/>
  <c r="M5" i="2" s="1"/>
  <c r="L59" i="2"/>
  <c r="L5" i="2" s="1"/>
  <c r="K59" i="2"/>
  <c r="K5" i="2" s="1"/>
  <c r="J59" i="2"/>
  <c r="I59" i="2"/>
  <c r="I5" i="2" s="1"/>
  <c r="H59" i="2"/>
  <c r="H5" i="2" s="1"/>
  <c r="G59" i="2"/>
  <c r="G5" i="2" s="1"/>
  <c r="F59" i="2"/>
  <c r="F5" i="2" s="1"/>
  <c r="E59" i="2"/>
  <c r="E5" i="2" s="1"/>
  <c r="D59" i="2"/>
  <c r="C59" i="2"/>
  <c r="C5" i="2" s="1"/>
  <c r="B59" i="2"/>
  <c r="AI58" i="2"/>
  <c r="AH58" i="2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I48" i="2"/>
  <c r="AH48" i="2"/>
  <c r="AG47" i="2"/>
  <c r="AG4" i="2" s="1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I46" i="2"/>
  <c r="AH46" i="2"/>
  <c r="AI45" i="2"/>
  <c r="AH45" i="2"/>
  <c r="AI44" i="2"/>
  <c r="AH44" i="2"/>
  <c r="AG42" i="2"/>
  <c r="AG43" i="2" s="1"/>
  <c r="AG3" i="2" s="1"/>
  <c r="B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G30" i="2"/>
  <c r="AG2" i="2" s="1"/>
  <c r="AG6" i="2" s="1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Z5" i="2"/>
  <c r="N5" i="2"/>
  <c r="J5" i="2"/>
  <c r="D5" i="2"/>
  <c r="K4" i="2"/>
  <c r="C4" i="2"/>
  <c r="D4" i="2" s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214" i="1"/>
  <c r="S189" i="1"/>
  <c r="AG179" i="1"/>
  <c r="B179" i="1"/>
  <c r="C178" i="1"/>
  <c r="C214" i="1" s="1"/>
  <c r="K177" i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C177" i="1"/>
  <c r="D177" i="1" s="1"/>
  <c r="E177" i="1" s="1"/>
  <c r="F177" i="1" s="1"/>
  <c r="G177" i="1" s="1"/>
  <c r="H177" i="1" s="1"/>
  <c r="I177" i="1" s="1"/>
  <c r="J177" i="1" s="1"/>
  <c r="D176" i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6" i="1"/>
  <c r="G175" i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5" i="1"/>
  <c r="D175" i="1" s="1"/>
  <c r="E175" i="1" s="1"/>
  <c r="F175" i="1" s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C173" i="1"/>
  <c r="AG171" i="1"/>
  <c r="B171" i="1"/>
  <c r="G170" i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D170" i="1"/>
  <c r="E170" i="1" s="1"/>
  <c r="F170" i="1" s="1"/>
  <c r="C170" i="1"/>
  <c r="E169" i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C169" i="1"/>
  <c r="D169" i="1" s="1"/>
  <c r="C168" i="1"/>
  <c r="D168" i="1" s="1"/>
  <c r="E168" i="1" s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I167" i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G167" i="1"/>
  <c r="H167" i="1" s="1"/>
  <c r="F167" i="1"/>
  <c r="C167" i="1"/>
  <c r="D167" i="1" s="1"/>
  <c r="E167" i="1" s="1"/>
  <c r="G166" i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E166" i="1"/>
  <c r="F166" i="1" s="1"/>
  <c r="D166" i="1"/>
  <c r="C166" i="1"/>
  <c r="C165" i="1"/>
  <c r="D165" i="1" s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C164" i="1"/>
  <c r="D164" i="1" s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C163" i="1"/>
  <c r="D163" i="1" s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D162" i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C162" i="1"/>
  <c r="F161" i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E161" i="1"/>
  <c r="C161" i="1"/>
  <c r="D161" i="1" s="1"/>
  <c r="E160" i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D160" i="1"/>
  <c r="C160" i="1"/>
  <c r="G159" i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F159" i="1"/>
  <c r="C159" i="1"/>
  <c r="D159" i="1" s="1"/>
  <c r="E159" i="1" s="1"/>
  <c r="E158" i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C158" i="1"/>
  <c r="D158" i="1" s="1"/>
  <c r="C157" i="1"/>
  <c r="D157" i="1" s="1"/>
  <c r="E157" i="1" s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C156" i="1"/>
  <c r="D156" i="1" s="1"/>
  <c r="E156" i="1" s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G155" i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E155" i="1"/>
  <c r="F155" i="1" s="1"/>
  <c r="D155" i="1"/>
  <c r="C155" i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C154" i="1"/>
  <c r="D154" i="1" s="1"/>
  <c r="C153" i="1"/>
  <c r="D153" i="1" s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K152" i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C152" i="1"/>
  <c r="D152" i="1" s="1"/>
  <c r="E152" i="1" s="1"/>
  <c r="F152" i="1" s="1"/>
  <c r="G152" i="1" s="1"/>
  <c r="H152" i="1" s="1"/>
  <c r="I152" i="1" s="1"/>
  <c r="J152" i="1" s="1"/>
  <c r="I151" i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C151" i="1"/>
  <c r="D151" i="1" s="1"/>
  <c r="E151" i="1" s="1"/>
  <c r="F151" i="1" s="1"/>
  <c r="G151" i="1" s="1"/>
  <c r="H151" i="1" s="1"/>
  <c r="G150" i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F150" i="1"/>
  <c r="E150" i="1"/>
  <c r="C150" i="1"/>
  <c r="D150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D149" i="1"/>
  <c r="C149" i="1"/>
  <c r="C148" i="1"/>
  <c r="D148" i="1" s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L147" i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D147" i="1"/>
  <c r="E147" i="1" s="1"/>
  <c r="F147" i="1" s="1"/>
  <c r="G147" i="1" s="1"/>
  <c r="H147" i="1" s="1"/>
  <c r="I147" i="1" s="1"/>
  <c r="J147" i="1" s="1"/>
  <c r="K147" i="1" s="1"/>
  <c r="C147" i="1"/>
  <c r="C146" i="1"/>
  <c r="D146" i="1" s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S145" i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C145" i="1"/>
  <c r="D145" i="1" s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F144" i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E144" i="1"/>
  <c r="C144" i="1"/>
  <c r="D144" i="1" s="1"/>
  <c r="M143" i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C143" i="1"/>
  <c r="D143" i="1" s="1"/>
  <c r="E143" i="1" s="1"/>
  <c r="F143" i="1" s="1"/>
  <c r="G143" i="1" s="1"/>
  <c r="H143" i="1" s="1"/>
  <c r="I143" i="1" s="1"/>
  <c r="J143" i="1" s="1"/>
  <c r="K143" i="1" s="1"/>
  <c r="L143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C142" i="1"/>
  <c r="D142" i="1" s="1"/>
  <c r="I141" i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C141" i="1"/>
  <c r="D141" i="1" s="1"/>
  <c r="E141" i="1" s="1"/>
  <c r="F141" i="1" s="1"/>
  <c r="G141" i="1" s="1"/>
  <c r="H141" i="1" s="1"/>
  <c r="M140" i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C140" i="1"/>
  <c r="D140" i="1" s="1"/>
  <c r="E140" i="1" s="1"/>
  <c r="F140" i="1" s="1"/>
  <c r="G140" i="1" s="1"/>
  <c r="H140" i="1" s="1"/>
  <c r="I140" i="1" s="1"/>
  <c r="J140" i="1" s="1"/>
  <c r="K140" i="1" s="1"/>
  <c r="L140" i="1" s="1"/>
  <c r="I139" i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G139" i="1"/>
  <c r="H139" i="1" s="1"/>
  <c r="E139" i="1"/>
  <c r="F139" i="1" s="1"/>
  <c r="D139" i="1"/>
  <c r="C139" i="1"/>
  <c r="C138" i="1"/>
  <c r="D138" i="1" s="1"/>
  <c r="E138" i="1" s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C137" i="1"/>
  <c r="D137" i="1" s="1"/>
  <c r="J136" i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C136" i="1"/>
  <c r="D136" i="1" s="1"/>
  <c r="E136" i="1" s="1"/>
  <c r="F136" i="1" s="1"/>
  <c r="G136" i="1" s="1"/>
  <c r="H136" i="1" s="1"/>
  <c r="I136" i="1" s="1"/>
  <c r="O135" i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H135" i="1"/>
  <c r="I135" i="1" s="1"/>
  <c r="J135" i="1" s="1"/>
  <c r="K135" i="1" s="1"/>
  <c r="L135" i="1" s="1"/>
  <c r="M135" i="1" s="1"/>
  <c r="N135" i="1" s="1"/>
  <c r="C135" i="1"/>
  <c r="D135" i="1" s="1"/>
  <c r="E135" i="1" s="1"/>
  <c r="F135" i="1" s="1"/>
  <c r="G135" i="1" s="1"/>
  <c r="W134" i="1"/>
  <c r="X134" i="1" s="1"/>
  <c r="Y134" i="1" s="1"/>
  <c r="Z134" i="1" s="1"/>
  <c r="AA134" i="1" s="1"/>
  <c r="AB134" i="1" s="1"/>
  <c r="AC134" i="1" s="1"/>
  <c r="AD134" i="1" s="1"/>
  <c r="AE134" i="1" s="1"/>
  <c r="AF134" i="1" s="1"/>
  <c r="Q134" i="1"/>
  <c r="R134" i="1" s="1"/>
  <c r="S134" i="1" s="1"/>
  <c r="T134" i="1" s="1"/>
  <c r="U134" i="1" s="1"/>
  <c r="V134" i="1" s="1"/>
  <c r="J134" i="1"/>
  <c r="K134" i="1" s="1"/>
  <c r="L134" i="1" s="1"/>
  <c r="M134" i="1" s="1"/>
  <c r="N134" i="1" s="1"/>
  <c r="O134" i="1" s="1"/>
  <c r="P134" i="1" s="1"/>
  <c r="E134" i="1"/>
  <c r="F134" i="1" s="1"/>
  <c r="G134" i="1" s="1"/>
  <c r="H134" i="1" s="1"/>
  <c r="I134" i="1" s="1"/>
  <c r="C134" i="1"/>
  <c r="D134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D133" i="1"/>
  <c r="C133" i="1"/>
  <c r="V132" i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N132" i="1"/>
  <c r="O132" i="1" s="1"/>
  <c r="P132" i="1" s="1"/>
  <c r="Q132" i="1" s="1"/>
  <c r="R132" i="1" s="1"/>
  <c r="S132" i="1" s="1"/>
  <c r="T132" i="1" s="1"/>
  <c r="U132" i="1" s="1"/>
  <c r="G132" i="1"/>
  <c r="H132" i="1" s="1"/>
  <c r="I132" i="1" s="1"/>
  <c r="J132" i="1" s="1"/>
  <c r="K132" i="1" s="1"/>
  <c r="L132" i="1" s="1"/>
  <c r="M132" i="1" s="1"/>
  <c r="F132" i="1"/>
  <c r="C132" i="1"/>
  <c r="D132" i="1" s="1"/>
  <c r="E132" i="1" s="1"/>
  <c r="I131" i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D131" i="1"/>
  <c r="E131" i="1" s="1"/>
  <c r="F131" i="1" s="1"/>
  <c r="G131" i="1" s="1"/>
  <c r="H131" i="1" s="1"/>
  <c r="C131" i="1"/>
  <c r="S130" i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M130" i="1"/>
  <c r="N130" i="1" s="1"/>
  <c r="O130" i="1" s="1"/>
  <c r="P130" i="1" s="1"/>
  <c r="Q130" i="1" s="1"/>
  <c r="R130" i="1" s="1"/>
  <c r="E130" i="1"/>
  <c r="F130" i="1" s="1"/>
  <c r="G130" i="1" s="1"/>
  <c r="H130" i="1" s="1"/>
  <c r="I130" i="1" s="1"/>
  <c r="J130" i="1" s="1"/>
  <c r="K130" i="1" s="1"/>
  <c r="L130" i="1" s="1"/>
  <c r="D130" i="1"/>
  <c r="C130" i="1"/>
  <c r="M129" i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H129" i="1"/>
  <c r="I129" i="1" s="1"/>
  <c r="J129" i="1" s="1"/>
  <c r="K129" i="1" s="1"/>
  <c r="L129" i="1" s="1"/>
  <c r="D129" i="1"/>
  <c r="E129" i="1" s="1"/>
  <c r="F129" i="1" s="1"/>
  <c r="G129" i="1" s="1"/>
  <c r="C129" i="1"/>
  <c r="G128" i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C128" i="1"/>
  <c r="D128" i="1" s="1"/>
  <c r="E128" i="1" s="1"/>
  <c r="F128" i="1" s="1"/>
  <c r="U127" i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P127" i="1"/>
  <c r="Q127" i="1" s="1"/>
  <c r="R127" i="1" s="1"/>
  <c r="S127" i="1" s="1"/>
  <c r="T127" i="1" s="1"/>
  <c r="J127" i="1"/>
  <c r="K127" i="1" s="1"/>
  <c r="L127" i="1" s="1"/>
  <c r="M127" i="1" s="1"/>
  <c r="N127" i="1" s="1"/>
  <c r="O127" i="1" s="1"/>
  <c r="E127" i="1"/>
  <c r="F127" i="1" s="1"/>
  <c r="G127" i="1" s="1"/>
  <c r="H127" i="1" s="1"/>
  <c r="I127" i="1" s="1"/>
  <c r="D127" i="1"/>
  <c r="C127" i="1"/>
  <c r="T126" i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O126" i="1"/>
  <c r="P126" i="1" s="1"/>
  <c r="Q126" i="1" s="1"/>
  <c r="R126" i="1" s="1"/>
  <c r="S126" i="1" s="1"/>
  <c r="J126" i="1"/>
  <c r="K126" i="1" s="1"/>
  <c r="L126" i="1" s="1"/>
  <c r="M126" i="1" s="1"/>
  <c r="N126" i="1" s="1"/>
  <c r="D126" i="1"/>
  <c r="E126" i="1" s="1"/>
  <c r="F126" i="1" s="1"/>
  <c r="G126" i="1" s="1"/>
  <c r="H126" i="1" s="1"/>
  <c r="I126" i="1" s="1"/>
  <c r="C126" i="1"/>
  <c r="M125" i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H125" i="1"/>
  <c r="I125" i="1" s="1"/>
  <c r="J125" i="1" s="1"/>
  <c r="K125" i="1" s="1"/>
  <c r="L125" i="1" s="1"/>
  <c r="F125" i="1"/>
  <c r="G125" i="1" s="1"/>
  <c r="D125" i="1"/>
  <c r="E125" i="1" s="1"/>
  <c r="C125" i="1"/>
  <c r="F124" i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C124" i="1"/>
  <c r="D124" i="1" s="1"/>
  <c r="E124" i="1" s="1"/>
  <c r="J123" i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F123" i="1"/>
  <c r="G123" i="1" s="1"/>
  <c r="H123" i="1" s="1"/>
  <c r="I123" i="1" s="1"/>
  <c r="E123" i="1"/>
  <c r="D123" i="1"/>
  <c r="C123" i="1"/>
  <c r="J122" i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F122" i="1"/>
  <c r="G122" i="1" s="1"/>
  <c r="H122" i="1" s="1"/>
  <c r="I122" i="1" s="1"/>
  <c r="D122" i="1"/>
  <c r="E122" i="1" s="1"/>
  <c r="C122" i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C121" i="1"/>
  <c r="F120" i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C120" i="1"/>
  <c r="D120" i="1" s="1"/>
  <c r="E120" i="1" s="1"/>
  <c r="F119" i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E119" i="1"/>
  <c r="D119" i="1"/>
  <c r="C119" i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C118" i="1"/>
  <c r="C117" i="1"/>
  <c r="D117" i="1" s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F116" i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E116" i="1"/>
  <c r="D116" i="1"/>
  <c r="C116" i="1"/>
  <c r="F115" i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D115" i="1"/>
  <c r="E115" i="1" s="1"/>
  <c r="C115" i="1"/>
  <c r="D114" i="1"/>
  <c r="E114" i="1" s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C114" i="1"/>
  <c r="C113" i="1"/>
  <c r="D113" i="1" s="1"/>
  <c r="E113" i="1" s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F112" i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E112" i="1"/>
  <c r="D112" i="1"/>
  <c r="C112" i="1"/>
  <c r="F111" i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D111" i="1"/>
  <c r="E111" i="1" s="1"/>
  <c r="C111" i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C110" i="1"/>
  <c r="C109" i="1"/>
  <c r="D109" i="1" s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F108" i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E108" i="1"/>
  <c r="D108" i="1"/>
  <c r="C108" i="1"/>
  <c r="F107" i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D107" i="1"/>
  <c r="E107" i="1" s="1"/>
  <c r="C107" i="1"/>
  <c r="D106" i="1"/>
  <c r="E106" i="1" s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C106" i="1"/>
  <c r="C105" i="1"/>
  <c r="D105" i="1" s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F104" i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E104" i="1"/>
  <c r="D104" i="1"/>
  <c r="C104" i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D103" i="1"/>
  <c r="C103" i="1"/>
  <c r="H102" i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C102" i="1"/>
  <c r="D102" i="1" s="1"/>
  <c r="E102" i="1" s="1"/>
  <c r="F102" i="1" s="1"/>
  <c r="G102" i="1" s="1"/>
  <c r="J101" i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F101" i="1"/>
  <c r="G101" i="1" s="1"/>
  <c r="H101" i="1" s="1"/>
  <c r="I101" i="1" s="1"/>
  <c r="D101" i="1"/>
  <c r="E101" i="1" s="1"/>
  <c r="C101" i="1"/>
  <c r="D100" i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C100" i="1"/>
  <c r="L99" i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K99" i="1"/>
  <c r="J99" i="1"/>
  <c r="F99" i="1"/>
  <c r="G99" i="1" s="1"/>
  <c r="H99" i="1" s="1"/>
  <c r="E99" i="1"/>
  <c r="D99" i="1"/>
  <c r="C99" i="1"/>
  <c r="D98" i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C98" i="1"/>
  <c r="P97" i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K97" i="1"/>
  <c r="L97" i="1" s="1"/>
  <c r="M97" i="1" s="1"/>
  <c r="N97" i="1" s="1"/>
  <c r="O97" i="1" s="1"/>
  <c r="G97" i="1"/>
  <c r="H97" i="1" s="1"/>
  <c r="I97" i="1" s="1"/>
  <c r="J97" i="1" s="1"/>
  <c r="F97" i="1"/>
  <c r="E97" i="1"/>
  <c r="C97" i="1"/>
  <c r="D97" i="1" s="1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D96" i="1"/>
  <c r="C96" i="1"/>
  <c r="G95" i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C95" i="1"/>
  <c r="D95" i="1" s="1"/>
  <c r="E95" i="1" s="1"/>
  <c r="F95" i="1" s="1"/>
  <c r="E94" i="1"/>
  <c r="C94" i="1"/>
  <c r="D94" i="1" s="1"/>
  <c r="C93" i="1"/>
  <c r="D93" i="1" s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D92" i="1"/>
  <c r="C92" i="1"/>
  <c r="D91" i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C91" i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D90" i="1"/>
  <c r="C90" i="1"/>
  <c r="C89" i="1"/>
  <c r="AI86" i="1"/>
  <c r="AH86" i="1"/>
  <c r="AI85" i="1"/>
  <c r="AH85" i="1"/>
  <c r="AI84" i="1"/>
  <c r="AH84" i="1"/>
  <c r="AH83" i="1"/>
  <c r="AI83" i="1" s="1"/>
  <c r="D82" i="1"/>
  <c r="C82" i="1"/>
  <c r="B82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H80" i="1" s="1"/>
  <c r="B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V71" i="1"/>
  <c r="K71" i="1"/>
  <c r="C71" i="1"/>
  <c r="AI70" i="1"/>
  <c r="AH70" i="1"/>
  <c r="AF69" i="1"/>
  <c r="AE69" i="1"/>
  <c r="AD69" i="1"/>
  <c r="AD71" i="1" s="1"/>
  <c r="AC69" i="1"/>
  <c r="AB69" i="1"/>
  <c r="AA69" i="1"/>
  <c r="Z69" i="1"/>
  <c r="Z71" i="1" s="1"/>
  <c r="Y69" i="1"/>
  <c r="X69" i="1"/>
  <c r="W69" i="1"/>
  <c r="V69" i="1"/>
  <c r="U69" i="1"/>
  <c r="T69" i="1"/>
  <c r="S69" i="1"/>
  <c r="R69" i="1"/>
  <c r="Q69" i="1"/>
  <c r="P69" i="1"/>
  <c r="O69" i="1"/>
  <c r="N69" i="1"/>
  <c r="N71" i="1" s="1"/>
  <c r="M69" i="1"/>
  <c r="L69" i="1"/>
  <c r="K69" i="1"/>
  <c r="J69" i="1"/>
  <c r="J71" i="1" s="1"/>
  <c r="I69" i="1"/>
  <c r="H69" i="1"/>
  <c r="G69" i="1"/>
  <c r="F69" i="1"/>
  <c r="F71" i="1" s="1"/>
  <c r="E69" i="1"/>
  <c r="D69" i="1"/>
  <c r="C69" i="1"/>
  <c r="B69" i="1"/>
  <c r="AI69" i="1" s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AH68" i="1" s="1"/>
  <c r="D68" i="1"/>
  <c r="C68" i="1"/>
  <c r="B68" i="1"/>
  <c r="AI68" i="1" s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R71" i="1" s="1"/>
  <c r="Q67" i="1"/>
  <c r="P67" i="1"/>
  <c r="O67" i="1"/>
  <c r="N67" i="1"/>
  <c r="M67" i="1"/>
  <c r="L67" i="1"/>
  <c r="K67" i="1"/>
  <c r="J67" i="1"/>
  <c r="I67" i="1"/>
  <c r="H67" i="1"/>
  <c r="G67" i="1"/>
  <c r="AI67" i="1" s="1"/>
  <c r="F67" i="1"/>
  <c r="E67" i="1"/>
  <c r="D67" i="1"/>
  <c r="C67" i="1"/>
  <c r="B67" i="1"/>
  <c r="AF66" i="1"/>
  <c r="AE66" i="1"/>
  <c r="AE71" i="1" s="1"/>
  <c r="AD66" i="1"/>
  <c r="AC66" i="1"/>
  <c r="AC71" i="1" s="1"/>
  <c r="AB66" i="1"/>
  <c r="AA66" i="1"/>
  <c r="AA71" i="1" s="1"/>
  <c r="Z66" i="1"/>
  <c r="Y66" i="1"/>
  <c r="Y71" i="1" s="1"/>
  <c r="X66" i="1"/>
  <c r="W66" i="1"/>
  <c r="W71" i="1" s="1"/>
  <c r="V66" i="1"/>
  <c r="U66" i="1"/>
  <c r="U71" i="1" s="1"/>
  <c r="T66" i="1"/>
  <c r="S66" i="1"/>
  <c r="S71" i="1" s="1"/>
  <c r="R66" i="1"/>
  <c r="Q66" i="1"/>
  <c r="Q71" i="1" s="1"/>
  <c r="P66" i="1"/>
  <c r="O66" i="1"/>
  <c r="O71" i="1" s="1"/>
  <c r="N66" i="1"/>
  <c r="M66" i="1"/>
  <c r="M71" i="1" s="1"/>
  <c r="L66" i="1"/>
  <c r="K66" i="1"/>
  <c r="J66" i="1"/>
  <c r="I66" i="1"/>
  <c r="I71" i="1" s="1"/>
  <c r="H66" i="1"/>
  <c r="G66" i="1"/>
  <c r="G71" i="1" s="1"/>
  <c r="F66" i="1"/>
  <c r="E66" i="1"/>
  <c r="AH66" i="1" s="1"/>
  <c r="D66" i="1"/>
  <c r="C66" i="1"/>
  <c r="B66" i="1"/>
  <c r="AI64" i="1"/>
  <c r="AH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I63" i="1" s="1"/>
  <c r="B63" i="1"/>
  <c r="AH63" i="1" s="1"/>
  <c r="AI62" i="1"/>
  <c r="AH62" i="1"/>
  <c r="AI61" i="1"/>
  <c r="AH61" i="1"/>
  <c r="AI60" i="1"/>
  <c r="AH60" i="1"/>
  <c r="AG59" i="1"/>
  <c r="AF59" i="1"/>
  <c r="AE59" i="1"/>
  <c r="AD59" i="1"/>
  <c r="AC59" i="1"/>
  <c r="AC5" i="1" s="1"/>
  <c r="AB59" i="1"/>
  <c r="AA59" i="1"/>
  <c r="Z59" i="1"/>
  <c r="Y59" i="1"/>
  <c r="Y5" i="1" s="1"/>
  <c r="X59" i="1"/>
  <c r="W59" i="1"/>
  <c r="V59" i="1"/>
  <c r="U59" i="1"/>
  <c r="U5" i="1" s="1"/>
  <c r="T59" i="1"/>
  <c r="S59" i="1"/>
  <c r="R59" i="1"/>
  <c r="Q59" i="1"/>
  <c r="Q5" i="1" s="1"/>
  <c r="P59" i="1"/>
  <c r="O59" i="1"/>
  <c r="N59" i="1"/>
  <c r="M59" i="1"/>
  <c r="M5" i="1" s="1"/>
  <c r="L59" i="1"/>
  <c r="K59" i="1"/>
  <c r="J59" i="1"/>
  <c r="I59" i="1"/>
  <c r="I5" i="1" s="1"/>
  <c r="H59" i="1"/>
  <c r="G59" i="1"/>
  <c r="F59" i="1"/>
  <c r="E59" i="1"/>
  <c r="E5" i="1" s="1"/>
  <c r="D59" i="1"/>
  <c r="C59" i="1"/>
  <c r="AI59" i="1" s="1"/>
  <c r="B59" i="1"/>
  <c r="AH59" i="1" s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G47" i="1"/>
  <c r="AG65" i="1" s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I47" i="1" s="1"/>
  <c r="B47" i="1"/>
  <c r="AH47" i="1" s="1"/>
  <c r="AI46" i="1"/>
  <c r="AH46" i="1"/>
  <c r="AI45" i="1"/>
  <c r="AH45" i="1"/>
  <c r="AI44" i="1"/>
  <c r="AH44" i="1"/>
  <c r="AG43" i="1"/>
  <c r="AG3" i="1" s="1"/>
  <c r="B43" i="1"/>
  <c r="AG42" i="1"/>
  <c r="B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H30" i="1" s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AE5" i="1"/>
  <c r="AD5" i="1"/>
  <c r="AB5" i="1"/>
  <c r="AA5" i="1"/>
  <c r="Z5" i="1"/>
  <c r="X5" i="1"/>
  <c r="W5" i="1"/>
  <c r="V5" i="1"/>
  <c r="T5" i="1"/>
  <c r="S5" i="1"/>
  <c r="R5" i="1"/>
  <c r="P5" i="1"/>
  <c r="O5" i="1"/>
  <c r="N5" i="1"/>
  <c r="L5" i="1"/>
  <c r="K5" i="1"/>
  <c r="J5" i="1"/>
  <c r="H5" i="1"/>
  <c r="G5" i="1"/>
  <c r="F5" i="1"/>
  <c r="D5" i="1"/>
  <c r="C5" i="1"/>
  <c r="B5" i="1"/>
  <c r="K4" i="1"/>
  <c r="C4" i="1"/>
  <c r="D4" i="1" s="1"/>
  <c r="AG2" i="1"/>
  <c r="AI30" i="1"/>
  <c r="AC71" i="2"/>
  <c r="AE71" i="2"/>
  <c r="AF71" i="2"/>
  <c r="R71" i="2"/>
  <c r="Z71" i="2"/>
  <c r="AA71" i="2"/>
  <c r="C82" i="2"/>
  <c r="D82" i="2"/>
  <c r="C179" i="2"/>
  <c r="C42" i="2" s="1"/>
  <c r="C43" i="2" s="1"/>
  <c r="C65" i="2" s="1"/>
  <c r="U193" i="2" s="1"/>
  <c r="V71" i="2"/>
  <c r="AD71" i="2"/>
  <c r="D173" i="2"/>
  <c r="E173" i="2" s="1"/>
  <c r="F173" i="2" s="1"/>
  <c r="AB71" i="2"/>
  <c r="Y71" i="2"/>
  <c r="U71" i="2"/>
  <c r="W71" i="2"/>
  <c r="X71" i="2"/>
  <c r="S71" i="2"/>
  <c r="T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I67" i="2"/>
  <c r="D71" i="2"/>
  <c r="AH59" i="2"/>
  <c r="AI80" i="2"/>
  <c r="AH80" i="2"/>
  <c r="B5" i="2"/>
  <c r="AI59" i="2"/>
  <c r="AI47" i="2"/>
  <c r="AI30" i="2"/>
  <c r="AG65" i="2"/>
  <c r="AH68" i="2"/>
  <c r="AH30" i="2"/>
  <c r="AH47" i="2"/>
  <c r="AH67" i="2"/>
  <c r="AI68" i="2"/>
  <c r="AI69" i="2"/>
  <c r="AI66" i="2"/>
  <c r="C71" i="2"/>
  <c r="AH66" i="2"/>
  <c r="AH63" i="2"/>
  <c r="AI63" i="2"/>
  <c r="B43" i="2"/>
  <c r="AH69" i="2"/>
  <c r="E94" i="2"/>
  <c r="C171" i="2"/>
  <c r="D89" i="2"/>
  <c r="B71" i="2"/>
  <c r="G173" i="2"/>
  <c r="D179" i="2"/>
  <c r="D42" i="2" s="1"/>
  <c r="D43" i="2" s="1"/>
  <c r="D65" i="2" s="1"/>
  <c r="C214" i="2"/>
  <c r="D178" i="2"/>
  <c r="AG6" i="1"/>
  <c r="B65" i="1"/>
  <c r="H71" i="1"/>
  <c r="P71" i="1"/>
  <c r="X71" i="1"/>
  <c r="AF71" i="1"/>
  <c r="E71" i="1"/>
  <c r="AI80" i="1"/>
  <c r="F94" i="1"/>
  <c r="E82" i="1"/>
  <c r="AG4" i="1"/>
  <c r="AI66" i="1"/>
  <c r="AH67" i="1"/>
  <c r="AH69" i="1"/>
  <c r="C171" i="1"/>
  <c r="D89" i="1"/>
  <c r="D71" i="1"/>
  <c r="L71" i="1"/>
  <c r="T71" i="1"/>
  <c r="AB71" i="1"/>
  <c r="B71" i="1"/>
  <c r="C179" i="1"/>
  <c r="C42" i="1" s="1"/>
  <c r="D173" i="1"/>
  <c r="D178" i="1"/>
  <c r="C7" i="2"/>
  <c r="V193" i="2"/>
  <c r="D7" i="2"/>
  <c r="B65" i="2"/>
  <c r="H173" i="2"/>
  <c r="AI71" i="2"/>
  <c r="AH71" i="2"/>
  <c r="D214" i="2"/>
  <c r="E178" i="2"/>
  <c r="D171" i="2"/>
  <c r="E89" i="2"/>
  <c r="F94" i="2"/>
  <c r="E82" i="2"/>
  <c r="D214" i="1"/>
  <c r="E178" i="1"/>
  <c r="D179" i="1"/>
  <c r="D42" i="1" s="1"/>
  <c r="D43" i="1" s="1"/>
  <c r="D65" i="1" s="1"/>
  <c r="E173" i="1"/>
  <c r="C43" i="1"/>
  <c r="T193" i="1"/>
  <c r="B7" i="1"/>
  <c r="AI71" i="1"/>
  <c r="AH71" i="1"/>
  <c r="D171" i="1"/>
  <c r="E89" i="1"/>
  <c r="F82" i="1"/>
  <c r="G94" i="1"/>
  <c r="F82" i="2"/>
  <c r="G94" i="2"/>
  <c r="T193" i="2"/>
  <c r="B7" i="2"/>
  <c r="I173" i="2"/>
  <c r="E171" i="2"/>
  <c r="F89" i="2"/>
  <c r="E214" i="2"/>
  <c r="F178" i="2"/>
  <c r="E179" i="2"/>
  <c r="E42" i="2" s="1"/>
  <c r="E171" i="1"/>
  <c r="F89" i="1"/>
  <c r="C65" i="1"/>
  <c r="E179" i="1"/>
  <c r="E42" i="1" s="1"/>
  <c r="F173" i="1"/>
  <c r="V193" i="1"/>
  <c r="D7" i="1"/>
  <c r="F178" i="1"/>
  <c r="E214" i="1"/>
  <c r="H94" i="1"/>
  <c r="G82" i="1"/>
  <c r="E43" i="2"/>
  <c r="F214" i="2"/>
  <c r="G178" i="2"/>
  <c r="F179" i="2"/>
  <c r="F42" i="2" s="1"/>
  <c r="F43" i="2" s="1"/>
  <c r="F65" i="2" s="1"/>
  <c r="F171" i="2"/>
  <c r="G89" i="2"/>
  <c r="J173" i="2"/>
  <c r="H94" i="2"/>
  <c r="G82" i="2"/>
  <c r="I94" i="1"/>
  <c r="H82" i="1"/>
  <c r="E43" i="1"/>
  <c r="G173" i="1"/>
  <c r="F179" i="1"/>
  <c r="F42" i="1" s="1"/>
  <c r="F43" i="1" s="1"/>
  <c r="F65" i="1" s="1"/>
  <c r="F214" i="1"/>
  <c r="G178" i="1"/>
  <c r="F171" i="1"/>
  <c r="G89" i="1"/>
  <c r="U193" i="1"/>
  <c r="C7" i="1"/>
  <c r="X193" i="2"/>
  <c r="F7" i="2"/>
  <c r="G214" i="2"/>
  <c r="H178" i="2"/>
  <c r="G179" i="2"/>
  <c r="G42" i="2" s="1"/>
  <c r="G43" i="2" s="1"/>
  <c r="G65" i="2" s="1"/>
  <c r="H82" i="2"/>
  <c r="I94" i="2"/>
  <c r="K173" i="2"/>
  <c r="G171" i="2"/>
  <c r="H89" i="2"/>
  <c r="E65" i="2"/>
  <c r="X193" i="1"/>
  <c r="F7" i="1"/>
  <c r="H173" i="1"/>
  <c r="G179" i="1"/>
  <c r="G42" i="1" s="1"/>
  <c r="G43" i="1" s="1"/>
  <c r="G65" i="1" s="1"/>
  <c r="G171" i="1"/>
  <c r="H89" i="1"/>
  <c r="E65" i="1"/>
  <c r="I82" i="1"/>
  <c r="J94" i="1"/>
  <c r="G214" i="1"/>
  <c r="H178" i="1"/>
  <c r="H214" i="2"/>
  <c r="I178" i="2"/>
  <c r="H179" i="2"/>
  <c r="H42" i="2" s="1"/>
  <c r="H43" i="2" s="1"/>
  <c r="L173" i="2"/>
  <c r="I82" i="2"/>
  <c r="J94" i="2"/>
  <c r="W193" i="2"/>
  <c r="E7" i="2"/>
  <c r="H171" i="2"/>
  <c r="I89" i="2"/>
  <c r="Y193" i="2"/>
  <c r="G7" i="2"/>
  <c r="K94" i="1"/>
  <c r="J82" i="1"/>
  <c r="Y193" i="1"/>
  <c r="G7" i="1"/>
  <c r="H179" i="1"/>
  <c r="H42" i="1" s="1"/>
  <c r="I173" i="1"/>
  <c r="W193" i="1"/>
  <c r="E7" i="1"/>
  <c r="H171" i="1"/>
  <c r="I89" i="1"/>
  <c r="H214" i="1"/>
  <c r="I178" i="1"/>
  <c r="J82" i="2"/>
  <c r="K94" i="2"/>
  <c r="I171" i="2"/>
  <c r="J89" i="2"/>
  <c r="M173" i="2"/>
  <c r="H65" i="2"/>
  <c r="J178" i="2"/>
  <c r="I214" i="2"/>
  <c r="I179" i="2"/>
  <c r="I42" i="2" s="1"/>
  <c r="I43" i="2" s="1"/>
  <c r="I65" i="2" s="1"/>
  <c r="I171" i="1"/>
  <c r="J89" i="1"/>
  <c r="J173" i="1"/>
  <c r="I179" i="1"/>
  <c r="I42" i="1" s="1"/>
  <c r="I43" i="1" s="1"/>
  <c r="I65" i="1" s="1"/>
  <c r="H43" i="1"/>
  <c r="J178" i="1"/>
  <c r="I214" i="1"/>
  <c r="K82" i="1"/>
  <c r="L94" i="1"/>
  <c r="AA193" i="2"/>
  <c r="I7" i="2"/>
  <c r="J171" i="2"/>
  <c r="K89" i="2"/>
  <c r="N173" i="2"/>
  <c r="J214" i="2"/>
  <c r="K178" i="2"/>
  <c r="J179" i="2"/>
  <c r="J42" i="2" s="1"/>
  <c r="J43" i="2" s="1"/>
  <c r="J65" i="2" s="1"/>
  <c r="L94" i="2"/>
  <c r="K82" i="2"/>
  <c r="Z193" i="2"/>
  <c r="H7" i="2"/>
  <c r="J214" i="1"/>
  <c r="K178" i="1"/>
  <c r="H65" i="1"/>
  <c r="AA193" i="1"/>
  <c r="I7" i="1"/>
  <c r="L82" i="1"/>
  <c r="M94" i="1"/>
  <c r="K173" i="1"/>
  <c r="J179" i="1"/>
  <c r="J42" i="1" s="1"/>
  <c r="J171" i="1"/>
  <c r="K89" i="1"/>
  <c r="O173" i="2"/>
  <c r="L82" i="2"/>
  <c r="M94" i="2"/>
  <c r="K171" i="2"/>
  <c r="L89" i="2"/>
  <c r="K214" i="2"/>
  <c r="L178" i="2"/>
  <c r="K179" i="2"/>
  <c r="K42" i="2" s="1"/>
  <c r="K43" i="2" s="1"/>
  <c r="AB193" i="2"/>
  <c r="J7" i="2"/>
  <c r="N94" i="1"/>
  <c r="M82" i="1"/>
  <c r="K171" i="1"/>
  <c r="L89" i="1"/>
  <c r="Z193" i="1"/>
  <c r="H7" i="1"/>
  <c r="J43" i="1"/>
  <c r="K214" i="1"/>
  <c r="L178" i="1"/>
  <c r="K179" i="1"/>
  <c r="K42" i="1" s="1"/>
  <c r="K43" i="1" s="1"/>
  <c r="K65" i="1" s="1"/>
  <c r="L173" i="1"/>
  <c r="L171" i="2"/>
  <c r="M89" i="2"/>
  <c r="N94" i="2"/>
  <c r="M82" i="2"/>
  <c r="K65" i="2"/>
  <c r="P173" i="2"/>
  <c r="L214" i="2"/>
  <c r="M178" i="2"/>
  <c r="L179" i="2"/>
  <c r="L42" i="2" s="1"/>
  <c r="L43" i="2" s="1"/>
  <c r="L65" i="2" s="1"/>
  <c r="M173" i="1"/>
  <c r="L179" i="1"/>
  <c r="L42" i="1" s="1"/>
  <c r="L43" i="1" s="1"/>
  <c r="L65" i="1" s="1"/>
  <c r="AC193" i="1"/>
  <c r="K7" i="1"/>
  <c r="M178" i="1"/>
  <c r="L214" i="1"/>
  <c r="L171" i="1"/>
  <c r="M89" i="1"/>
  <c r="J65" i="1"/>
  <c r="N82" i="1"/>
  <c r="O94" i="1"/>
  <c r="AC193" i="2"/>
  <c r="K7" i="2"/>
  <c r="AD193" i="2"/>
  <c r="L7" i="2"/>
  <c r="M214" i="2"/>
  <c r="N178" i="2"/>
  <c r="M179" i="2"/>
  <c r="M42" i="2" s="1"/>
  <c r="M43" i="2" s="1"/>
  <c r="M65" i="2" s="1"/>
  <c r="B188" i="2" s="1"/>
  <c r="N82" i="2"/>
  <c r="O94" i="2"/>
  <c r="M171" i="2"/>
  <c r="N89" i="2"/>
  <c r="Q173" i="2"/>
  <c r="M171" i="1"/>
  <c r="N89" i="1"/>
  <c r="N178" i="1"/>
  <c r="M214" i="1"/>
  <c r="O82" i="1"/>
  <c r="P94" i="1"/>
  <c r="AD193" i="1"/>
  <c r="L7" i="1"/>
  <c r="AB193" i="1"/>
  <c r="J7" i="1"/>
  <c r="M179" i="1"/>
  <c r="M42" i="1" s="1"/>
  <c r="M43" i="1" s="1"/>
  <c r="M65" i="1" s="1"/>
  <c r="N173" i="1"/>
  <c r="N171" i="2"/>
  <c r="O89" i="2"/>
  <c r="O82" i="2"/>
  <c r="P94" i="2"/>
  <c r="AE193" i="2"/>
  <c r="M7" i="2"/>
  <c r="C188" i="2"/>
  <c r="K6" i="2" s="1"/>
  <c r="N214" i="2"/>
  <c r="O178" i="2"/>
  <c r="N179" i="2"/>
  <c r="N42" i="2" s="1"/>
  <c r="N43" i="2" s="1"/>
  <c r="N65" i="2" s="1"/>
  <c r="R173" i="2"/>
  <c r="N179" i="1"/>
  <c r="N42" i="1" s="1"/>
  <c r="N43" i="1" s="1"/>
  <c r="N65" i="1" s="1"/>
  <c r="O173" i="1"/>
  <c r="AE193" i="1"/>
  <c r="M7" i="1"/>
  <c r="Q94" i="1"/>
  <c r="P82" i="1"/>
  <c r="C188" i="1"/>
  <c r="B188" i="1"/>
  <c r="K6" i="1" s="1"/>
  <c r="N214" i="1"/>
  <c r="O178" i="1"/>
  <c r="N171" i="1"/>
  <c r="O89" i="1"/>
  <c r="S173" i="2"/>
  <c r="Q94" i="2"/>
  <c r="P82" i="2"/>
  <c r="AF193" i="2"/>
  <c r="N7" i="2"/>
  <c r="O214" i="2"/>
  <c r="P178" i="2"/>
  <c r="O179" i="2"/>
  <c r="O42" i="2" s="1"/>
  <c r="O43" i="2" s="1"/>
  <c r="O65" i="2" s="1"/>
  <c r="O171" i="2"/>
  <c r="P89" i="2"/>
  <c r="R94" i="1"/>
  <c r="Q82" i="1"/>
  <c r="O171" i="1"/>
  <c r="P89" i="1"/>
  <c r="O214" i="1"/>
  <c r="P178" i="1"/>
  <c r="P173" i="1"/>
  <c r="O179" i="1"/>
  <c r="O42" i="1" s="1"/>
  <c r="O43" i="1" s="1"/>
  <c r="O65" i="1" s="1"/>
  <c r="AF193" i="1"/>
  <c r="N7" i="1"/>
  <c r="P171" i="2"/>
  <c r="Q89" i="2"/>
  <c r="Q82" i="2"/>
  <c r="R94" i="2"/>
  <c r="AG193" i="2"/>
  <c r="O7" i="2"/>
  <c r="T173" i="2"/>
  <c r="P214" i="2"/>
  <c r="Q178" i="2"/>
  <c r="P179" i="2"/>
  <c r="P42" i="2" s="1"/>
  <c r="P43" i="2" s="1"/>
  <c r="P65" i="2" s="1"/>
  <c r="AG193" i="1"/>
  <c r="O7" i="1"/>
  <c r="P179" i="1"/>
  <c r="P42" i="1" s="1"/>
  <c r="P43" i="1" s="1"/>
  <c r="P65" i="1" s="1"/>
  <c r="Q173" i="1"/>
  <c r="P214" i="1"/>
  <c r="Q178" i="1"/>
  <c r="P171" i="1"/>
  <c r="Q89" i="1"/>
  <c r="R82" i="1"/>
  <c r="S94" i="1"/>
  <c r="U173" i="2"/>
  <c r="R82" i="2"/>
  <c r="S94" i="2"/>
  <c r="AH193" i="2"/>
  <c r="P7" i="2"/>
  <c r="R178" i="2"/>
  <c r="Q214" i="2"/>
  <c r="Q179" i="2"/>
  <c r="Q42" i="2" s="1"/>
  <c r="Q43" i="2" s="1"/>
  <c r="Q65" i="2" s="1"/>
  <c r="Q171" i="2"/>
  <c r="R89" i="2"/>
  <c r="Q171" i="1"/>
  <c r="R89" i="1"/>
  <c r="R178" i="1"/>
  <c r="Q214" i="1"/>
  <c r="R173" i="1"/>
  <c r="Q179" i="1"/>
  <c r="Q42" i="1" s="1"/>
  <c r="Q43" i="1" s="1"/>
  <c r="Q65" i="1" s="1"/>
  <c r="AH193" i="1"/>
  <c r="P7" i="1"/>
  <c r="T94" i="1"/>
  <c r="S82" i="1"/>
  <c r="R214" i="2"/>
  <c r="S178" i="2"/>
  <c r="R179" i="2"/>
  <c r="R42" i="2" s="1"/>
  <c r="R43" i="2" s="1"/>
  <c r="R65" i="2" s="1"/>
  <c r="S82" i="2"/>
  <c r="T94" i="2"/>
  <c r="R171" i="2"/>
  <c r="S89" i="2"/>
  <c r="V173" i="2"/>
  <c r="AI193" i="2"/>
  <c r="Q7" i="2"/>
  <c r="AI193" i="1"/>
  <c r="Q7" i="1"/>
  <c r="R179" i="1"/>
  <c r="R42" i="1" s="1"/>
  <c r="R43" i="1" s="1"/>
  <c r="R65" i="1" s="1"/>
  <c r="S173" i="1"/>
  <c r="R214" i="1"/>
  <c r="S178" i="1"/>
  <c r="R171" i="1"/>
  <c r="S89" i="1"/>
  <c r="T82" i="1"/>
  <c r="U94" i="1"/>
  <c r="W173" i="2"/>
  <c r="S171" i="2"/>
  <c r="T89" i="2"/>
  <c r="T82" i="2"/>
  <c r="U94" i="2"/>
  <c r="AJ193" i="2"/>
  <c r="R7" i="2"/>
  <c r="S214" i="2"/>
  <c r="T178" i="2"/>
  <c r="S179" i="2"/>
  <c r="S42" i="2" s="1"/>
  <c r="S43" i="2" s="1"/>
  <c r="S65" i="2" s="1"/>
  <c r="S171" i="1"/>
  <c r="T89" i="1"/>
  <c r="S214" i="1"/>
  <c r="T178" i="1"/>
  <c r="S179" i="1"/>
  <c r="S42" i="1" s="1"/>
  <c r="S43" i="1" s="1"/>
  <c r="S65" i="1" s="1"/>
  <c r="T173" i="1"/>
  <c r="AJ193" i="1"/>
  <c r="R7" i="1"/>
  <c r="V94" i="1"/>
  <c r="U82" i="1"/>
  <c r="V94" i="2"/>
  <c r="U82" i="2"/>
  <c r="T171" i="2"/>
  <c r="U89" i="2"/>
  <c r="AK193" i="2"/>
  <c r="S7" i="2"/>
  <c r="T214" i="2"/>
  <c r="U178" i="2"/>
  <c r="T179" i="2"/>
  <c r="T42" i="2" s="1"/>
  <c r="T43" i="2" s="1"/>
  <c r="T65" i="2" s="1"/>
  <c r="X173" i="2"/>
  <c r="U173" i="1"/>
  <c r="T179" i="1"/>
  <c r="T42" i="1" s="1"/>
  <c r="T43" i="1" s="1"/>
  <c r="T65" i="1" s="1"/>
  <c r="AK193" i="1"/>
  <c r="S7" i="1"/>
  <c r="T214" i="1"/>
  <c r="U178" i="1"/>
  <c r="T171" i="1"/>
  <c r="U89" i="1"/>
  <c r="W94" i="1"/>
  <c r="V82" i="1"/>
  <c r="U214" i="2"/>
  <c r="V178" i="2"/>
  <c r="U179" i="2"/>
  <c r="U42" i="2" s="1"/>
  <c r="U43" i="2" s="1"/>
  <c r="U65" i="2" s="1"/>
  <c r="U171" i="2"/>
  <c r="V89" i="2"/>
  <c r="Y173" i="2"/>
  <c r="AL193" i="2"/>
  <c r="T7" i="2"/>
  <c r="V82" i="2"/>
  <c r="W94" i="2"/>
  <c r="U171" i="1"/>
  <c r="V89" i="1"/>
  <c r="V178" i="1"/>
  <c r="U214" i="1"/>
  <c r="AL193" i="1"/>
  <c r="T7" i="1"/>
  <c r="W82" i="1"/>
  <c r="X94" i="1"/>
  <c r="V173" i="1"/>
  <c r="U179" i="1"/>
  <c r="U42" i="1" s="1"/>
  <c r="U43" i="1" s="1"/>
  <c r="U65" i="1" s="1"/>
  <c r="Z173" i="2"/>
  <c r="V171" i="2"/>
  <c r="W89" i="2"/>
  <c r="W82" i="2"/>
  <c r="X94" i="2"/>
  <c r="AM193" i="2"/>
  <c r="U7" i="2"/>
  <c r="V214" i="2"/>
  <c r="W178" i="2"/>
  <c r="V179" i="2"/>
  <c r="V42" i="2" s="1"/>
  <c r="V43" i="2" s="1"/>
  <c r="V65" i="2" s="1"/>
  <c r="X82" i="1"/>
  <c r="Y94" i="1"/>
  <c r="W178" i="1"/>
  <c r="V214" i="1"/>
  <c r="AM193" i="1"/>
  <c r="U7" i="1"/>
  <c r="V171" i="1"/>
  <c r="W89" i="1"/>
  <c r="W173" i="1"/>
  <c r="V179" i="1"/>
  <c r="V42" i="1" s="1"/>
  <c r="V43" i="1" s="1"/>
  <c r="V65" i="1" s="1"/>
  <c r="X82" i="2"/>
  <c r="Y94" i="2"/>
  <c r="W171" i="2"/>
  <c r="X89" i="2"/>
  <c r="AN193" i="2"/>
  <c r="V7" i="2"/>
  <c r="W214" i="2"/>
  <c r="X178" i="2"/>
  <c r="W179" i="2"/>
  <c r="W42" i="2" s="1"/>
  <c r="W43" i="2" s="1"/>
  <c r="W65" i="2" s="1"/>
  <c r="AA173" i="2"/>
  <c r="W171" i="1"/>
  <c r="X89" i="1"/>
  <c r="W214" i="1"/>
  <c r="X178" i="1"/>
  <c r="AN193" i="1"/>
  <c r="V7" i="1"/>
  <c r="Z94" i="1"/>
  <c r="Y82" i="1"/>
  <c r="X173" i="1"/>
  <c r="W179" i="1"/>
  <c r="W42" i="1" s="1"/>
  <c r="W43" i="1" s="1"/>
  <c r="W65" i="1" s="1"/>
  <c r="X214" i="2"/>
  <c r="Y178" i="2"/>
  <c r="X179" i="2"/>
  <c r="X42" i="2" s="1"/>
  <c r="X43" i="2" s="1"/>
  <c r="X65" i="2" s="1"/>
  <c r="X171" i="2"/>
  <c r="Y89" i="2"/>
  <c r="AB173" i="2"/>
  <c r="Z94" i="2"/>
  <c r="Y82" i="2"/>
  <c r="AO193" i="2"/>
  <c r="W7" i="2"/>
  <c r="X214" i="1"/>
  <c r="Y178" i="1"/>
  <c r="AO193" i="1"/>
  <c r="W7" i="1"/>
  <c r="X171" i="1"/>
  <c r="Y89" i="1"/>
  <c r="AA94" i="1"/>
  <c r="Z82" i="1"/>
  <c r="X179" i="1"/>
  <c r="X42" i="1" s="1"/>
  <c r="X43" i="1" s="1"/>
  <c r="X65" i="1" s="1"/>
  <c r="Y173" i="1"/>
  <c r="Z82" i="2"/>
  <c r="AA94" i="2"/>
  <c r="AC173" i="2"/>
  <c r="Y171" i="2"/>
  <c r="Z89" i="2"/>
  <c r="AP193" i="2"/>
  <c r="X7" i="2"/>
  <c r="Z178" i="2"/>
  <c r="Y214" i="2"/>
  <c r="Y179" i="2"/>
  <c r="Y42" i="2" s="1"/>
  <c r="Y43" i="2" s="1"/>
  <c r="Y65" i="2" s="1"/>
  <c r="AA82" i="1"/>
  <c r="AB94" i="1"/>
  <c r="Y171" i="1"/>
  <c r="Z89" i="1"/>
  <c r="Y179" i="1"/>
  <c r="Y42" i="1" s="1"/>
  <c r="Y43" i="1" s="1"/>
  <c r="Y65" i="1" s="1"/>
  <c r="Z173" i="1"/>
  <c r="Z178" i="1"/>
  <c r="Y214" i="1"/>
  <c r="AP193" i="1"/>
  <c r="X7" i="1"/>
  <c r="Z171" i="2"/>
  <c r="AA89" i="2"/>
  <c r="AD173" i="2"/>
  <c r="AQ193" i="2"/>
  <c r="Y7" i="2"/>
  <c r="AA82" i="2"/>
  <c r="AB94" i="2"/>
  <c r="Z214" i="2"/>
  <c r="AA178" i="2"/>
  <c r="Z179" i="2"/>
  <c r="Z43" i="2" s="1"/>
  <c r="Z65" i="2" s="1"/>
  <c r="Z214" i="1"/>
  <c r="AA178" i="1"/>
  <c r="Z179" i="1"/>
  <c r="Z42" i="1" s="1"/>
  <c r="Z43" i="1" s="1"/>
  <c r="Z65" i="1" s="1"/>
  <c r="AA173" i="1"/>
  <c r="AQ193" i="1"/>
  <c r="Y7" i="1"/>
  <c r="Z171" i="1"/>
  <c r="AA89" i="1"/>
  <c r="AB82" i="1"/>
  <c r="AC94" i="1"/>
  <c r="AB82" i="2"/>
  <c r="AC94" i="2"/>
  <c r="AR193" i="2"/>
  <c r="Z7" i="2"/>
  <c r="AE173" i="2"/>
  <c r="AA214" i="2"/>
  <c r="AB178" i="2"/>
  <c r="AA179" i="2"/>
  <c r="AA42" i="2" s="1"/>
  <c r="AA43" i="2" s="1"/>
  <c r="AA65" i="2" s="1"/>
  <c r="AA171" i="2"/>
  <c r="AB89" i="2"/>
  <c r="AA171" i="1"/>
  <c r="AB89" i="1"/>
  <c r="AA179" i="1"/>
  <c r="AA42" i="1" s="1"/>
  <c r="AA43" i="1" s="1"/>
  <c r="AA65" i="1" s="1"/>
  <c r="AB173" i="1"/>
  <c r="AR193" i="1"/>
  <c r="Z7" i="1"/>
  <c r="AD94" i="1"/>
  <c r="AC82" i="1"/>
  <c r="AA214" i="1"/>
  <c r="AB178" i="1"/>
  <c r="AB214" i="2"/>
  <c r="AC178" i="2"/>
  <c r="AB179" i="2"/>
  <c r="AB42" i="2" s="1"/>
  <c r="AB43" i="2" s="1"/>
  <c r="AB65" i="2" s="1"/>
  <c r="AF173" i="2"/>
  <c r="AB171" i="2"/>
  <c r="AC89" i="2"/>
  <c r="AD94" i="2"/>
  <c r="AC82" i="2"/>
  <c r="AS193" i="2"/>
  <c r="AA7" i="2"/>
  <c r="AE94" i="1"/>
  <c r="AD82" i="1"/>
  <c r="AC173" i="1"/>
  <c r="AB179" i="1"/>
  <c r="AB42" i="1" s="1"/>
  <c r="AB43" i="1" s="1"/>
  <c r="AB65" i="1" s="1"/>
  <c r="AS193" i="1"/>
  <c r="AA7" i="1"/>
  <c r="AB214" i="1"/>
  <c r="AC178" i="1"/>
  <c r="AB171" i="1"/>
  <c r="AC89" i="1"/>
  <c r="AE94" i="2"/>
  <c r="AD82" i="2"/>
  <c r="AC171" i="2"/>
  <c r="AD89" i="2"/>
  <c r="AT193" i="2"/>
  <c r="AB7" i="2"/>
  <c r="AC214" i="2"/>
  <c r="AD178" i="2"/>
  <c r="AC179" i="2"/>
  <c r="AC42" i="2" s="1"/>
  <c r="AC43" i="2" s="1"/>
  <c r="AC65" i="2" s="1"/>
  <c r="AD178" i="1"/>
  <c r="AC214" i="1"/>
  <c r="AT193" i="1"/>
  <c r="AB7" i="1"/>
  <c r="AC179" i="1"/>
  <c r="AC42" i="1" s="1"/>
  <c r="AC43" i="1" s="1"/>
  <c r="AC65" i="1" s="1"/>
  <c r="AD173" i="1"/>
  <c r="AC171" i="1"/>
  <c r="AD89" i="1"/>
  <c r="AF94" i="1"/>
  <c r="AF82" i="1" s="1"/>
  <c r="AE82" i="1"/>
  <c r="AD171" i="2"/>
  <c r="AE89" i="2"/>
  <c r="AU193" i="2"/>
  <c r="AC7" i="2"/>
  <c r="AD214" i="2"/>
  <c r="AE178" i="2"/>
  <c r="AD179" i="2"/>
  <c r="AD42" i="2" s="1"/>
  <c r="AD43" i="2" s="1"/>
  <c r="AD65" i="2" s="1"/>
  <c r="AE82" i="2"/>
  <c r="AF94" i="2"/>
  <c r="AF82" i="2" s="1"/>
  <c r="AD171" i="1"/>
  <c r="AE89" i="1"/>
  <c r="AE173" i="1"/>
  <c r="AD179" i="1"/>
  <c r="AD42" i="1" s="1"/>
  <c r="AD43" i="1" s="1"/>
  <c r="AD65" i="1" s="1"/>
  <c r="AU193" i="1"/>
  <c r="AC7" i="1"/>
  <c r="AI82" i="1"/>
  <c r="AH82" i="1"/>
  <c r="AD214" i="1"/>
  <c r="AE178" i="1"/>
  <c r="AV193" i="2"/>
  <c r="AD7" i="2"/>
  <c r="AE214" i="2"/>
  <c r="AF178" i="2"/>
  <c r="AE179" i="2"/>
  <c r="AE42" i="2" s="1"/>
  <c r="AE43" i="2" s="1"/>
  <c r="AE65" i="2" s="1"/>
  <c r="AE171" i="2"/>
  <c r="AF89" i="2"/>
  <c r="AF171" i="2" s="1"/>
  <c r="AH82" i="2"/>
  <c r="AI82" i="2"/>
  <c r="AV193" i="1"/>
  <c r="AD7" i="1"/>
  <c r="AF173" i="1"/>
  <c r="AE179" i="1"/>
  <c r="AE42" i="1" s="1"/>
  <c r="AE43" i="1" s="1"/>
  <c r="AE65" i="1" s="1"/>
  <c r="AE214" i="1"/>
  <c r="AF178" i="1"/>
  <c r="AF214" i="1" s="1"/>
  <c r="AE171" i="1"/>
  <c r="AF89" i="1"/>
  <c r="AF171" i="1" s="1"/>
  <c r="AW193" i="2"/>
  <c r="AE7" i="2"/>
  <c r="AF214" i="2"/>
  <c r="AF179" i="2"/>
  <c r="AF42" i="2" s="1"/>
  <c r="AW193" i="1"/>
  <c r="AE7" i="1"/>
  <c r="AF179" i="1"/>
  <c r="AF42" i="1" s="1"/>
  <c r="AF43" i="2"/>
  <c r="AH42" i="2"/>
  <c r="AI42" i="2"/>
  <c r="AF43" i="1"/>
  <c r="AH42" i="1"/>
  <c r="AI42" i="1"/>
  <c r="AF65" i="2"/>
  <c r="AI43" i="2"/>
  <c r="AH43" i="2"/>
  <c r="AF65" i="1"/>
  <c r="AH43" i="1"/>
  <c r="AI43" i="1"/>
  <c r="AX193" i="2"/>
  <c r="AF7" i="2"/>
  <c r="A7" i="2" s="1"/>
  <c r="AI65" i="2"/>
  <c r="AH65" i="2"/>
  <c r="AX193" i="1"/>
  <c r="AF7" i="1"/>
  <c r="A7" i="1" s="1"/>
  <c r="AI65" i="1"/>
  <c r="AH65" i="1"/>
  <c r="AI65" i="31" l="1"/>
  <c r="AH65" i="31"/>
  <c r="AC7" i="31"/>
  <c r="AF7" i="31"/>
  <c r="A7" i="31" s="1"/>
  <c r="AD7" i="31"/>
  <c r="S190" i="13"/>
  <c r="D4" i="16"/>
  <c r="D4" i="23"/>
  <c r="D190" i="16"/>
  <c r="S190" i="23"/>
  <c r="D4" i="6"/>
  <c r="D190" i="6"/>
  <c r="S190" i="17"/>
  <c r="S190" i="18"/>
  <c r="D4" i="11"/>
  <c r="S190" i="11"/>
  <c r="D190" i="10"/>
  <c r="D4" i="20"/>
  <c r="D4" i="22"/>
  <c r="S190" i="22"/>
  <c r="D190" i="4"/>
  <c r="S190" i="10"/>
  <c r="D190" i="15"/>
  <c r="S190" i="1"/>
  <c r="D190" i="2"/>
  <c r="S190" i="8"/>
  <c r="D4" i="18"/>
  <c r="S190" i="2"/>
  <c r="D190" i="7"/>
  <c r="D4" i="15"/>
  <c r="S190" i="24"/>
  <c r="S190" i="20"/>
  <c r="D4" i="21"/>
  <c r="D190" i="25"/>
  <c r="D190" i="5"/>
  <c r="S190" i="14"/>
  <c r="D190" i="19"/>
  <c r="S190" i="4"/>
  <c r="S190" i="5"/>
  <c r="D4" i="13"/>
  <c r="D4" i="24"/>
  <c r="S190" i="25"/>
  <c r="D190" i="26"/>
  <c r="D4" i="19"/>
  <c r="S190" i="26"/>
  <c r="S190" i="7"/>
  <c r="D4" i="14"/>
  <c r="D190" i="21"/>
  <c r="D190" i="3"/>
  <c r="D4" i="8"/>
  <c r="D190" i="17"/>
  <c r="D190" i="1"/>
  <c r="S190" i="3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  <author>Data Server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F86" authorId="1">
      <text>
        <r>
          <rPr>
            <b/>
            <sz val="9"/>
            <color indexed="81"/>
            <rFont val="Tahoma"/>
            <family val="2"/>
          </rPr>
          <t>Data Server:</t>
        </r>
        <r>
          <rPr>
            <sz val="9"/>
            <color indexed="81"/>
            <rFont val="Tahoma"/>
            <family val="2"/>
          </rPr>
          <t xml:space="preserve">
Problem in data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<sst xmlns="http://schemas.openxmlformats.org/spreadsheetml/2006/main" count="6925" uniqueCount="215">
  <si>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</si>
  <si>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</si>
  <si>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</si>
  <si>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</si>
  <si>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</si>
  <si>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</si>
  <si>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</si>
  <si>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</si>
  <si>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</si>
  <si>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</si>
  <si>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</si>
  <si>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</si>
  <si>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</si>
  <si>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</si>
  <si>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</si>
  <si>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</si>
  <si>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</si>
  <si>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</si>
  <si>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Khimti Khola(60)</t>
  </si>
  <si>
    <t>Upper Marsyangdi "A"(50)</t>
  </si>
  <si>
    <t>Bhotekoshi Khola(45)</t>
  </si>
  <si>
    <t>Kabeli B-1(25)</t>
  </si>
  <si>
    <t>Upper Madi(25)</t>
  </si>
  <si>
    <t>Solu Khola(23.5)</t>
  </si>
  <si>
    <t>Chilime(22.1)</t>
  </si>
  <si>
    <t>Lower Hewa Khola(22.1)</t>
  </si>
  <si>
    <t>Bagmati(Mandu) KholaSmall(22)</t>
  </si>
  <si>
    <t>Sanima Mai Khola(22)</t>
  </si>
  <si>
    <r>
      <t xml:space="preserve">Hewa Khola A </t>
    </r>
    <r>
      <rPr>
        <b/>
        <i/>
        <sz val="10"/>
        <color rgb="FFFF0000"/>
        <rFont val="Times New Roman"/>
        <family val="1"/>
      </rPr>
      <t>Upper</t>
    </r>
    <r>
      <rPr>
        <sz val="10"/>
        <rFont val="Times New Roman"/>
        <family val="1"/>
      </rPr>
      <t>(14.9)</t>
    </r>
  </si>
  <si>
    <t>Thapa Khola(13.6)</t>
  </si>
  <si>
    <t>Sikless Khola(13)</t>
  </si>
  <si>
    <t>Jhimruk Khola(12)</t>
  </si>
  <si>
    <t>Upper Mai Khola(12)</t>
  </si>
  <si>
    <t>Namarjun(12)</t>
  </si>
  <si>
    <t>Lower Modi 1(10)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</si>
  <si>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</si>
  <si>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</si>
  <si>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</si>
  <si>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</si>
  <si>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</si>
  <si>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</si>
  <si>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</si>
  <si>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</si>
  <si>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</si>
  <si>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</si>
  <si>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</si>
  <si>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</si>
  <si>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</si>
  <si>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</si>
  <si>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</si>
  <si>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</si>
  <si>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</si>
  <si>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</si>
  <si>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</si>
  <si>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</si>
  <si>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TNKPR</t>
  </si>
  <si>
    <t>BHNTBRI</t>
  </si>
  <si>
    <t>MUJAFFARPUR</t>
  </si>
  <si>
    <t>RAMNAGAR</t>
  </si>
  <si>
    <t>RAXAUL 132</t>
  </si>
  <si>
    <t>NANPRA</t>
  </si>
  <si>
    <t>BISHANPUR</t>
  </si>
  <si>
    <t>JALESHWOR</t>
  </si>
  <si>
    <t>RAJBRJ</t>
  </si>
  <si>
    <t>Raxaul 33</t>
  </si>
  <si>
    <t>Others</t>
  </si>
  <si>
    <t>Total IMPORT</t>
  </si>
  <si>
    <t>MULTI F</t>
  </si>
  <si>
    <t>HTD DIE</t>
  </si>
  <si>
    <t>MRS DI</t>
  </si>
  <si>
    <t>Total DIESEL</t>
  </si>
  <si>
    <t>Total Load Shedded/Trip</t>
  </si>
  <si>
    <t>T0TAL</t>
  </si>
  <si>
    <t>RMNGR</t>
  </si>
  <si>
    <t>KATAIYA</t>
  </si>
  <si>
    <t>RAXAUL</t>
  </si>
  <si>
    <t>MUZAFFARPUR</t>
  </si>
  <si>
    <t>OTHER</t>
  </si>
  <si>
    <t>Total EXPORT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</si>
  <si>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</si>
  <si>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</si>
  <si>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</si>
  <si>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</si>
  <si>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</si>
  <si>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</si>
  <si>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</si>
  <si>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</si>
  <si>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TOTAL IMPORT</t>
  </si>
  <si>
    <t>Kathmandu Load</t>
  </si>
  <si>
    <t>MRS-SYU</t>
  </si>
  <si>
    <t>KL2-MATA</t>
  </si>
  <si>
    <t>KL1-SYU</t>
  </si>
  <si>
    <t>DHALKE-KHIMTI</t>
  </si>
  <si>
    <t>DHALKE-CHAPUR I</t>
  </si>
  <si>
    <t>Others IPP Detail</t>
  </si>
  <si>
    <t>Iwa Khola(9.9)</t>
  </si>
  <si>
    <t>Sipring Khola(9.66)</t>
  </si>
  <si>
    <t>Super Mai A(9.6)</t>
  </si>
  <si>
    <t>Andhi Khola(9.4)</t>
  </si>
  <si>
    <t>Rudi Khola A(8.8)</t>
  </si>
  <si>
    <t>Api(Naugadh gad Khola)(8.5)</t>
  </si>
  <si>
    <t>Ankhu Khola - 1(8.4)</t>
  </si>
  <si>
    <t>Mai Sana Cascade(8)</t>
  </si>
  <si>
    <t>Upper Naugad Gad(8)</t>
  </si>
  <si>
    <t>Super Mai(7.8)</t>
  </si>
  <si>
    <t>Jogmai(7.6)</t>
  </si>
  <si>
    <t>Indrawati - III(7.5)</t>
  </si>
  <si>
    <t>Upper Khorunga(7.5)</t>
  </si>
  <si>
    <t>Sanima Mai Cascade(7)</t>
  </si>
  <si>
    <t>Molung Khola(7)</t>
  </si>
  <si>
    <t>Upper Mardi(7)</t>
  </si>
  <si>
    <t>Rudi Khola B(6.6)</t>
  </si>
  <si>
    <t>Daraudi Khola A(6)</t>
  </si>
  <si>
    <t>Upper Mai C(5.1)</t>
  </si>
  <si>
    <t>Ghalemdi Khola(5)</t>
  </si>
  <si>
    <t>Mailung Khola(5)</t>
  </si>
  <si>
    <t>Pikhuwa Khola(5)</t>
  </si>
  <si>
    <t>Tadi Khola (Thaprek)(5)</t>
  </si>
  <si>
    <t>Upper Hugdi Khola(5)</t>
  </si>
  <si>
    <t>Phawa Khola(4.95)</t>
  </si>
  <si>
    <t>Siuri Khola(4.95)</t>
  </si>
  <si>
    <t>Mardi Khola(4.8)</t>
  </si>
  <si>
    <t>Padam Khola(4.8)</t>
  </si>
  <si>
    <t>Mai Khola Small(4.5)</t>
  </si>
  <si>
    <t>Hewa Khola(4.46)</t>
  </si>
  <si>
    <t>Bijayapur-1(4.41)</t>
  </si>
  <si>
    <t>Radhi Khola(4.4)</t>
  </si>
  <si>
    <t>Tungun-Thosne(4.36)</t>
  </si>
  <si>
    <t>Baramchi Khola(4.2)</t>
  </si>
  <si>
    <t>Khudi Khola(4)</t>
  </si>
  <si>
    <t>Puwa Khola -1(4)</t>
  </si>
  <si>
    <t>Sabha Khola(4)</t>
  </si>
  <si>
    <t>Sardi Khola(4)</t>
  </si>
  <si>
    <t>Dwari Khola(3.75)</t>
  </si>
  <si>
    <t>Charanawati Khola(3.52)</t>
  </si>
  <si>
    <t>Kapadi Gad(3.33)</t>
  </si>
  <si>
    <t>Bhairab Kunda(3)</t>
  </si>
  <si>
    <t>Chaku Khola(3)</t>
  </si>
  <si>
    <t>Midim Karapu(3)</t>
  </si>
  <si>
    <t>Piluwa Khola Small(3)</t>
  </si>
  <si>
    <t>Upper Puwa -1(3)</t>
  </si>
  <si>
    <t>Super Mai Cascade(3)</t>
  </si>
  <si>
    <t>Chake Khola(2.83)</t>
  </si>
  <si>
    <t>Daram Khola A(2.5)</t>
  </si>
  <si>
    <t>Sunkoshi Small(2.5)</t>
  </si>
  <si>
    <t>Ridi Khola(2.4)</t>
  </si>
  <si>
    <t>Jiri Khola Small(2.2)</t>
  </si>
  <si>
    <t>Chhandi(2)</t>
  </si>
  <si>
    <t>Jhyadi Khola(2)</t>
  </si>
  <si>
    <t>Khani Khola(2)</t>
  </si>
  <si>
    <t>Lower Chaku Khola(1.8)</t>
  </si>
  <si>
    <t>Middle Chaku(1.8)</t>
  </si>
  <si>
    <t>Thoppal Khola(1.65)</t>
  </si>
  <si>
    <t>Theule Khola(1.5)</t>
  </si>
  <si>
    <t>Kuthali(Suspa) Bukhari(1)</t>
  </si>
  <si>
    <t>Tallo Chote Khola(1)</t>
  </si>
  <si>
    <t>Jeuligad Small Hydropower Project(1)</t>
  </si>
  <si>
    <t>Miya Khola(1)</t>
  </si>
  <si>
    <t>Pati Khola Small(1)</t>
  </si>
  <si>
    <t>Pheme Khola(1)</t>
  </si>
  <si>
    <t>Chhote Khola(0.99)</t>
  </si>
  <si>
    <t>Upper Hadi Khola(0.99)</t>
  </si>
  <si>
    <t>Lower Piluwa Small(0.99)</t>
  </si>
  <si>
    <t>Seti-II(0.98)</t>
  </si>
  <si>
    <t>Bishnu Priya Solar Farm Project(0.96)</t>
  </si>
  <si>
    <t>Sisne Khola Small(0.75)</t>
  </si>
  <si>
    <t>Solar KUKL(0.68)</t>
  </si>
  <si>
    <t>Dhunge-Jiri(0.6)</t>
  </si>
  <si>
    <t>Jhankre Khola Small(0.6)</t>
  </si>
  <si>
    <t>Belkhu(0.52)</t>
  </si>
  <si>
    <t>Rairang Khola(0.5)</t>
  </si>
  <si>
    <t>Sali Nadi(0.25)</t>
  </si>
  <si>
    <t>Syange Khola(0.18)</t>
  </si>
  <si>
    <t>Midim Khola(0.1)</t>
  </si>
  <si>
    <t>Sobuwa Khola-2 MHP(0.09)</t>
  </si>
  <si>
    <t>Leguwa Khola(0.04)</t>
  </si>
  <si>
    <t>Syauri Bhumey(0.02)</t>
  </si>
  <si>
    <t>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</si>
  <si>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</si>
  <si>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</si>
  <si>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</si>
  <si>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</si>
  <si>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</si>
  <si>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</si>
  <si>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</si>
  <si>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</si>
  <si>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</si>
  <si>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</si>
  <si>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</si>
  <si>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</si>
  <si>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</si>
  <si>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</si>
  <si>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</si>
  <si>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</si>
  <si>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</si>
  <si>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</si>
  <si>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</si>
  <si>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</si>
  <si>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</si>
  <si>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</si>
  <si>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Date: 2078 Jestha</t>
  </si>
  <si>
    <t>DM</t>
  </si>
  <si>
    <t xml:space="preserve"> </t>
  </si>
  <si>
    <t>126..4</t>
  </si>
  <si>
    <t>N/A</t>
  </si>
  <si>
    <t>s/d</t>
  </si>
  <si>
    <t>Total Load</t>
  </si>
  <si>
    <t xml:space="preserve">          Hrs.               Source</t>
  </si>
  <si>
    <t>BRT-HARDI</t>
  </si>
  <si>
    <t>Source</t>
  </si>
  <si>
    <t>D</t>
  </si>
  <si>
    <t>I</t>
  </si>
  <si>
    <t>S</t>
  </si>
  <si>
    <t>T</t>
  </si>
  <si>
    <t>Disturb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</si>
</sst>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h:mm;@"/>
    <numFmt numFmtId="165" formatCode="[$-F800]dddd\,\ mmmm\ dd\,\ yyyy"/>
    <numFmt numFmtId="166" formatCode="0.0"/>
    <numFmt numFmtId="167" formatCode="[hh]:mm"/>
    <numFmt numFmtId="168" formatCode="0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/>
      <bottom style="medium">
        <color indexed="64"/>
      </bottom>
      <diagonal style="double">
        <color indexed="64"/>
      </diagonal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6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vertical="center"/>
    </xf>
    <xf numFmtId="0" fontId="0" fillId="5" borderId="0" xfId="0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6" fontId="0" fillId="5" borderId="0" xfId="0" applyNumberFormat="1" applyFill="1"/>
    <xf numFmtId="165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1" xfId="0" applyFont="1" applyBorder="1" applyAlignment="1">
      <alignment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5" xfId="0" applyFont="1" applyBorder="1" applyAlignment="1">
      <alignment horizontal="right" vertical="center"/>
    </xf>
    <xf numFmtId="166" fontId="12" fillId="8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2" fontId="25" fillId="0" borderId="3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Fill="1" applyBorder="1" applyAlignment="1"/>
    <xf numFmtId="2" fontId="12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8" fillId="0" borderId="29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6" fontId="16" fillId="0" borderId="32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8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33" xfId="0" applyFont="1" applyBorder="1" applyAlignment="1">
      <alignment horizontal="right" vertical="center"/>
    </xf>
    <xf numFmtId="2" fontId="28" fillId="0" borderId="19" xfId="0" applyNumberFormat="1" applyFont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166" fontId="12" fillId="5" borderId="6" xfId="0" applyNumberFormat="1" applyFont="1" applyFill="1" applyBorder="1" applyAlignment="1" applyProtection="1">
      <alignment horizontal="center" vertical="center"/>
      <protection locked="0"/>
    </xf>
    <xf numFmtId="166" fontId="12" fillId="5" borderId="23" xfId="0" applyNumberFormat="1" applyFont="1" applyFill="1" applyBorder="1" applyAlignment="1" applyProtection="1">
      <alignment horizontal="center" vertical="center"/>
      <protection locked="0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2" fontId="25" fillId="0" borderId="24" xfId="0" applyNumberFormat="1" applyFont="1" applyBorder="1" applyAlignment="1">
      <alignment horizontal="center" vertical="center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0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right" vertical="center"/>
    </xf>
    <xf numFmtId="166" fontId="12" fillId="0" borderId="19" xfId="0" applyNumberFormat="1" applyFon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vertical="center" wrapText="1"/>
    </xf>
    <xf numFmtId="166" fontId="12" fillId="0" borderId="32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2" fontId="25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3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38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 vertical="center"/>
      <protection locked="0"/>
    </xf>
    <xf numFmtId="166" fontId="12" fillId="0" borderId="40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40" xfId="0" applyNumberFormat="1" applyFont="1" applyBorder="1" applyAlignment="1" applyProtection="1">
      <alignment horizontal="center"/>
      <protection locked="0"/>
    </xf>
    <xf numFmtId="2" fontId="12" fillId="0" borderId="41" xfId="0" applyNumberFormat="1" applyFont="1" applyBorder="1" applyAlignment="1">
      <alignment horizontal="center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166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7" xfId="0" applyFont="1" applyBorder="1" applyAlignment="1">
      <alignment vertical="center"/>
    </xf>
    <xf numFmtId="166" fontId="12" fillId="0" borderId="2" xfId="0" applyNumberFormat="1" applyFont="1" applyBorder="1" applyAlignment="1">
      <alignment horizontal="center" vertical="center"/>
    </xf>
    <xf numFmtId="166" fontId="12" fillId="0" borderId="44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39" xfId="0" applyFont="1" applyBorder="1" applyAlignment="1">
      <alignment vertical="center"/>
    </xf>
    <xf numFmtId="166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6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/>
      <protection locked="0"/>
    </xf>
    <xf numFmtId="166" fontId="12" fillId="0" borderId="47" xfId="0" applyNumberFormat="1" applyFont="1" applyBorder="1" applyAlignment="1" applyProtection="1">
      <alignment horizontal="center"/>
      <protection locked="0"/>
    </xf>
    <xf numFmtId="2" fontId="0" fillId="0" borderId="19" xfId="0" applyNumberFormat="1" applyBorder="1" applyAlignment="1">
      <alignment horizontal="center"/>
    </xf>
    <xf numFmtId="0" fontId="16" fillId="0" borderId="48" xfId="0" applyFont="1" applyBorder="1" applyAlignment="1">
      <alignment vertical="center"/>
    </xf>
    <xf numFmtId="0" fontId="0" fillId="0" borderId="49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12" fillId="0" borderId="50" xfId="0" applyFont="1" applyBorder="1" applyAlignment="1">
      <alignment vertical="center"/>
    </xf>
    <xf numFmtId="2" fontId="12" fillId="0" borderId="26" xfId="0" applyNumberFormat="1" applyFont="1" applyBorder="1" applyAlignment="1">
      <alignment horizontal="center" vertical="center"/>
    </xf>
    <xf numFmtId="2" fontId="25" fillId="0" borderId="51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2" fontId="25" fillId="0" borderId="40" xfId="0" applyNumberFormat="1" applyFont="1" applyBorder="1" applyAlignment="1">
      <alignment horizontal="center" vertical="center"/>
    </xf>
    <xf numFmtId="2" fontId="25" fillId="0" borderId="52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12" fillId="0" borderId="54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2" fontId="29" fillId="0" borderId="52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vertical="center"/>
    </xf>
    <xf numFmtId="2" fontId="12" fillId="0" borderId="32" xfId="0" applyNumberFormat="1" applyFont="1" applyBorder="1" applyAlignment="1">
      <alignment horizontal="center" vertical="center"/>
    </xf>
    <xf numFmtId="2" fontId="0" fillId="0" borderId="56" xfId="0" applyNumberFormat="1" applyBorder="1" applyAlignment="1">
      <alignment horizontal="center"/>
    </xf>
    <xf numFmtId="2" fontId="30" fillId="0" borderId="2" xfId="0" applyNumberFormat="1" applyFont="1" applyBorder="1" applyAlignment="1">
      <alignment horizontal="center" vertical="center"/>
    </xf>
    <xf numFmtId="2" fontId="30" fillId="0" borderId="4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vertical="center"/>
    </xf>
    <xf numFmtId="2" fontId="30" fillId="0" borderId="26" xfId="0" applyNumberFormat="1" applyFont="1" applyBorder="1" applyAlignment="1">
      <alignment horizontal="center" vertical="center"/>
    </xf>
    <xf numFmtId="2" fontId="30" fillId="0" borderId="51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/>
    </xf>
    <xf numFmtId="2" fontId="30" fillId="0" borderId="6" xfId="0" applyNumberFormat="1" applyFont="1" applyBorder="1" applyAlignment="1">
      <alignment horizontal="center" vertical="center"/>
    </xf>
    <xf numFmtId="2" fontId="30" fillId="0" borderId="40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2" fontId="30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1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2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7" fontId="12" fillId="0" borderId="58" xfId="0" applyNumberFormat="1" applyFont="1" applyBorder="1" applyAlignment="1">
      <alignment vertical="center"/>
    </xf>
    <xf numFmtId="167" fontId="12" fillId="0" borderId="19" xfId="0" applyNumberFormat="1" applyFont="1" applyBorder="1" applyAlignment="1">
      <alignment vertical="center"/>
    </xf>
    <xf numFmtId="167" fontId="12" fillId="0" borderId="20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165" fontId="15" fillId="4" borderId="0" xfId="0" applyNumberFormat="1" applyFont="1" applyFill="1" applyAlignment="1">
      <alignment horizontal="left" vertical="center"/>
    </xf>
    <xf numFmtId="166" fontId="12" fillId="0" borderId="23" xfId="0" applyNumberFormat="1" applyFont="1" applyFill="1" applyBorder="1" applyAlignment="1">
      <alignment horizontal="center" vertical="center"/>
    </xf>
    <xf numFmtId="165" fontId="15" fillId="4" borderId="0" xfId="0" applyNumberFormat="1" applyFont="1" applyFill="1" applyAlignment="1">
      <alignment horizontal="left" vertical="center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26" xfId="0" applyNumberFormat="1" applyFont="1" applyFill="1" applyBorder="1" applyAlignment="1">
      <alignment horizontal="center" vertical="top" wrapText="1"/>
    </xf>
    <xf numFmtId="166" fontId="34" fillId="15" borderId="19" xfId="0" applyNumberFormat="1" applyFont="1" applyFill="1" applyBorder="1" applyAlignment="1">
      <alignment horizontal="center" vertical="top" wrapText="1"/>
    </xf>
    <xf numFmtId="165" fontId="15" fillId="4" borderId="0" xfId="0" applyNumberFormat="1" applyFont="1" applyFill="1" applyAlignment="1">
      <alignment horizontal="left" vertical="center"/>
    </xf>
    <xf numFmtId="0" fontId="12" fillId="0" borderId="59" xfId="0" applyFont="1" applyFill="1" applyBorder="1" applyAlignment="1">
      <alignment horizontal="right" vertical="center"/>
    </xf>
    <xf numFmtId="166" fontId="0" fillId="0" borderId="0" xfId="0" applyNumberFormat="1"/>
    <xf numFmtId="0" fontId="16" fillId="0" borderId="3" xfId="0" applyNumberFormat="1" applyFont="1" applyBorder="1" applyAlignment="1">
      <alignment horizontal="center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0" fontId="12" fillId="0" borderId="55" xfId="0" applyFont="1" applyFill="1" applyBorder="1" applyAlignment="1">
      <alignment horizontal="right" vertical="center"/>
    </xf>
    <xf numFmtId="0" fontId="0" fillId="0" borderId="32" xfId="0" applyBorder="1"/>
    <xf numFmtId="0" fontId="0" fillId="0" borderId="56" xfId="0" applyBorder="1"/>
    <xf numFmtId="2" fontId="0" fillId="0" borderId="0" xfId="0" applyNumberFormat="1" applyBorder="1" applyAlignment="1">
      <alignment horizontal="center"/>
    </xf>
    <xf numFmtId="0" fontId="12" fillId="9" borderId="46" xfId="0" applyFont="1" applyFill="1" applyBorder="1" applyAlignment="1">
      <alignment vertical="center"/>
    </xf>
    <xf numFmtId="2" fontId="34" fillId="15" borderId="26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6" xfId="0" applyNumberFormat="1" applyFont="1" applyBorder="1" applyProtection="1">
      <protection locked="0"/>
    </xf>
    <xf numFmtId="166" fontId="9" fillId="0" borderId="19" xfId="0" applyNumberFormat="1" applyFont="1" applyBorder="1" applyProtection="1">
      <protection locked="0"/>
    </xf>
    <xf numFmtId="166" fontId="9" fillId="0" borderId="2" xfId="0" applyNumberFormat="1" applyFont="1" applyBorder="1" applyProtection="1">
      <protection locked="0"/>
    </xf>
    <xf numFmtId="0" fontId="0" fillId="0" borderId="6" xfId="0" applyBorder="1"/>
    <xf numFmtId="166" fontId="12" fillId="0" borderId="19" xfId="0" applyNumberFormat="1" applyFont="1" applyBorder="1" applyAlignment="1">
      <alignment horizontal="center" vertical="center"/>
    </xf>
    <xf numFmtId="2" fontId="34" fillId="15" borderId="26" xfId="0" applyNumberFormat="1" applyFont="1" applyFill="1" applyBorder="1" applyAlignment="1" applyProtection="1">
      <alignment horizontal="center" vertical="top" wrapText="1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60" xfId="0" applyNumberFormat="1" applyFont="1" applyFill="1" applyBorder="1" applyAlignment="1" applyProtection="1">
      <alignment horizontal="center" vertical="top" wrapText="1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2" fontId="28" fillId="0" borderId="19" xfId="0" applyNumberFormat="1" applyFont="1" applyBorder="1" applyAlignment="1">
      <alignment horizontal="center" vertical="center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12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166" fontId="34" fillId="15" borderId="6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6" xfId="0" applyBorder="1"/>
    <xf numFmtId="165" fontId="15" fillId="4" borderId="0" xfId="0" applyNumberFormat="1" applyFont="1" applyFill="1" applyAlignment="1">
      <alignment horizontal="left" vertical="center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center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166" fontId="16" fillId="0" borderId="32" xfId="0" applyNumberFormat="1" applyFont="1" applyBorder="1" applyAlignment="1">
      <alignment horizontal="center" vertical="center"/>
    </xf>
    <xf numFmtId="2" fontId="28" fillId="0" borderId="19" xfId="0" applyNumberFormat="1" applyFont="1" applyBorder="1" applyAlignment="1">
      <alignment horizontal="center" vertical="center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left" vertical="top" wrapText="1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60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2" fontId="28" fillId="0" borderId="19" xfId="0" applyNumberFormat="1" applyFont="1" applyBorder="1" applyAlignment="1">
      <alignment horizontal="center" vertical="center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26" xfId="0" applyNumberFormat="1" applyFont="1" applyFill="1" applyBorder="1" applyAlignment="1">
      <alignment horizontal="center" vertical="top" wrapText="1"/>
    </xf>
    <xf numFmtId="166" fontId="34" fillId="15" borderId="19" xfId="0" applyNumberFormat="1" applyFont="1" applyFill="1" applyBorder="1" applyAlignment="1">
      <alignment horizontal="center" vertical="top" wrapText="1"/>
    </xf>
    <xf numFmtId="0" fontId="0" fillId="0" borderId="0" xfId="0"/>
    <xf numFmtId="0" fontId="12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166" fontId="34" fillId="15" borderId="60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0" fontId="34" fillId="15" borderId="6" xfId="0" applyFont="1" applyFill="1" applyBorder="1" applyAlignment="1">
      <alignment horizontal="center" vertical="top" wrapText="1"/>
    </xf>
    <xf numFmtId="0" fontId="0" fillId="0" borderId="6" xfId="0" applyBorder="1"/>
    <xf numFmtId="165" fontId="15" fillId="4" borderId="0" xfId="0" applyNumberFormat="1" applyFont="1" applyFill="1" applyAlignment="1">
      <alignment horizontal="left" vertical="center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center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166" fontId="16" fillId="0" borderId="32" xfId="0" applyNumberFormat="1" applyFont="1" applyBorder="1" applyAlignment="1">
      <alignment horizontal="center" vertical="center"/>
    </xf>
    <xf numFmtId="2" fontId="28" fillId="0" borderId="19" xfId="0" applyNumberFormat="1" applyFont="1" applyBorder="1" applyAlignment="1">
      <alignment horizontal="center" vertical="center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 applyProtection="1">
      <alignment horizontal="center"/>
      <protection locked="0"/>
    </xf>
    <xf numFmtId="0" fontId="16" fillId="0" borderId="9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left" vertical="top" wrapText="1"/>
    </xf>
    <xf numFmtId="0" fontId="16" fillId="0" borderId="32" xfId="0" applyNumberFormat="1" applyFont="1" applyBorder="1" applyAlignment="1">
      <alignment horizontal="center" vertical="center"/>
    </xf>
    <xf numFmtId="166" fontId="34" fillId="15" borderId="6" xfId="0" applyNumberFormat="1" applyFont="1" applyFill="1" applyBorder="1" applyAlignment="1">
      <alignment horizontal="center" vertical="top" wrapText="1"/>
    </xf>
    <xf numFmtId="166" fontId="35" fillId="15" borderId="6" xfId="0" applyNumberFormat="1" applyFont="1" applyFill="1" applyBorder="1" applyAlignment="1">
      <alignment horizontal="center" vertical="top" wrapText="1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60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>
      <alignment horizontal="center" vertical="top" wrapText="1"/>
    </xf>
    <xf numFmtId="166" fontId="34" fillId="15" borderId="26" xfId="0" applyNumberFormat="1" applyFont="1" applyFill="1" applyBorder="1" applyAlignment="1">
      <alignment horizontal="center" vertical="top" wrapText="1"/>
    </xf>
    <xf numFmtId="166" fontId="34" fillId="15" borderId="19" xfId="0" applyNumberFormat="1" applyFont="1" applyFill="1" applyBorder="1" applyAlignment="1">
      <alignment horizontal="center" vertical="top" wrapText="1"/>
    </xf>
    <xf numFmtId="166" fontId="34" fillId="15" borderId="60" xfId="0" applyNumberFormat="1" applyFont="1" applyFill="1" applyBorder="1" applyAlignment="1" applyProtection="1">
      <alignment horizontal="center" vertical="top" wrapText="1"/>
      <protection locked="0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0" fontId="34" fillId="15" borderId="6" xfId="0" applyFont="1" applyFill="1" applyBorder="1" applyAlignment="1">
      <alignment horizontal="center" vertical="top" wrapText="1"/>
    </xf>
    <xf numFmtId="2" fontId="34" fillId="15" borderId="26" xfId="0" applyNumberFormat="1" applyFont="1" applyFill="1" applyBorder="1" applyAlignment="1" applyProtection="1">
      <alignment horizontal="center" vertical="top" wrapText="1"/>
      <protection locked="0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166" fontId="12" fillId="0" borderId="19" xfId="0" applyNumberFormat="1" applyFont="1" applyBorder="1" applyAlignment="1" applyProtection="1">
      <alignment horizontal="center"/>
      <protection locked="0"/>
    </xf>
    <xf numFmtId="0" fontId="0" fillId="0" borderId="0" xfId="0"/>
    <xf numFmtId="0" fontId="12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166" fontId="34" fillId="15" borderId="6" xfId="0" applyNumberFormat="1" applyFont="1" applyFill="1" applyBorder="1" applyAlignment="1" applyProtection="1">
      <alignment horizontal="center" vertical="top" wrapText="1"/>
      <protection locked="0"/>
    </xf>
    <xf numFmtId="0" fontId="34" fillId="15" borderId="6" xfId="0" applyFont="1" applyFill="1" applyBorder="1" applyAlignment="1">
      <alignment horizontal="center" vertical="top" wrapText="1"/>
    </xf>
    <xf numFmtId="0" fontId="0" fillId="0" borderId="6" xfId="0" applyBorder="1"/>
    <xf numFmtId="165" fontId="15" fillId="4" borderId="0" xfId="0" applyNumberFormat="1" applyFont="1" applyFill="1" applyAlignment="1">
      <alignment horizontal="left" vertical="center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center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166" fontId="16" fillId="0" borderId="32" xfId="0" applyNumberFormat="1" applyFont="1" applyBorder="1" applyAlignment="1">
      <alignment horizontal="center" vertical="center"/>
    </xf>
    <xf numFmtId="2" fontId="28" fillId="0" borderId="19" xfId="0" applyNumberFormat="1" applyFont="1" applyBorder="1" applyAlignment="1">
      <alignment horizontal="center" vertical="center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19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2" fontId="23" fillId="0" borderId="12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167" fontId="12" fillId="0" borderId="19" xfId="0" applyNumberFormat="1" applyFont="1" applyBorder="1" applyAlignment="1">
      <alignment horizontal="center" vertical="center"/>
    </xf>
    <xf numFmtId="167" fontId="12" fillId="0" borderId="9" xfId="0" applyNumberFormat="1" applyFont="1" applyBorder="1" applyAlignment="1">
      <alignment horizontal="center" vertical="center"/>
    </xf>
    <xf numFmtId="165" fontId="15" fillId="4" borderId="0" xfId="0" applyNumberFormat="1" applyFont="1" applyFill="1" applyAlignment="1">
      <alignment horizontal="left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8" fontId="24" fillId="7" borderId="21" xfId="0" applyNumberFormat="1" applyFont="1" applyFill="1" applyBorder="1" applyAlignment="1">
      <alignment horizontal="center" vertical="center" wrapText="1"/>
    </xf>
    <xf numFmtId="168" fontId="24" fillId="7" borderId="24" xfId="0" applyNumberFormat="1" applyFont="1" applyFill="1" applyBorder="1" applyAlignment="1">
      <alignment horizontal="center" vertical="center" wrapText="1"/>
    </xf>
    <xf numFmtId="0" fontId="32" fillId="10" borderId="0" xfId="0" applyFont="1" applyFill="1" applyAlignment="1">
      <alignment horizontal="center"/>
    </xf>
    <xf numFmtId="0" fontId="16" fillId="0" borderId="63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5899"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'1'!$T$193:$AX$193</c:f>
              <c:numCache>
                <c:formatCode>0</c:formatCode>
                <c:ptCount val="31"/>
                <c:pt idx="0">
                  <c:v>847.14</c:v>
                </c:pt>
                <c:pt idx="1">
                  <c:v>835.54000000000008</c:v>
                </c:pt>
                <c:pt idx="2">
                  <c:v>798.24</c:v>
                </c:pt>
                <c:pt idx="3">
                  <c:v>803.04</c:v>
                </c:pt>
                <c:pt idx="4">
                  <c:v>807.93999999999994</c:v>
                </c:pt>
                <c:pt idx="5">
                  <c:v>822.33999999999992</c:v>
                </c:pt>
                <c:pt idx="6">
                  <c:v>850.26</c:v>
                </c:pt>
                <c:pt idx="7">
                  <c:v>868.43999999999994</c:v>
                </c:pt>
                <c:pt idx="8">
                  <c:v>875.14</c:v>
                </c:pt>
                <c:pt idx="9">
                  <c:v>886.83999999999992</c:v>
                </c:pt>
                <c:pt idx="10">
                  <c:v>892.74</c:v>
                </c:pt>
                <c:pt idx="11">
                  <c:v>949.24</c:v>
                </c:pt>
                <c:pt idx="12">
                  <c:v>905.33999999999992</c:v>
                </c:pt>
                <c:pt idx="13">
                  <c:v>933.74</c:v>
                </c:pt>
                <c:pt idx="14">
                  <c:v>918.84</c:v>
                </c:pt>
                <c:pt idx="15">
                  <c:v>900.71</c:v>
                </c:pt>
                <c:pt idx="16">
                  <c:v>930.84</c:v>
                </c:pt>
                <c:pt idx="17">
                  <c:v>911.68</c:v>
                </c:pt>
                <c:pt idx="18">
                  <c:v>920.17</c:v>
                </c:pt>
                <c:pt idx="19">
                  <c:v>887.6400000000001</c:v>
                </c:pt>
                <c:pt idx="20">
                  <c:v>882.44</c:v>
                </c:pt>
                <c:pt idx="21">
                  <c:v>896.14</c:v>
                </c:pt>
                <c:pt idx="22">
                  <c:v>936.54</c:v>
                </c:pt>
                <c:pt idx="23">
                  <c:v>1088.44</c:v>
                </c:pt>
                <c:pt idx="24">
                  <c:v>1188.94</c:v>
                </c:pt>
                <c:pt idx="25">
                  <c:v>1177.3899999999999</c:v>
                </c:pt>
                <c:pt idx="26">
                  <c:v>1143.5400000000002</c:v>
                </c:pt>
                <c:pt idx="27">
                  <c:v>1132.74</c:v>
                </c:pt>
                <c:pt idx="28">
                  <c:v>1005.1400000000001</c:v>
                </c:pt>
                <c:pt idx="29">
                  <c:v>950.04</c:v>
                </c:pt>
                <c:pt idx="30">
                  <c:v>917.44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222592"/>
        <c:axId val="326224512"/>
      </c:lineChart>
      <c:catAx>
        <c:axId val="326222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24512"/>
        <c:crosses val="autoZero"/>
        <c:auto val="1"/>
        <c:lblAlgn val="ctr"/>
        <c:lblOffset val="100"/>
        <c:noMultiLvlLbl val="0"/>
      </c:catAx>
      <c:valAx>
        <c:axId val="326224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2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'2'!$T$193:$AX$193</c:f>
              <c:numCache>
                <c:formatCode>0</c:formatCode>
                <c:ptCount val="31"/>
                <c:pt idx="0">
                  <c:v>889.21</c:v>
                </c:pt>
                <c:pt idx="1">
                  <c:v>860.54</c:v>
                </c:pt>
                <c:pt idx="2">
                  <c:v>852.74</c:v>
                </c:pt>
                <c:pt idx="3">
                  <c:v>828.24</c:v>
                </c:pt>
                <c:pt idx="4">
                  <c:v>835.14</c:v>
                </c:pt>
                <c:pt idx="5">
                  <c:v>830.74</c:v>
                </c:pt>
                <c:pt idx="6">
                  <c:v>877.94</c:v>
                </c:pt>
                <c:pt idx="7">
                  <c:v>910.9</c:v>
                </c:pt>
                <c:pt idx="8">
                  <c:v>950.59999999999991</c:v>
                </c:pt>
                <c:pt idx="9">
                  <c:v>976.81999999999994</c:v>
                </c:pt>
                <c:pt idx="10">
                  <c:v>1016.12</c:v>
                </c:pt>
                <c:pt idx="11">
                  <c:v>1033.3399999999999</c:v>
                </c:pt>
                <c:pt idx="12">
                  <c:v>1071.44</c:v>
                </c:pt>
                <c:pt idx="13">
                  <c:v>1071.3400000000001</c:v>
                </c:pt>
                <c:pt idx="14">
                  <c:v>1046.03</c:v>
                </c:pt>
                <c:pt idx="15">
                  <c:v>1059.74</c:v>
                </c:pt>
                <c:pt idx="16">
                  <c:v>1042.04</c:v>
                </c:pt>
                <c:pt idx="17">
                  <c:v>1055.3400000000001</c:v>
                </c:pt>
                <c:pt idx="18">
                  <c:v>1020.74</c:v>
                </c:pt>
                <c:pt idx="19">
                  <c:v>1012.14</c:v>
                </c:pt>
                <c:pt idx="20">
                  <c:v>996.7299999999999</c:v>
                </c:pt>
                <c:pt idx="21">
                  <c:v>981.7</c:v>
                </c:pt>
                <c:pt idx="22">
                  <c:v>1057.67</c:v>
                </c:pt>
                <c:pt idx="23">
                  <c:v>1132.1399999999999</c:v>
                </c:pt>
                <c:pt idx="24">
                  <c:v>1259.6399999999999</c:v>
                </c:pt>
                <c:pt idx="25">
                  <c:v>1246.54</c:v>
                </c:pt>
                <c:pt idx="26">
                  <c:v>1235.74</c:v>
                </c:pt>
                <c:pt idx="27">
                  <c:v>1188.04</c:v>
                </c:pt>
                <c:pt idx="28">
                  <c:v>1097.44</c:v>
                </c:pt>
                <c:pt idx="29">
                  <c:v>1001.1400000000001</c:v>
                </c:pt>
                <c:pt idx="30">
                  <c:v>963.94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74912"/>
        <c:axId val="234776832"/>
      </c:lineChart>
      <c:catAx>
        <c:axId val="234774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76832"/>
        <c:crosses val="autoZero"/>
        <c:auto val="1"/>
        <c:lblAlgn val="ctr"/>
        <c:lblOffset val="100"/>
        <c:noMultiLvlLbl val="0"/>
      </c:catAx>
      <c:valAx>
        <c:axId val="234776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7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'3'!$T$193:$AX$193</c:f>
              <c:numCache>
                <c:formatCode>0</c:formatCode>
                <c:ptCount val="31"/>
                <c:pt idx="0">
                  <c:v>954.1400000000001</c:v>
                </c:pt>
                <c:pt idx="1">
                  <c:v>939.1400000000001</c:v>
                </c:pt>
                <c:pt idx="2">
                  <c:v>929.85</c:v>
                </c:pt>
                <c:pt idx="3">
                  <c:v>906.1099999999999</c:v>
                </c:pt>
                <c:pt idx="4">
                  <c:v>902.84</c:v>
                </c:pt>
                <c:pt idx="5">
                  <c:v>910.74</c:v>
                </c:pt>
                <c:pt idx="6">
                  <c:v>919.1400000000001</c:v>
                </c:pt>
                <c:pt idx="7">
                  <c:v>944.34</c:v>
                </c:pt>
                <c:pt idx="8">
                  <c:v>1009.74</c:v>
                </c:pt>
                <c:pt idx="9">
                  <c:v>1033.1400000000001</c:v>
                </c:pt>
                <c:pt idx="10">
                  <c:v>1029.8499999999999</c:v>
                </c:pt>
                <c:pt idx="11">
                  <c:v>1068.54</c:v>
                </c:pt>
                <c:pt idx="12">
                  <c:v>1083.94</c:v>
                </c:pt>
                <c:pt idx="13">
                  <c:v>1063.06</c:v>
                </c:pt>
                <c:pt idx="14">
                  <c:v>1079.1300000000001</c:v>
                </c:pt>
                <c:pt idx="15">
                  <c:v>1070.73</c:v>
                </c:pt>
                <c:pt idx="16">
                  <c:v>1080.58</c:v>
                </c:pt>
                <c:pt idx="17">
                  <c:v>1042.1300000000001</c:v>
                </c:pt>
                <c:pt idx="18">
                  <c:v>1070.44</c:v>
                </c:pt>
                <c:pt idx="19">
                  <c:v>1000.6800000000001</c:v>
                </c:pt>
                <c:pt idx="20">
                  <c:v>1009.73</c:v>
                </c:pt>
                <c:pt idx="21">
                  <c:v>1007.9010000000001</c:v>
                </c:pt>
                <c:pt idx="22">
                  <c:v>1027.3399999999999</c:v>
                </c:pt>
                <c:pt idx="23">
                  <c:v>1119.5800000000002</c:v>
                </c:pt>
                <c:pt idx="24">
                  <c:v>1259.8600000000001</c:v>
                </c:pt>
                <c:pt idx="25">
                  <c:v>1238.4000000000001</c:v>
                </c:pt>
                <c:pt idx="26">
                  <c:v>1211.7200000000003</c:v>
                </c:pt>
                <c:pt idx="27">
                  <c:v>1160.8899999999999</c:v>
                </c:pt>
                <c:pt idx="28">
                  <c:v>1085.1399999999999</c:v>
                </c:pt>
                <c:pt idx="29">
                  <c:v>1020.4399999999999</c:v>
                </c:pt>
                <c:pt idx="30">
                  <c:v>995.08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95872"/>
        <c:axId val="235297792"/>
      </c:lineChart>
      <c:catAx>
        <c:axId val="23529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97792"/>
        <c:crosses val="autoZero"/>
        <c:auto val="1"/>
        <c:lblAlgn val="ctr"/>
        <c:lblOffset val="100"/>
        <c:noMultiLvlLbl val="0"/>
      </c:catAx>
      <c:valAx>
        <c:axId val="235297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'4'!$T$193:$AX$193</c:f>
              <c:numCache>
                <c:formatCode>0</c:formatCode>
                <c:ptCount val="31"/>
                <c:pt idx="0">
                  <c:v>990.2399999999999</c:v>
                </c:pt>
                <c:pt idx="1">
                  <c:v>963.24</c:v>
                </c:pt>
                <c:pt idx="2">
                  <c:v>951.86999999999989</c:v>
                </c:pt>
                <c:pt idx="3">
                  <c:v>932.33999999999992</c:v>
                </c:pt>
                <c:pt idx="4">
                  <c:v>952.98</c:v>
                </c:pt>
                <c:pt idx="5">
                  <c:v>950.54</c:v>
                </c:pt>
                <c:pt idx="6">
                  <c:v>949.99</c:v>
                </c:pt>
                <c:pt idx="7">
                  <c:v>1030.78</c:v>
                </c:pt>
                <c:pt idx="8">
                  <c:v>1008.74</c:v>
                </c:pt>
                <c:pt idx="9">
                  <c:v>1043.0700000000002</c:v>
                </c:pt>
                <c:pt idx="10">
                  <c:v>1057.54</c:v>
                </c:pt>
                <c:pt idx="11">
                  <c:v>1093.23</c:v>
                </c:pt>
                <c:pt idx="12">
                  <c:v>1093.94</c:v>
                </c:pt>
                <c:pt idx="13">
                  <c:v>1061.81</c:v>
                </c:pt>
                <c:pt idx="14">
                  <c:v>1048.27</c:v>
                </c:pt>
                <c:pt idx="15">
                  <c:v>1034.6100000000001</c:v>
                </c:pt>
                <c:pt idx="16">
                  <c:v>1030.3399999999999</c:v>
                </c:pt>
                <c:pt idx="17">
                  <c:v>1000.37</c:v>
                </c:pt>
                <c:pt idx="18">
                  <c:v>985.16000000000008</c:v>
                </c:pt>
                <c:pt idx="19">
                  <c:v>1018.48</c:v>
                </c:pt>
                <c:pt idx="20">
                  <c:v>949.24000000000012</c:v>
                </c:pt>
                <c:pt idx="21">
                  <c:v>951.74</c:v>
                </c:pt>
                <c:pt idx="22">
                  <c:v>989.14999999999986</c:v>
                </c:pt>
                <c:pt idx="23">
                  <c:v>1095.23</c:v>
                </c:pt>
                <c:pt idx="24">
                  <c:v>1198.79</c:v>
                </c:pt>
                <c:pt idx="25">
                  <c:v>1199.5300000000002</c:v>
                </c:pt>
                <c:pt idx="26">
                  <c:v>1181.74</c:v>
                </c:pt>
                <c:pt idx="27">
                  <c:v>1157.72</c:v>
                </c:pt>
                <c:pt idx="28">
                  <c:v>1068.8399999999999</c:v>
                </c:pt>
                <c:pt idx="29">
                  <c:v>994.98</c:v>
                </c:pt>
                <c:pt idx="30">
                  <c:v>974.24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617472"/>
        <c:axId val="294619392"/>
      </c:lineChart>
      <c:catAx>
        <c:axId val="294617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19392"/>
        <c:crosses val="autoZero"/>
        <c:auto val="1"/>
        <c:lblAlgn val="ctr"/>
        <c:lblOffset val="100"/>
        <c:noMultiLvlLbl val="0"/>
      </c:catAx>
      <c:valAx>
        <c:axId val="294619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1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'5'!$T$193:$AX$193</c:f>
              <c:numCache>
                <c:formatCode>0</c:formatCode>
                <c:ptCount val="31"/>
                <c:pt idx="0">
                  <c:v>950.76</c:v>
                </c:pt>
                <c:pt idx="1">
                  <c:v>929.54</c:v>
                </c:pt>
                <c:pt idx="2">
                  <c:v>923.04</c:v>
                </c:pt>
                <c:pt idx="3">
                  <c:v>908.51</c:v>
                </c:pt>
                <c:pt idx="4">
                  <c:v>920.04000000000008</c:v>
                </c:pt>
                <c:pt idx="5">
                  <c:v>925.63000000000011</c:v>
                </c:pt>
                <c:pt idx="6">
                  <c:v>924.74</c:v>
                </c:pt>
                <c:pt idx="7">
                  <c:v>976.24</c:v>
                </c:pt>
                <c:pt idx="8">
                  <c:v>981.84</c:v>
                </c:pt>
                <c:pt idx="9">
                  <c:v>1028.54</c:v>
                </c:pt>
                <c:pt idx="10">
                  <c:v>1040.52</c:v>
                </c:pt>
                <c:pt idx="11">
                  <c:v>1039.6400000000001</c:v>
                </c:pt>
                <c:pt idx="12">
                  <c:v>1043.1399999999999</c:v>
                </c:pt>
                <c:pt idx="13">
                  <c:v>1039.72</c:v>
                </c:pt>
                <c:pt idx="14">
                  <c:v>1006.4399999999999</c:v>
                </c:pt>
                <c:pt idx="15">
                  <c:v>982.94</c:v>
                </c:pt>
                <c:pt idx="16">
                  <c:v>971.74</c:v>
                </c:pt>
                <c:pt idx="17">
                  <c:v>971.34</c:v>
                </c:pt>
                <c:pt idx="18">
                  <c:v>966.14</c:v>
                </c:pt>
                <c:pt idx="19">
                  <c:v>949.6400000000001</c:v>
                </c:pt>
                <c:pt idx="20">
                  <c:v>947.54000000000008</c:v>
                </c:pt>
                <c:pt idx="21">
                  <c:v>949.1400000000001</c:v>
                </c:pt>
                <c:pt idx="22">
                  <c:v>975.54000000000008</c:v>
                </c:pt>
                <c:pt idx="23">
                  <c:v>1078.1399999999999</c:v>
                </c:pt>
                <c:pt idx="24">
                  <c:v>1158.8399999999999</c:v>
                </c:pt>
                <c:pt idx="25">
                  <c:v>1134.6799999999998</c:v>
                </c:pt>
                <c:pt idx="26">
                  <c:v>1123.03</c:v>
                </c:pt>
                <c:pt idx="27">
                  <c:v>1064.6799999999998</c:v>
                </c:pt>
                <c:pt idx="28">
                  <c:v>980.12999999999988</c:v>
                </c:pt>
                <c:pt idx="29">
                  <c:v>911.12</c:v>
                </c:pt>
                <c:pt idx="30">
                  <c:v>140.73999999999998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259520"/>
        <c:axId val="295286272"/>
      </c:lineChart>
      <c:catAx>
        <c:axId val="295259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86272"/>
        <c:crosses val="autoZero"/>
        <c:auto val="1"/>
        <c:lblAlgn val="ctr"/>
        <c:lblOffset val="100"/>
        <c:noMultiLvlLbl val="0"/>
      </c:catAx>
      <c:valAx>
        <c:axId val="295286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5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'6'!$T$193:$AX$193</c:f>
              <c:numCache>
                <c:formatCode>0</c:formatCode>
                <c:ptCount val="31"/>
                <c:pt idx="0">
                  <c:v>777.24</c:v>
                </c:pt>
                <c:pt idx="1">
                  <c:v>726.65</c:v>
                </c:pt>
                <c:pt idx="2">
                  <c:v>712.04</c:v>
                </c:pt>
                <c:pt idx="3">
                  <c:v>723.24</c:v>
                </c:pt>
                <c:pt idx="4">
                  <c:v>156.73999999999998</c:v>
                </c:pt>
                <c:pt idx="5">
                  <c:v>716.94</c:v>
                </c:pt>
                <c:pt idx="6">
                  <c:v>740.83999999999992</c:v>
                </c:pt>
                <c:pt idx="7">
                  <c:v>827.82999999999993</c:v>
                </c:pt>
                <c:pt idx="8">
                  <c:v>847.04</c:v>
                </c:pt>
                <c:pt idx="9">
                  <c:v>866.07</c:v>
                </c:pt>
                <c:pt idx="10">
                  <c:v>866.84</c:v>
                </c:pt>
                <c:pt idx="11">
                  <c:v>874.49</c:v>
                </c:pt>
                <c:pt idx="12">
                  <c:v>801.56999999999994</c:v>
                </c:pt>
                <c:pt idx="13">
                  <c:v>788.74</c:v>
                </c:pt>
                <c:pt idx="14">
                  <c:v>783.33999999999992</c:v>
                </c:pt>
                <c:pt idx="15">
                  <c:v>787.7</c:v>
                </c:pt>
                <c:pt idx="16">
                  <c:v>833.44</c:v>
                </c:pt>
                <c:pt idx="17">
                  <c:v>833.04</c:v>
                </c:pt>
                <c:pt idx="18">
                  <c:v>806.54</c:v>
                </c:pt>
                <c:pt idx="19">
                  <c:v>812.68999999999994</c:v>
                </c:pt>
                <c:pt idx="20">
                  <c:v>815.34</c:v>
                </c:pt>
                <c:pt idx="21">
                  <c:v>831.24</c:v>
                </c:pt>
                <c:pt idx="22">
                  <c:v>869.84</c:v>
                </c:pt>
                <c:pt idx="23">
                  <c:v>927.13999999999987</c:v>
                </c:pt>
                <c:pt idx="24">
                  <c:v>1040.9399999999998</c:v>
                </c:pt>
                <c:pt idx="25">
                  <c:v>960.43999999999994</c:v>
                </c:pt>
                <c:pt idx="26">
                  <c:v>912.54000000000008</c:v>
                </c:pt>
                <c:pt idx="27">
                  <c:v>863.33999999999992</c:v>
                </c:pt>
                <c:pt idx="28">
                  <c:v>763.24</c:v>
                </c:pt>
                <c:pt idx="29">
                  <c:v>694.64</c:v>
                </c:pt>
                <c:pt idx="30">
                  <c:v>684.54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098432"/>
        <c:axId val="296100608"/>
      </c:lineChart>
      <c:catAx>
        <c:axId val="296098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00608"/>
        <c:crosses val="autoZero"/>
        <c:auto val="1"/>
        <c:lblAlgn val="ctr"/>
        <c:lblOffset val="100"/>
        <c:noMultiLvlLbl val="0"/>
      </c:catAx>
      <c:valAx>
        <c:axId val="296100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9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'7'!$T$193:$AX$193</c:f>
              <c:numCache>
                <c:formatCode>0</c:formatCode>
                <c:ptCount val="31"/>
                <c:pt idx="0">
                  <c:v>656.6400000000001</c:v>
                </c:pt>
                <c:pt idx="1">
                  <c:v>616.94000000000005</c:v>
                </c:pt>
                <c:pt idx="2">
                  <c:v>601.63999999999987</c:v>
                </c:pt>
                <c:pt idx="3">
                  <c:v>602.23</c:v>
                </c:pt>
                <c:pt idx="4">
                  <c:v>623.04</c:v>
                </c:pt>
                <c:pt idx="5">
                  <c:v>701.54</c:v>
                </c:pt>
                <c:pt idx="6">
                  <c:v>713.94</c:v>
                </c:pt>
                <c:pt idx="7">
                  <c:v>762.76</c:v>
                </c:pt>
                <c:pt idx="8">
                  <c:v>788.62</c:v>
                </c:pt>
                <c:pt idx="9">
                  <c:v>782.43999999999994</c:v>
                </c:pt>
                <c:pt idx="10">
                  <c:v>821.24</c:v>
                </c:pt>
                <c:pt idx="11">
                  <c:v>853.15000000000009</c:v>
                </c:pt>
                <c:pt idx="12">
                  <c:v>845.17</c:v>
                </c:pt>
                <c:pt idx="13">
                  <c:v>844.13999999999987</c:v>
                </c:pt>
                <c:pt idx="14">
                  <c:v>895.67000000000007</c:v>
                </c:pt>
                <c:pt idx="15">
                  <c:v>897.07999999999993</c:v>
                </c:pt>
                <c:pt idx="16">
                  <c:v>913.54</c:v>
                </c:pt>
                <c:pt idx="17">
                  <c:v>937.2399999999999</c:v>
                </c:pt>
                <c:pt idx="18">
                  <c:v>887.74</c:v>
                </c:pt>
                <c:pt idx="19">
                  <c:v>782.6</c:v>
                </c:pt>
                <c:pt idx="20">
                  <c:v>902.63999999999987</c:v>
                </c:pt>
                <c:pt idx="21">
                  <c:v>605.33999999999992</c:v>
                </c:pt>
                <c:pt idx="22">
                  <c:v>612.43999999999994</c:v>
                </c:pt>
                <c:pt idx="23">
                  <c:v>984.26</c:v>
                </c:pt>
                <c:pt idx="24">
                  <c:v>1179.8400000000001</c:v>
                </c:pt>
                <c:pt idx="25">
                  <c:v>1168.7399999999998</c:v>
                </c:pt>
                <c:pt idx="26">
                  <c:v>1129.24</c:v>
                </c:pt>
                <c:pt idx="27">
                  <c:v>1091.3399999999999</c:v>
                </c:pt>
                <c:pt idx="28">
                  <c:v>1004.44</c:v>
                </c:pt>
                <c:pt idx="29">
                  <c:v>936.14</c:v>
                </c:pt>
                <c:pt idx="30">
                  <c:v>902.34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129856"/>
        <c:axId val="297230336"/>
      </c:lineChart>
      <c:catAx>
        <c:axId val="297129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230336"/>
        <c:crosses val="autoZero"/>
        <c:auto val="1"/>
        <c:lblAlgn val="ctr"/>
        <c:lblOffset val="100"/>
        <c:noMultiLvlLbl val="0"/>
      </c:catAx>
      <c:valAx>
        <c:axId val="297230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'8'!$T$193:$AX$193</c:f>
              <c:numCache>
                <c:formatCode>0</c:formatCode>
                <c:ptCount val="31"/>
                <c:pt idx="0">
                  <c:v>872.54</c:v>
                </c:pt>
                <c:pt idx="1">
                  <c:v>872.6400000000001</c:v>
                </c:pt>
                <c:pt idx="2">
                  <c:v>844.14</c:v>
                </c:pt>
                <c:pt idx="3">
                  <c:v>839.56999999999994</c:v>
                </c:pt>
                <c:pt idx="4">
                  <c:v>851.55000000000007</c:v>
                </c:pt>
                <c:pt idx="5">
                  <c:v>838.93999999999994</c:v>
                </c:pt>
                <c:pt idx="6">
                  <c:v>852.23</c:v>
                </c:pt>
                <c:pt idx="7">
                  <c:v>875.13999999999987</c:v>
                </c:pt>
                <c:pt idx="8">
                  <c:v>897.34000000000015</c:v>
                </c:pt>
                <c:pt idx="9">
                  <c:v>920.54000000000008</c:v>
                </c:pt>
                <c:pt idx="10">
                  <c:v>952.24</c:v>
                </c:pt>
                <c:pt idx="11">
                  <c:v>965.56</c:v>
                </c:pt>
                <c:pt idx="12">
                  <c:v>953.46</c:v>
                </c:pt>
                <c:pt idx="13">
                  <c:v>978.64</c:v>
                </c:pt>
                <c:pt idx="14">
                  <c:v>966.74</c:v>
                </c:pt>
                <c:pt idx="15">
                  <c:v>1028.22</c:v>
                </c:pt>
                <c:pt idx="16">
                  <c:v>933.18999999999994</c:v>
                </c:pt>
                <c:pt idx="17">
                  <c:v>961.6099999999999</c:v>
                </c:pt>
                <c:pt idx="18">
                  <c:v>956.04</c:v>
                </c:pt>
                <c:pt idx="19">
                  <c:v>919.81000000000006</c:v>
                </c:pt>
                <c:pt idx="20">
                  <c:v>921.3599999999999</c:v>
                </c:pt>
                <c:pt idx="21">
                  <c:v>927.59999999999991</c:v>
                </c:pt>
                <c:pt idx="22">
                  <c:v>935.78</c:v>
                </c:pt>
                <c:pt idx="23">
                  <c:v>1094.46</c:v>
                </c:pt>
                <c:pt idx="24">
                  <c:v>1165.67</c:v>
                </c:pt>
                <c:pt idx="25">
                  <c:v>1207.26</c:v>
                </c:pt>
                <c:pt idx="26">
                  <c:v>1159.01</c:v>
                </c:pt>
                <c:pt idx="27">
                  <c:v>1150.6599999999999</c:v>
                </c:pt>
                <c:pt idx="28">
                  <c:v>1081.6399999999999</c:v>
                </c:pt>
                <c:pt idx="29">
                  <c:v>998.93999999999994</c:v>
                </c:pt>
                <c:pt idx="30">
                  <c:v>964.54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47840"/>
        <c:axId val="300149760"/>
      </c:lineChart>
      <c:catAx>
        <c:axId val="300147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49760"/>
        <c:crosses val="autoZero"/>
        <c:auto val="1"/>
        <c:lblAlgn val="ctr"/>
        <c:lblOffset val="100"/>
        <c:noMultiLvlLbl val="0"/>
      </c:catAx>
      <c:valAx>
        <c:axId val="30014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'9'!$T$193:$AX$193</c:f>
              <c:numCache>
                <c:formatCode>0</c:formatCode>
                <c:ptCount val="31"/>
                <c:pt idx="0">
                  <c:v>958.16</c:v>
                </c:pt>
                <c:pt idx="1">
                  <c:v>935.21</c:v>
                </c:pt>
                <c:pt idx="2">
                  <c:v>924.83999999999992</c:v>
                </c:pt>
                <c:pt idx="3">
                  <c:v>886.32999999999993</c:v>
                </c:pt>
                <c:pt idx="4">
                  <c:v>868.03000000000009</c:v>
                </c:pt>
                <c:pt idx="5">
                  <c:v>925.43999999999994</c:v>
                </c:pt>
                <c:pt idx="6">
                  <c:v>947.94</c:v>
                </c:pt>
                <c:pt idx="7">
                  <c:v>944.24</c:v>
                </c:pt>
                <c:pt idx="8">
                  <c:v>1048.8800000000001</c:v>
                </c:pt>
                <c:pt idx="9">
                  <c:v>1053.44</c:v>
                </c:pt>
                <c:pt idx="10">
                  <c:v>1062.1400000000001</c:v>
                </c:pt>
                <c:pt idx="11">
                  <c:v>1100.94</c:v>
                </c:pt>
                <c:pt idx="12">
                  <c:v>1144.94</c:v>
                </c:pt>
                <c:pt idx="13">
                  <c:v>1152.74</c:v>
                </c:pt>
                <c:pt idx="14">
                  <c:v>1143.1399999999999</c:v>
                </c:pt>
                <c:pt idx="15">
                  <c:v>1127.8399999999999</c:v>
                </c:pt>
                <c:pt idx="16">
                  <c:v>1134.8399999999999</c:v>
                </c:pt>
                <c:pt idx="17">
                  <c:v>1115.94</c:v>
                </c:pt>
                <c:pt idx="18">
                  <c:v>1094.54</c:v>
                </c:pt>
                <c:pt idx="19">
                  <c:v>1039.44</c:v>
                </c:pt>
                <c:pt idx="20">
                  <c:v>1047.5999999999999</c:v>
                </c:pt>
                <c:pt idx="21">
                  <c:v>1051.4499999999998</c:v>
                </c:pt>
                <c:pt idx="22">
                  <c:v>1076.25</c:v>
                </c:pt>
                <c:pt idx="23">
                  <c:v>1132.9699999999998</c:v>
                </c:pt>
                <c:pt idx="24">
                  <c:v>1267.56</c:v>
                </c:pt>
                <c:pt idx="25">
                  <c:v>1266.6399999999999</c:v>
                </c:pt>
                <c:pt idx="26">
                  <c:v>1253.24</c:v>
                </c:pt>
                <c:pt idx="27">
                  <c:v>1257.1400000000001</c:v>
                </c:pt>
                <c:pt idx="28">
                  <c:v>1187.9899999999998</c:v>
                </c:pt>
                <c:pt idx="29">
                  <c:v>1112.99</c:v>
                </c:pt>
                <c:pt idx="30">
                  <c:v>1080.1400000000001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782336"/>
        <c:axId val="300784256"/>
      </c:lineChart>
      <c:catAx>
        <c:axId val="300782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84256"/>
        <c:crosses val="autoZero"/>
        <c:auto val="1"/>
        <c:lblAlgn val="ctr"/>
        <c:lblOffset val="100"/>
        <c:noMultiLvlLbl val="0"/>
      </c:catAx>
      <c:valAx>
        <c:axId val="300784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8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'10'!$T$193:$AX$193</c:f>
              <c:numCache>
                <c:formatCode>0</c:formatCode>
                <c:ptCount val="31"/>
                <c:pt idx="0">
                  <c:v>1053.6400000000001</c:v>
                </c:pt>
                <c:pt idx="1">
                  <c:v>1042.6399999999999</c:v>
                </c:pt>
                <c:pt idx="2">
                  <c:v>1014.6399999999999</c:v>
                </c:pt>
                <c:pt idx="3">
                  <c:v>994.84</c:v>
                </c:pt>
                <c:pt idx="4">
                  <c:v>977.83999999999992</c:v>
                </c:pt>
                <c:pt idx="5">
                  <c:v>1009.28</c:v>
                </c:pt>
                <c:pt idx="6">
                  <c:v>976.53</c:v>
                </c:pt>
                <c:pt idx="7">
                  <c:v>1022.0399999999998</c:v>
                </c:pt>
                <c:pt idx="8">
                  <c:v>1047.04</c:v>
                </c:pt>
                <c:pt idx="9">
                  <c:v>1178.69</c:v>
                </c:pt>
                <c:pt idx="10">
                  <c:v>1134.5899999999999</c:v>
                </c:pt>
                <c:pt idx="11">
                  <c:v>1189.3399999999999</c:v>
                </c:pt>
                <c:pt idx="12">
                  <c:v>1168.24</c:v>
                </c:pt>
                <c:pt idx="13">
                  <c:v>1160.24</c:v>
                </c:pt>
                <c:pt idx="14">
                  <c:v>1180.6399999999999</c:v>
                </c:pt>
                <c:pt idx="15">
                  <c:v>1153.54</c:v>
                </c:pt>
                <c:pt idx="16">
                  <c:v>1133.1399999999999</c:v>
                </c:pt>
                <c:pt idx="17">
                  <c:v>1143.1399999999999</c:v>
                </c:pt>
                <c:pt idx="18">
                  <c:v>1130.44</c:v>
                </c:pt>
                <c:pt idx="19">
                  <c:v>1067.8399999999999</c:v>
                </c:pt>
                <c:pt idx="20">
                  <c:v>1048.54</c:v>
                </c:pt>
                <c:pt idx="21">
                  <c:v>1049.8399999999999</c:v>
                </c:pt>
                <c:pt idx="22">
                  <c:v>1081.04</c:v>
                </c:pt>
                <c:pt idx="23">
                  <c:v>1164.6399999999999</c:v>
                </c:pt>
                <c:pt idx="24">
                  <c:v>1300.94</c:v>
                </c:pt>
                <c:pt idx="25">
                  <c:v>1295.94</c:v>
                </c:pt>
                <c:pt idx="26">
                  <c:v>1269.46</c:v>
                </c:pt>
                <c:pt idx="27">
                  <c:v>1253.74</c:v>
                </c:pt>
                <c:pt idx="28">
                  <c:v>1157.28</c:v>
                </c:pt>
                <c:pt idx="29">
                  <c:v>1086.8</c:v>
                </c:pt>
                <c:pt idx="30">
                  <c:v>1080.1400000000001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314048"/>
        <c:axId val="301315968"/>
      </c:lineChart>
      <c:catAx>
        <c:axId val="301314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15968"/>
        <c:crosses val="autoZero"/>
        <c:auto val="1"/>
        <c:lblAlgn val="ctr"/>
        <c:lblOffset val="100"/>
        <c:noMultiLvlLbl val="0"/>
      </c:catAx>
      <c:valAx>
        <c:axId val="3013159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1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'11'!$T$193:$AX$193</c:f>
              <c:numCache>
                <c:formatCode>0</c:formatCode>
                <c:ptCount val="31"/>
                <c:pt idx="0">
                  <c:v>1056.04</c:v>
                </c:pt>
                <c:pt idx="1">
                  <c:v>1049.5500000000002</c:v>
                </c:pt>
                <c:pt idx="2">
                  <c:v>1015.52</c:v>
                </c:pt>
                <c:pt idx="3">
                  <c:v>1011.75</c:v>
                </c:pt>
                <c:pt idx="4">
                  <c:v>964.33999999999992</c:v>
                </c:pt>
                <c:pt idx="5">
                  <c:v>961.64</c:v>
                </c:pt>
                <c:pt idx="6">
                  <c:v>938.7399999999999</c:v>
                </c:pt>
                <c:pt idx="7">
                  <c:v>929.48</c:v>
                </c:pt>
                <c:pt idx="8">
                  <c:v>987.33999999999992</c:v>
                </c:pt>
                <c:pt idx="9">
                  <c:v>1045.06</c:v>
                </c:pt>
                <c:pt idx="10">
                  <c:v>1133.3399999999999</c:v>
                </c:pt>
                <c:pt idx="11">
                  <c:v>1106.1200000000001</c:v>
                </c:pt>
                <c:pt idx="12">
                  <c:v>1013.41</c:v>
                </c:pt>
                <c:pt idx="13">
                  <c:v>988.6400000000001</c:v>
                </c:pt>
                <c:pt idx="14">
                  <c:v>977.3900000000001</c:v>
                </c:pt>
                <c:pt idx="15">
                  <c:v>905.94</c:v>
                </c:pt>
                <c:pt idx="16">
                  <c:v>882.74</c:v>
                </c:pt>
                <c:pt idx="17">
                  <c:v>932.94</c:v>
                </c:pt>
                <c:pt idx="18">
                  <c:v>929.33999999999992</c:v>
                </c:pt>
                <c:pt idx="19">
                  <c:v>919.34</c:v>
                </c:pt>
                <c:pt idx="20">
                  <c:v>932.84</c:v>
                </c:pt>
                <c:pt idx="21">
                  <c:v>980.93999999999994</c:v>
                </c:pt>
                <c:pt idx="22">
                  <c:v>1072.04</c:v>
                </c:pt>
                <c:pt idx="23">
                  <c:v>1077.8400000000001</c:v>
                </c:pt>
                <c:pt idx="24">
                  <c:v>1215.24</c:v>
                </c:pt>
                <c:pt idx="25">
                  <c:v>1211.04</c:v>
                </c:pt>
                <c:pt idx="26">
                  <c:v>1200.3599999999999</c:v>
                </c:pt>
                <c:pt idx="27">
                  <c:v>1180.74</c:v>
                </c:pt>
                <c:pt idx="28">
                  <c:v>1108.1400000000001</c:v>
                </c:pt>
                <c:pt idx="29">
                  <c:v>1033.94</c:v>
                </c:pt>
                <c:pt idx="30">
                  <c:v>1007.4399999999999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12288"/>
        <c:axId val="304088192"/>
      </c:lineChart>
      <c:catAx>
        <c:axId val="30401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88192"/>
        <c:crosses val="autoZero"/>
        <c:auto val="1"/>
        <c:lblAlgn val="ctr"/>
        <c:lblOffset val="100"/>
        <c:noMultiLvlLbl val="0"/>
      </c:catAx>
      <c:valAx>
        <c:axId val="304088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'12'!$T$193:$AX$193</c:f>
              <c:numCache>
                <c:formatCode>0</c:formatCode>
                <c:ptCount val="31"/>
                <c:pt idx="0">
                  <c:v>997.94</c:v>
                </c:pt>
                <c:pt idx="1">
                  <c:v>958.84</c:v>
                </c:pt>
                <c:pt idx="2">
                  <c:v>924.54</c:v>
                </c:pt>
                <c:pt idx="3">
                  <c:v>916.64</c:v>
                </c:pt>
                <c:pt idx="4">
                  <c:v>893.14</c:v>
                </c:pt>
                <c:pt idx="5">
                  <c:v>890.99</c:v>
                </c:pt>
                <c:pt idx="6">
                  <c:v>901.93999999999994</c:v>
                </c:pt>
                <c:pt idx="7">
                  <c:v>917.24</c:v>
                </c:pt>
                <c:pt idx="8">
                  <c:v>955.54</c:v>
                </c:pt>
                <c:pt idx="9">
                  <c:v>1001.24</c:v>
                </c:pt>
                <c:pt idx="10">
                  <c:v>1028.8399999999999</c:v>
                </c:pt>
                <c:pt idx="11">
                  <c:v>1029.27</c:v>
                </c:pt>
                <c:pt idx="12">
                  <c:v>1019.24</c:v>
                </c:pt>
                <c:pt idx="13">
                  <c:v>984.95</c:v>
                </c:pt>
                <c:pt idx="14">
                  <c:v>961.84000000000015</c:v>
                </c:pt>
                <c:pt idx="15">
                  <c:v>963.83000000000015</c:v>
                </c:pt>
                <c:pt idx="16">
                  <c:v>1034.2399999999998</c:v>
                </c:pt>
                <c:pt idx="17">
                  <c:v>987.94</c:v>
                </c:pt>
                <c:pt idx="18">
                  <c:v>992.54</c:v>
                </c:pt>
                <c:pt idx="19">
                  <c:v>947.26</c:v>
                </c:pt>
                <c:pt idx="20">
                  <c:v>943.94</c:v>
                </c:pt>
                <c:pt idx="21">
                  <c:v>955.44999999999993</c:v>
                </c:pt>
                <c:pt idx="22">
                  <c:v>976.02</c:v>
                </c:pt>
                <c:pt idx="23">
                  <c:v>1021.4399999999999</c:v>
                </c:pt>
                <c:pt idx="24">
                  <c:v>172.84</c:v>
                </c:pt>
                <c:pt idx="25">
                  <c:v>1125.04</c:v>
                </c:pt>
                <c:pt idx="26">
                  <c:v>1091.24</c:v>
                </c:pt>
                <c:pt idx="27">
                  <c:v>1050.04</c:v>
                </c:pt>
                <c:pt idx="28">
                  <c:v>938.33999999999992</c:v>
                </c:pt>
                <c:pt idx="29">
                  <c:v>896.44</c:v>
                </c:pt>
                <c:pt idx="30">
                  <c:v>866.2399999999999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22944"/>
        <c:axId val="305668480"/>
      </c:lineChart>
      <c:catAx>
        <c:axId val="305522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8480"/>
        <c:crosses val="autoZero"/>
        <c:auto val="1"/>
        <c:lblAlgn val="ctr"/>
        <c:lblOffset val="100"/>
        <c:noMultiLvlLbl val="0"/>
      </c:catAx>
      <c:valAx>
        <c:axId val="305668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'13'!$T$193:$AX$193</c:f>
              <c:numCache>
                <c:formatCode>0</c:formatCode>
                <c:ptCount val="31"/>
                <c:pt idx="0">
                  <c:v>923.7399999999999</c:v>
                </c:pt>
                <c:pt idx="1">
                  <c:v>891.24</c:v>
                </c:pt>
                <c:pt idx="2">
                  <c:v>866.64</c:v>
                </c:pt>
                <c:pt idx="3">
                  <c:v>842.64</c:v>
                </c:pt>
                <c:pt idx="4">
                  <c:v>840.75</c:v>
                </c:pt>
                <c:pt idx="5">
                  <c:v>849.32999999999993</c:v>
                </c:pt>
                <c:pt idx="6">
                  <c:v>836.54</c:v>
                </c:pt>
                <c:pt idx="7">
                  <c:v>858.27</c:v>
                </c:pt>
                <c:pt idx="8">
                  <c:v>875.24</c:v>
                </c:pt>
                <c:pt idx="9">
                  <c:v>931.44</c:v>
                </c:pt>
                <c:pt idx="10">
                  <c:v>971.44</c:v>
                </c:pt>
                <c:pt idx="11">
                  <c:v>950.44</c:v>
                </c:pt>
                <c:pt idx="12">
                  <c:v>913.07</c:v>
                </c:pt>
                <c:pt idx="13">
                  <c:v>872.24</c:v>
                </c:pt>
                <c:pt idx="14">
                  <c:v>838.1400000000001</c:v>
                </c:pt>
                <c:pt idx="15">
                  <c:v>850.24</c:v>
                </c:pt>
                <c:pt idx="16">
                  <c:v>817.64</c:v>
                </c:pt>
                <c:pt idx="17">
                  <c:v>832.26</c:v>
                </c:pt>
                <c:pt idx="18">
                  <c:v>861.9</c:v>
                </c:pt>
                <c:pt idx="19">
                  <c:v>869.34999999999991</c:v>
                </c:pt>
                <c:pt idx="20">
                  <c:v>894.29000000000008</c:v>
                </c:pt>
                <c:pt idx="21">
                  <c:v>891.84</c:v>
                </c:pt>
                <c:pt idx="22">
                  <c:v>960.7</c:v>
                </c:pt>
                <c:pt idx="23">
                  <c:v>1020.04</c:v>
                </c:pt>
                <c:pt idx="24">
                  <c:v>1069.03</c:v>
                </c:pt>
                <c:pt idx="25">
                  <c:v>1005.5799999999999</c:v>
                </c:pt>
                <c:pt idx="26">
                  <c:v>948.31</c:v>
                </c:pt>
                <c:pt idx="27">
                  <c:v>892.51</c:v>
                </c:pt>
                <c:pt idx="28">
                  <c:v>741.38</c:v>
                </c:pt>
                <c:pt idx="29">
                  <c:v>735.25</c:v>
                </c:pt>
                <c:pt idx="30">
                  <c:v>699.29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724544"/>
        <c:axId val="317751296"/>
      </c:lineChart>
      <c:catAx>
        <c:axId val="317724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51296"/>
        <c:crosses val="autoZero"/>
        <c:auto val="1"/>
        <c:lblAlgn val="ctr"/>
        <c:lblOffset val="100"/>
        <c:noMultiLvlLbl val="0"/>
      </c:catAx>
      <c:valAx>
        <c:axId val="317751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2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'14'!$T$193:$AX$193</c:f>
              <c:numCache>
                <c:formatCode>0</c:formatCode>
                <c:ptCount val="31"/>
                <c:pt idx="0">
                  <c:v>690.03</c:v>
                </c:pt>
                <c:pt idx="1">
                  <c:v>672.52</c:v>
                </c:pt>
                <c:pt idx="2">
                  <c:v>634.44000000000005</c:v>
                </c:pt>
                <c:pt idx="3">
                  <c:v>634.33999999999992</c:v>
                </c:pt>
                <c:pt idx="4">
                  <c:v>627.44999999999993</c:v>
                </c:pt>
                <c:pt idx="5">
                  <c:v>684.1400000000001</c:v>
                </c:pt>
                <c:pt idx="6">
                  <c:v>686.75</c:v>
                </c:pt>
                <c:pt idx="7">
                  <c:v>703.74</c:v>
                </c:pt>
                <c:pt idx="8">
                  <c:v>723.1400000000001</c:v>
                </c:pt>
                <c:pt idx="9">
                  <c:v>737.64</c:v>
                </c:pt>
                <c:pt idx="10">
                  <c:v>817.46</c:v>
                </c:pt>
                <c:pt idx="11">
                  <c:v>845.74</c:v>
                </c:pt>
                <c:pt idx="12">
                  <c:v>821.14</c:v>
                </c:pt>
                <c:pt idx="13">
                  <c:v>831.83999999999992</c:v>
                </c:pt>
                <c:pt idx="14">
                  <c:v>724.34</c:v>
                </c:pt>
                <c:pt idx="15">
                  <c:v>664.43999999999994</c:v>
                </c:pt>
                <c:pt idx="16">
                  <c:v>636.59999999999991</c:v>
                </c:pt>
                <c:pt idx="17">
                  <c:v>689.57999999999993</c:v>
                </c:pt>
                <c:pt idx="18">
                  <c:v>695.35</c:v>
                </c:pt>
                <c:pt idx="19">
                  <c:v>764.66</c:v>
                </c:pt>
                <c:pt idx="20">
                  <c:v>787.19</c:v>
                </c:pt>
                <c:pt idx="21">
                  <c:v>801.09999999999991</c:v>
                </c:pt>
                <c:pt idx="22">
                  <c:v>814.98</c:v>
                </c:pt>
                <c:pt idx="23">
                  <c:v>850.92</c:v>
                </c:pt>
                <c:pt idx="24">
                  <c:v>888.81</c:v>
                </c:pt>
                <c:pt idx="25">
                  <c:v>862.83999999999992</c:v>
                </c:pt>
                <c:pt idx="26">
                  <c:v>862.83999999999992</c:v>
                </c:pt>
                <c:pt idx="27">
                  <c:v>891.13999999999987</c:v>
                </c:pt>
                <c:pt idx="28">
                  <c:v>734.93999999999994</c:v>
                </c:pt>
                <c:pt idx="29">
                  <c:v>644.54</c:v>
                </c:pt>
                <c:pt idx="30">
                  <c:v>614.64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77440"/>
        <c:axId val="318479360"/>
      </c:lineChart>
      <c:catAx>
        <c:axId val="318477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79360"/>
        <c:crosses val="autoZero"/>
        <c:auto val="1"/>
        <c:lblAlgn val="ctr"/>
        <c:lblOffset val="100"/>
        <c:noMultiLvlLbl val="0"/>
      </c:catAx>
      <c:valAx>
        <c:axId val="318479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7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'15'!$T$193:$AX$193</c:f>
              <c:numCache>
                <c:formatCode>0</c:formatCode>
                <c:ptCount val="31"/>
                <c:pt idx="0">
                  <c:v>589.74</c:v>
                </c:pt>
                <c:pt idx="1">
                  <c:v>586.24</c:v>
                </c:pt>
                <c:pt idx="2">
                  <c:v>583.94000000000005</c:v>
                </c:pt>
                <c:pt idx="3">
                  <c:v>566.74</c:v>
                </c:pt>
                <c:pt idx="4">
                  <c:v>579.54000000000008</c:v>
                </c:pt>
                <c:pt idx="5">
                  <c:v>626.64</c:v>
                </c:pt>
                <c:pt idx="6">
                  <c:v>665.94</c:v>
                </c:pt>
                <c:pt idx="7">
                  <c:v>765.14</c:v>
                </c:pt>
                <c:pt idx="8">
                  <c:v>743.6400000000001</c:v>
                </c:pt>
                <c:pt idx="9">
                  <c:v>738.24</c:v>
                </c:pt>
                <c:pt idx="10">
                  <c:v>783.94</c:v>
                </c:pt>
                <c:pt idx="11">
                  <c:v>809.04</c:v>
                </c:pt>
                <c:pt idx="12">
                  <c:v>813.54</c:v>
                </c:pt>
                <c:pt idx="13">
                  <c:v>750.54</c:v>
                </c:pt>
                <c:pt idx="14">
                  <c:v>706.54</c:v>
                </c:pt>
                <c:pt idx="15">
                  <c:v>719.51</c:v>
                </c:pt>
                <c:pt idx="16">
                  <c:v>771.83999999999992</c:v>
                </c:pt>
                <c:pt idx="17">
                  <c:v>763.54</c:v>
                </c:pt>
                <c:pt idx="18">
                  <c:v>809.44</c:v>
                </c:pt>
                <c:pt idx="19">
                  <c:v>844.54</c:v>
                </c:pt>
                <c:pt idx="20">
                  <c:v>838.04</c:v>
                </c:pt>
                <c:pt idx="21">
                  <c:v>821.64</c:v>
                </c:pt>
                <c:pt idx="22">
                  <c:v>892.54</c:v>
                </c:pt>
                <c:pt idx="23">
                  <c:v>948.54</c:v>
                </c:pt>
                <c:pt idx="24">
                  <c:v>1091.74</c:v>
                </c:pt>
                <c:pt idx="25">
                  <c:v>1028.83</c:v>
                </c:pt>
                <c:pt idx="26">
                  <c:v>1003.96</c:v>
                </c:pt>
                <c:pt idx="27">
                  <c:v>966.76</c:v>
                </c:pt>
                <c:pt idx="28">
                  <c:v>908.70999999999992</c:v>
                </c:pt>
                <c:pt idx="29">
                  <c:v>826.41</c:v>
                </c:pt>
                <c:pt idx="30">
                  <c:v>783.24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619840"/>
        <c:axId val="319621760"/>
      </c:lineChart>
      <c:catAx>
        <c:axId val="319619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21760"/>
        <c:crosses val="autoZero"/>
        <c:auto val="1"/>
        <c:lblAlgn val="ctr"/>
        <c:lblOffset val="100"/>
        <c:noMultiLvlLbl val="0"/>
      </c:catAx>
      <c:valAx>
        <c:axId val="319621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'16'!$T$193:$AX$193</c:f>
              <c:numCache>
                <c:formatCode>0</c:formatCode>
                <c:ptCount val="31"/>
                <c:pt idx="0">
                  <c:v>698.09999999999991</c:v>
                </c:pt>
                <c:pt idx="1">
                  <c:v>683.33999999999992</c:v>
                </c:pt>
                <c:pt idx="2">
                  <c:v>670.81999999999994</c:v>
                </c:pt>
                <c:pt idx="3">
                  <c:v>643.52</c:v>
                </c:pt>
                <c:pt idx="4">
                  <c:v>644.79</c:v>
                </c:pt>
                <c:pt idx="5">
                  <c:v>650.93999999999994</c:v>
                </c:pt>
                <c:pt idx="6">
                  <c:v>669.28</c:v>
                </c:pt>
                <c:pt idx="7">
                  <c:v>713.24</c:v>
                </c:pt>
                <c:pt idx="8">
                  <c:v>735.43999999999994</c:v>
                </c:pt>
                <c:pt idx="9">
                  <c:v>778.33999999999992</c:v>
                </c:pt>
                <c:pt idx="10">
                  <c:v>813.14</c:v>
                </c:pt>
                <c:pt idx="11">
                  <c:v>823.44</c:v>
                </c:pt>
                <c:pt idx="12">
                  <c:v>825.94</c:v>
                </c:pt>
                <c:pt idx="13">
                  <c:v>845.72</c:v>
                </c:pt>
                <c:pt idx="14">
                  <c:v>843.99</c:v>
                </c:pt>
                <c:pt idx="15">
                  <c:v>876.19</c:v>
                </c:pt>
                <c:pt idx="16">
                  <c:v>920.24</c:v>
                </c:pt>
                <c:pt idx="17">
                  <c:v>905.33999999999992</c:v>
                </c:pt>
                <c:pt idx="18">
                  <c:v>905.44</c:v>
                </c:pt>
                <c:pt idx="19">
                  <c:v>888.50000000000011</c:v>
                </c:pt>
                <c:pt idx="20">
                  <c:v>862.44</c:v>
                </c:pt>
                <c:pt idx="21">
                  <c:v>856.84000000000015</c:v>
                </c:pt>
                <c:pt idx="22">
                  <c:v>896.94</c:v>
                </c:pt>
                <c:pt idx="23">
                  <c:v>967.74000000000012</c:v>
                </c:pt>
                <c:pt idx="24">
                  <c:v>1193.94</c:v>
                </c:pt>
                <c:pt idx="25">
                  <c:v>1172.3399999999999</c:v>
                </c:pt>
                <c:pt idx="26">
                  <c:v>1116.94</c:v>
                </c:pt>
                <c:pt idx="27">
                  <c:v>1101.24</c:v>
                </c:pt>
                <c:pt idx="28">
                  <c:v>1050.94</c:v>
                </c:pt>
                <c:pt idx="29">
                  <c:v>1011.21</c:v>
                </c:pt>
                <c:pt idx="30">
                  <c:v>956.89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196992"/>
        <c:axId val="320198912"/>
      </c:lineChart>
      <c:catAx>
        <c:axId val="320196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98912"/>
        <c:crosses val="autoZero"/>
        <c:auto val="1"/>
        <c:lblAlgn val="ctr"/>
        <c:lblOffset val="100"/>
        <c:noMultiLvlLbl val="0"/>
      </c:catAx>
      <c:valAx>
        <c:axId val="320198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19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'17'!$T$193:$AX$193</c:f>
              <c:numCache>
                <c:formatCode>0</c:formatCode>
                <c:ptCount val="31"/>
                <c:pt idx="0">
                  <c:v>940.44</c:v>
                </c:pt>
                <c:pt idx="1">
                  <c:v>946.7399999999999</c:v>
                </c:pt>
                <c:pt idx="2">
                  <c:v>923.54</c:v>
                </c:pt>
                <c:pt idx="3">
                  <c:v>917.33999999999992</c:v>
                </c:pt>
                <c:pt idx="4">
                  <c:v>895.74</c:v>
                </c:pt>
                <c:pt idx="5">
                  <c:v>874.74</c:v>
                </c:pt>
                <c:pt idx="6">
                  <c:v>872.33999999999992</c:v>
                </c:pt>
                <c:pt idx="7">
                  <c:v>915.24</c:v>
                </c:pt>
                <c:pt idx="8">
                  <c:v>960.93999999999994</c:v>
                </c:pt>
                <c:pt idx="9">
                  <c:v>984.33999999999992</c:v>
                </c:pt>
                <c:pt idx="10">
                  <c:v>978.36000000000013</c:v>
                </c:pt>
                <c:pt idx="11">
                  <c:v>1041.31</c:v>
                </c:pt>
                <c:pt idx="12">
                  <c:v>1063.1399999999999</c:v>
                </c:pt>
                <c:pt idx="13">
                  <c:v>1056.1400000000001</c:v>
                </c:pt>
                <c:pt idx="14">
                  <c:v>1081.9399999999998</c:v>
                </c:pt>
                <c:pt idx="15">
                  <c:v>1070.04</c:v>
                </c:pt>
                <c:pt idx="16">
                  <c:v>1079.8399999999999</c:v>
                </c:pt>
                <c:pt idx="17">
                  <c:v>1047.54</c:v>
                </c:pt>
                <c:pt idx="18">
                  <c:v>1034.04</c:v>
                </c:pt>
                <c:pt idx="19">
                  <c:v>1014.06</c:v>
                </c:pt>
                <c:pt idx="20">
                  <c:v>1014.9</c:v>
                </c:pt>
                <c:pt idx="21">
                  <c:v>1012.23</c:v>
                </c:pt>
                <c:pt idx="22">
                  <c:v>1010.8999999999999</c:v>
                </c:pt>
                <c:pt idx="23">
                  <c:v>1082.77</c:v>
                </c:pt>
                <c:pt idx="24">
                  <c:v>1165.54</c:v>
                </c:pt>
                <c:pt idx="25">
                  <c:v>1184.1399999999999</c:v>
                </c:pt>
                <c:pt idx="26">
                  <c:v>1138.54</c:v>
                </c:pt>
                <c:pt idx="27">
                  <c:v>1123.8399999999999</c:v>
                </c:pt>
                <c:pt idx="28">
                  <c:v>1005.54</c:v>
                </c:pt>
                <c:pt idx="29">
                  <c:v>941.94</c:v>
                </c:pt>
                <c:pt idx="30">
                  <c:v>917.44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790912"/>
        <c:axId val="320792832"/>
      </c:lineChart>
      <c:catAx>
        <c:axId val="320790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92832"/>
        <c:crosses val="autoZero"/>
        <c:auto val="1"/>
        <c:lblAlgn val="ctr"/>
        <c:lblOffset val="100"/>
        <c:noMultiLvlLbl val="0"/>
      </c:catAx>
      <c:valAx>
        <c:axId val="320792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9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'18'!$T$193:$AX$193</c:f>
              <c:numCache>
                <c:formatCode>0</c:formatCode>
                <c:ptCount val="31"/>
                <c:pt idx="0">
                  <c:v>919.54</c:v>
                </c:pt>
                <c:pt idx="1">
                  <c:v>900.74</c:v>
                </c:pt>
                <c:pt idx="2">
                  <c:v>864.44</c:v>
                </c:pt>
                <c:pt idx="3">
                  <c:v>864.04</c:v>
                </c:pt>
                <c:pt idx="4">
                  <c:v>843.64</c:v>
                </c:pt>
                <c:pt idx="5">
                  <c:v>830.93999999999994</c:v>
                </c:pt>
                <c:pt idx="6">
                  <c:v>841.24</c:v>
                </c:pt>
                <c:pt idx="7">
                  <c:v>862.44</c:v>
                </c:pt>
                <c:pt idx="8">
                  <c:v>883.54</c:v>
                </c:pt>
                <c:pt idx="9">
                  <c:v>888.33999999999992</c:v>
                </c:pt>
                <c:pt idx="10">
                  <c:v>945.33999999999992</c:v>
                </c:pt>
                <c:pt idx="11">
                  <c:v>955.83999999999992</c:v>
                </c:pt>
                <c:pt idx="12">
                  <c:v>987.63999999999987</c:v>
                </c:pt>
                <c:pt idx="13">
                  <c:v>965.84</c:v>
                </c:pt>
                <c:pt idx="14">
                  <c:v>980.44</c:v>
                </c:pt>
                <c:pt idx="15">
                  <c:v>920.33999999999992</c:v>
                </c:pt>
                <c:pt idx="16">
                  <c:v>989.04</c:v>
                </c:pt>
                <c:pt idx="17">
                  <c:v>974.44</c:v>
                </c:pt>
                <c:pt idx="18">
                  <c:v>981.24</c:v>
                </c:pt>
                <c:pt idx="19">
                  <c:v>930.83999999999992</c:v>
                </c:pt>
                <c:pt idx="20">
                  <c:v>912.84000000000015</c:v>
                </c:pt>
                <c:pt idx="21">
                  <c:v>927.83999999999992</c:v>
                </c:pt>
                <c:pt idx="22">
                  <c:v>951.64</c:v>
                </c:pt>
                <c:pt idx="23">
                  <c:v>1021.54</c:v>
                </c:pt>
                <c:pt idx="24">
                  <c:v>1134.04</c:v>
                </c:pt>
                <c:pt idx="25">
                  <c:v>1161.3399999999999</c:v>
                </c:pt>
                <c:pt idx="26">
                  <c:v>1091.24</c:v>
                </c:pt>
                <c:pt idx="27">
                  <c:v>1008.2</c:v>
                </c:pt>
                <c:pt idx="28">
                  <c:v>985.33999999999992</c:v>
                </c:pt>
                <c:pt idx="29">
                  <c:v>934.64</c:v>
                </c:pt>
                <c:pt idx="30">
                  <c:v>905.65000000000009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495424"/>
        <c:axId val="321497344"/>
      </c:lineChart>
      <c:catAx>
        <c:axId val="321495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97344"/>
        <c:crosses val="autoZero"/>
        <c:auto val="1"/>
        <c:lblAlgn val="ctr"/>
        <c:lblOffset val="100"/>
        <c:noMultiLvlLbl val="0"/>
      </c:catAx>
      <c:valAx>
        <c:axId val="321497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9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'19'!$T$193:$AX$193</c:f>
              <c:numCache>
                <c:formatCode>0</c:formatCode>
                <c:ptCount val="31"/>
                <c:pt idx="0">
                  <c:v>892.72</c:v>
                </c:pt>
                <c:pt idx="1">
                  <c:v>882.83999999999992</c:v>
                </c:pt>
                <c:pt idx="2">
                  <c:v>880.04</c:v>
                </c:pt>
                <c:pt idx="3">
                  <c:v>911.3599999999999</c:v>
                </c:pt>
                <c:pt idx="4">
                  <c:v>869.92000000000007</c:v>
                </c:pt>
                <c:pt idx="5">
                  <c:v>906.71999999999991</c:v>
                </c:pt>
                <c:pt idx="6">
                  <c:v>889.27</c:v>
                </c:pt>
                <c:pt idx="7">
                  <c:v>902.02</c:v>
                </c:pt>
                <c:pt idx="8">
                  <c:v>943.54000000000008</c:v>
                </c:pt>
                <c:pt idx="9">
                  <c:v>992.57</c:v>
                </c:pt>
                <c:pt idx="10">
                  <c:v>1031.04</c:v>
                </c:pt>
                <c:pt idx="11">
                  <c:v>1065.6399999999999</c:v>
                </c:pt>
                <c:pt idx="12">
                  <c:v>1065.71</c:v>
                </c:pt>
                <c:pt idx="13">
                  <c:v>1087.44</c:v>
                </c:pt>
                <c:pt idx="14">
                  <c:v>1086.8399999999999</c:v>
                </c:pt>
                <c:pt idx="15">
                  <c:v>1110.24</c:v>
                </c:pt>
                <c:pt idx="16">
                  <c:v>1068.69</c:v>
                </c:pt>
                <c:pt idx="17">
                  <c:v>1053.96</c:v>
                </c:pt>
                <c:pt idx="18">
                  <c:v>1054.54</c:v>
                </c:pt>
                <c:pt idx="19">
                  <c:v>1015.52</c:v>
                </c:pt>
                <c:pt idx="20">
                  <c:v>1022.54</c:v>
                </c:pt>
                <c:pt idx="21">
                  <c:v>1006.56</c:v>
                </c:pt>
                <c:pt idx="22">
                  <c:v>1027.3400000000001</c:v>
                </c:pt>
                <c:pt idx="23">
                  <c:v>1147.6299999999999</c:v>
                </c:pt>
                <c:pt idx="24">
                  <c:v>1245.77</c:v>
                </c:pt>
                <c:pt idx="25">
                  <c:v>1297.44</c:v>
                </c:pt>
                <c:pt idx="26">
                  <c:v>1297.44</c:v>
                </c:pt>
                <c:pt idx="27">
                  <c:v>1203.6399999999999</c:v>
                </c:pt>
                <c:pt idx="28">
                  <c:v>1146.74</c:v>
                </c:pt>
                <c:pt idx="29">
                  <c:v>1094.8399999999999</c:v>
                </c:pt>
                <c:pt idx="30">
                  <c:v>1071.04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452480"/>
        <c:axId val="322454656"/>
      </c:lineChart>
      <c:catAx>
        <c:axId val="322452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54656"/>
        <c:crosses val="autoZero"/>
        <c:auto val="1"/>
        <c:lblAlgn val="ctr"/>
        <c:lblOffset val="100"/>
        <c:noMultiLvlLbl val="0"/>
      </c:catAx>
      <c:valAx>
        <c:axId val="322454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5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'20'!$T$193:$AX$193</c:f>
              <c:numCache>
                <c:formatCode>0</c:formatCode>
                <c:ptCount val="31"/>
                <c:pt idx="0">
                  <c:v>1005.3399999999999</c:v>
                </c:pt>
                <c:pt idx="1">
                  <c:v>992.94</c:v>
                </c:pt>
                <c:pt idx="2">
                  <c:v>965.33999999999992</c:v>
                </c:pt>
                <c:pt idx="3">
                  <c:v>939.94</c:v>
                </c:pt>
                <c:pt idx="4">
                  <c:v>960.04</c:v>
                </c:pt>
                <c:pt idx="5">
                  <c:v>968.63999999999987</c:v>
                </c:pt>
                <c:pt idx="6">
                  <c:v>960.29</c:v>
                </c:pt>
                <c:pt idx="7">
                  <c:v>980.14</c:v>
                </c:pt>
                <c:pt idx="8">
                  <c:v>983.33999999999992</c:v>
                </c:pt>
                <c:pt idx="9">
                  <c:v>983.33999999999992</c:v>
                </c:pt>
                <c:pt idx="10">
                  <c:v>1104.2399999999998</c:v>
                </c:pt>
                <c:pt idx="11">
                  <c:v>1126.24</c:v>
                </c:pt>
                <c:pt idx="12">
                  <c:v>1145.24</c:v>
                </c:pt>
                <c:pt idx="13">
                  <c:v>1133.44</c:v>
                </c:pt>
                <c:pt idx="14">
                  <c:v>1119.1399999999999</c:v>
                </c:pt>
                <c:pt idx="15">
                  <c:v>1105.3400000000001</c:v>
                </c:pt>
                <c:pt idx="16">
                  <c:v>1125.44</c:v>
                </c:pt>
                <c:pt idx="17">
                  <c:v>1109.0400000000002</c:v>
                </c:pt>
                <c:pt idx="18">
                  <c:v>1109.04</c:v>
                </c:pt>
                <c:pt idx="19">
                  <c:v>1086.94</c:v>
                </c:pt>
                <c:pt idx="20">
                  <c:v>1081.3399999999999</c:v>
                </c:pt>
                <c:pt idx="21">
                  <c:v>1046.04</c:v>
                </c:pt>
                <c:pt idx="22">
                  <c:v>1049.54</c:v>
                </c:pt>
                <c:pt idx="23">
                  <c:v>1142.3400000000001</c:v>
                </c:pt>
                <c:pt idx="24">
                  <c:v>1238.74</c:v>
                </c:pt>
                <c:pt idx="25">
                  <c:v>1282.1400000000001</c:v>
                </c:pt>
                <c:pt idx="26">
                  <c:v>1285.74</c:v>
                </c:pt>
                <c:pt idx="27">
                  <c:v>1251</c:v>
                </c:pt>
                <c:pt idx="28">
                  <c:v>1211.8</c:v>
                </c:pt>
                <c:pt idx="29">
                  <c:v>1155.8399999999999</c:v>
                </c:pt>
                <c:pt idx="30">
                  <c:v>1082.74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914176"/>
        <c:axId val="322920448"/>
      </c:lineChart>
      <c:catAx>
        <c:axId val="322914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20448"/>
        <c:crosses val="autoZero"/>
        <c:auto val="1"/>
        <c:lblAlgn val="ctr"/>
        <c:lblOffset val="100"/>
        <c:noMultiLvlLbl val="0"/>
      </c:catAx>
      <c:valAx>
        <c:axId val="322920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1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'21'!$T$193:$AX$193</c:f>
              <c:numCache>
                <c:formatCode>0</c:formatCode>
                <c:ptCount val="31"/>
                <c:pt idx="0">
                  <c:v>1030.94</c:v>
                </c:pt>
                <c:pt idx="1">
                  <c:v>1014.94</c:v>
                </c:pt>
                <c:pt idx="2">
                  <c:v>980.62000000000012</c:v>
                </c:pt>
                <c:pt idx="3">
                  <c:v>988.24</c:v>
                </c:pt>
                <c:pt idx="4">
                  <c:v>955.25</c:v>
                </c:pt>
                <c:pt idx="5">
                  <c:v>947.46</c:v>
                </c:pt>
                <c:pt idx="6">
                  <c:v>927.47</c:v>
                </c:pt>
                <c:pt idx="7">
                  <c:v>985.96</c:v>
                </c:pt>
                <c:pt idx="8">
                  <c:v>1018.62</c:v>
                </c:pt>
                <c:pt idx="9">
                  <c:v>1069.0100000000002</c:v>
                </c:pt>
                <c:pt idx="10">
                  <c:v>1085.8400000000001</c:v>
                </c:pt>
                <c:pt idx="11">
                  <c:v>1127.3400000000001</c:v>
                </c:pt>
                <c:pt idx="12">
                  <c:v>1134.04</c:v>
                </c:pt>
                <c:pt idx="13">
                  <c:v>1141.8399999999999</c:v>
                </c:pt>
                <c:pt idx="14">
                  <c:v>1151.92</c:v>
                </c:pt>
                <c:pt idx="15">
                  <c:v>1151.7399999999998</c:v>
                </c:pt>
                <c:pt idx="16">
                  <c:v>1145.44</c:v>
                </c:pt>
                <c:pt idx="17">
                  <c:v>1059.24</c:v>
                </c:pt>
                <c:pt idx="18">
                  <c:v>1014.0400000000001</c:v>
                </c:pt>
                <c:pt idx="19">
                  <c:v>1037.44</c:v>
                </c:pt>
                <c:pt idx="20">
                  <c:v>1003.94</c:v>
                </c:pt>
                <c:pt idx="21">
                  <c:v>1008.54</c:v>
                </c:pt>
                <c:pt idx="22">
                  <c:v>1020.84</c:v>
                </c:pt>
                <c:pt idx="23">
                  <c:v>1123.6399999999999</c:v>
                </c:pt>
                <c:pt idx="24">
                  <c:v>1309.3399999999999</c:v>
                </c:pt>
                <c:pt idx="25">
                  <c:v>1277.3400000000001</c:v>
                </c:pt>
                <c:pt idx="26">
                  <c:v>1255.1399999999999</c:v>
                </c:pt>
                <c:pt idx="27">
                  <c:v>1255.94</c:v>
                </c:pt>
                <c:pt idx="28">
                  <c:v>1164.54</c:v>
                </c:pt>
                <c:pt idx="29">
                  <c:v>1096.44</c:v>
                </c:pt>
                <c:pt idx="30">
                  <c:v>1082.3399999999999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609728"/>
        <c:axId val="323611648"/>
      </c:lineChart>
      <c:catAx>
        <c:axId val="323609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11648"/>
        <c:crosses val="autoZero"/>
        <c:auto val="1"/>
        <c:lblAlgn val="ctr"/>
        <c:lblOffset val="100"/>
        <c:noMultiLvlLbl val="0"/>
      </c:catAx>
      <c:valAx>
        <c:axId val="323611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0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'22'!$T$193:$AX$193</c:f>
              <c:numCache>
                <c:formatCode>0</c:formatCode>
                <c:ptCount val="31"/>
                <c:pt idx="0">
                  <c:v>1067.1400000000001</c:v>
                </c:pt>
                <c:pt idx="1">
                  <c:v>1057.1400000000001</c:v>
                </c:pt>
                <c:pt idx="2">
                  <c:v>1053.97</c:v>
                </c:pt>
                <c:pt idx="3">
                  <c:v>1044.04</c:v>
                </c:pt>
                <c:pt idx="4">
                  <c:v>1031.04</c:v>
                </c:pt>
                <c:pt idx="5">
                  <c:v>994.1400000000001</c:v>
                </c:pt>
                <c:pt idx="6">
                  <c:v>995.34</c:v>
                </c:pt>
                <c:pt idx="7">
                  <c:v>990.35</c:v>
                </c:pt>
                <c:pt idx="8">
                  <c:v>999.33999999999992</c:v>
                </c:pt>
                <c:pt idx="9">
                  <c:v>1041.94</c:v>
                </c:pt>
                <c:pt idx="10">
                  <c:v>1052.0700000000002</c:v>
                </c:pt>
                <c:pt idx="11">
                  <c:v>1104.28</c:v>
                </c:pt>
                <c:pt idx="12">
                  <c:v>1076.1500000000001</c:v>
                </c:pt>
                <c:pt idx="13">
                  <c:v>1041.04</c:v>
                </c:pt>
                <c:pt idx="14">
                  <c:v>1072.27</c:v>
                </c:pt>
                <c:pt idx="15">
                  <c:v>1065.05</c:v>
                </c:pt>
                <c:pt idx="16">
                  <c:v>1083.04</c:v>
                </c:pt>
                <c:pt idx="17">
                  <c:v>1037.6400000000001</c:v>
                </c:pt>
                <c:pt idx="18">
                  <c:v>986.24</c:v>
                </c:pt>
                <c:pt idx="19">
                  <c:v>1011.04</c:v>
                </c:pt>
                <c:pt idx="20">
                  <c:v>957.83999999999992</c:v>
                </c:pt>
                <c:pt idx="21">
                  <c:v>939.11</c:v>
                </c:pt>
                <c:pt idx="22">
                  <c:v>948.46</c:v>
                </c:pt>
                <c:pt idx="23">
                  <c:v>1055.6300000000001</c:v>
                </c:pt>
                <c:pt idx="24">
                  <c:v>1175.54</c:v>
                </c:pt>
                <c:pt idx="25">
                  <c:v>1206.6400000000001</c:v>
                </c:pt>
                <c:pt idx="26">
                  <c:v>1205.8399999999999</c:v>
                </c:pt>
                <c:pt idx="27">
                  <c:v>1187.54</c:v>
                </c:pt>
                <c:pt idx="28">
                  <c:v>1104.54</c:v>
                </c:pt>
                <c:pt idx="29">
                  <c:v>1053.94</c:v>
                </c:pt>
                <c:pt idx="30">
                  <c:v>1047.24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235648"/>
        <c:axId val="324237568"/>
      </c:lineChart>
      <c:catAx>
        <c:axId val="324235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7568"/>
        <c:crosses val="autoZero"/>
        <c:auto val="1"/>
        <c:lblAlgn val="ctr"/>
        <c:lblOffset val="100"/>
        <c:noMultiLvlLbl val="0"/>
      </c:catAx>
      <c:valAx>
        <c:axId val="324237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'23'!$T$193:$AX$193</c:f>
              <c:numCache>
                <c:formatCode>0</c:formatCode>
                <c:ptCount val="31"/>
                <c:pt idx="0">
                  <c:v>1034.94</c:v>
                </c:pt>
                <c:pt idx="1">
                  <c:v>1025.1400000000001</c:v>
                </c:pt>
                <c:pt idx="2">
                  <c:v>980.04</c:v>
                </c:pt>
                <c:pt idx="3">
                  <c:v>974.04</c:v>
                </c:pt>
                <c:pt idx="4">
                  <c:v>949.96</c:v>
                </c:pt>
                <c:pt idx="5">
                  <c:v>919.44</c:v>
                </c:pt>
                <c:pt idx="6">
                  <c:v>930.54</c:v>
                </c:pt>
                <c:pt idx="7">
                  <c:v>950.99</c:v>
                </c:pt>
                <c:pt idx="8">
                  <c:v>977.3900000000001</c:v>
                </c:pt>
                <c:pt idx="9">
                  <c:v>1036.19</c:v>
                </c:pt>
                <c:pt idx="10">
                  <c:v>1067.3799999999999</c:v>
                </c:pt>
                <c:pt idx="11">
                  <c:v>1110.1399999999999</c:v>
                </c:pt>
                <c:pt idx="12">
                  <c:v>1160.8400000000001</c:v>
                </c:pt>
                <c:pt idx="13">
                  <c:v>1145.74</c:v>
                </c:pt>
                <c:pt idx="14">
                  <c:v>1166.9399999999998</c:v>
                </c:pt>
                <c:pt idx="15">
                  <c:v>1134.3400000000001</c:v>
                </c:pt>
                <c:pt idx="16">
                  <c:v>1108.8399999999999</c:v>
                </c:pt>
                <c:pt idx="17">
                  <c:v>1160.3400000000001</c:v>
                </c:pt>
                <c:pt idx="18">
                  <c:v>1110.3899999999999</c:v>
                </c:pt>
                <c:pt idx="19">
                  <c:v>1011.2</c:v>
                </c:pt>
                <c:pt idx="20">
                  <c:v>1018.96</c:v>
                </c:pt>
                <c:pt idx="21">
                  <c:v>1010.01</c:v>
                </c:pt>
                <c:pt idx="22">
                  <c:v>1053.44</c:v>
                </c:pt>
                <c:pt idx="23">
                  <c:v>1038.8000000000002</c:v>
                </c:pt>
                <c:pt idx="24">
                  <c:v>1194.51</c:v>
                </c:pt>
                <c:pt idx="25">
                  <c:v>1203.0100000000002</c:v>
                </c:pt>
                <c:pt idx="26">
                  <c:v>1226.3400000000001</c:v>
                </c:pt>
                <c:pt idx="27">
                  <c:v>1170.94</c:v>
                </c:pt>
                <c:pt idx="28">
                  <c:v>1087.53</c:v>
                </c:pt>
                <c:pt idx="29">
                  <c:v>1063.3400000000001</c:v>
                </c:pt>
                <c:pt idx="30">
                  <c:v>1046.0100000000002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952064"/>
        <c:axId val="324953984"/>
      </c:lineChart>
      <c:catAx>
        <c:axId val="324952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53984"/>
        <c:crosses val="autoZero"/>
        <c:auto val="1"/>
        <c:lblAlgn val="ctr"/>
        <c:lblOffset val="100"/>
        <c:noMultiLvlLbl val="0"/>
      </c:catAx>
      <c:valAx>
        <c:axId val="324953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5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'24'!$T$193:$AX$193</c:f>
              <c:numCache>
                <c:formatCode>0</c:formatCode>
                <c:ptCount val="31"/>
                <c:pt idx="0">
                  <c:v>1035.92</c:v>
                </c:pt>
                <c:pt idx="1">
                  <c:v>1006.67</c:v>
                </c:pt>
                <c:pt idx="2">
                  <c:v>1001.64</c:v>
                </c:pt>
                <c:pt idx="3">
                  <c:v>997.93000000000006</c:v>
                </c:pt>
                <c:pt idx="4">
                  <c:v>970.96</c:v>
                </c:pt>
                <c:pt idx="5">
                  <c:v>921.43999999999994</c:v>
                </c:pt>
                <c:pt idx="6">
                  <c:v>921.43999999999994</c:v>
                </c:pt>
                <c:pt idx="7">
                  <c:v>961.14</c:v>
                </c:pt>
                <c:pt idx="8">
                  <c:v>983.67</c:v>
                </c:pt>
                <c:pt idx="9">
                  <c:v>974.93999999999983</c:v>
                </c:pt>
                <c:pt idx="10">
                  <c:v>1111.04</c:v>
                </c:pt>
                <c:pt idx="11">
                  <c:v>1143.94</c:v>
                </c:pt>
                <c:pt idx="12">
                  <c:v>1123.24</c:v>
                </c:pt>
                <c:pt idx="13">
                  <c:v>1125.74</c:v>
                </c:pt>
                <c:pt idx="14">
                  <c:v>1134.6400000000001</c:v>
                </c:pt>
                <c:pt idx="15">
                  <c:v>1140.94</c:v>
                </c:pt>
                <c:pt idx="16">
                  <c:v>1192.3400000000001</c:v>
                </c:pt>
                <c:pt idx="17">
                  <c:v>1184.44</c:v>
                </c:pt>
                <c:pt idx="18">
                  <c:v>1182.3400000000001</c:v>
                </c:pt>
                <c:pt idx="19">
                  <c:v>1080.3700000000001</c:v>
                </c:pt>
                <c:pt idx="20">
                  <c:v>1088.24</c:v>
                </c:pt>
                <c:pt idx="21">
                  <c:v>1037.54</c:v>
                </c:pt>
                <c:pt idx="22">
                  <c:v>1033.96</c:v>
                </c:pt>
                <c:pt idx="23">
                  <c:v>1107.1500000000001</c:v>
                </c:pt>
                <c:pt idx="24">
                  <c:v>1211.69</c:v>
                </c:pt>
                <c:pt idx="25">
                  <c:v>1250.9099999999999</c:v>
                </c:pt>
                <c:pt idx="26">
                  <c:v>1247.4399999999998</c:v>
                </c:pt>
                <c:pt idx="27">
                  <c:v>1249.26</c:v>
                </c:pt>
                <c:pt idx="28">
                  <c:v>1193.24</c:v>
                </c:pt>
                <c:pt idx="29">
                  <c:v>1125.44</c:v>
                </c:pt>
                <c:pt idx="30">
                  <c:v>1065.8400000000001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06400"/>
        <c:axId val="325641344"/>
      </c:lineChart>
      <c:catAx>
        <c:axId val="325606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41344"/>
        <c:crosses val="autoZero"/>
        <c:auto val="1"/>
        <c:lblAlgn val="ctr"/>
        <c:lblOffset val="100"/>
        <c:noMultiLvlLbl val="0"/>
      </c:catAx>
      <c:valAx>
        <c:axId val="325641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'25'!$T$193:$AX$193</c:f>
              <c:numCache>
                <c:formatCode>0</c:formatCode>
                <c:ptCount val="31"/>
                <c:pt idx="0">
                  <c:v>1096.6399999999999</c:v>
                </c:pt>
                <c:pt idx="1">
                  <c:v>1067.3400000000001</c:v>
                </c:pt>
                <c:pt idx="2">
                  <c:v>1065.8399999999999</c:v>
                </c:pt>
                <c:pt idx="3">
                  <c:v>1056.74</c:v>
                </c:pt>
                <c:pt idx="4">
                  <c:v>1048.04</c:v>
                </c:pt>
                <c:pt idx="5">
                  <c:v>1034.3400000000001</c:v>
                </c:pt>
                <c:pt idx="6">
                  <c:v>1076.74</c:v>
                </c:pt>
                <c:pt idx="7">
                  <c:v>1077.6399999999999</c:v>
                </c:pt>
                <c:pt idx="8">
                  <c:v>1110.0900000000001</c:v>
                </c:pt>
                <c:pt idx="9">
                  <c:v>1142.04</c:v>
                </c:pt>
                <c:pt idx="10">
                  <c:v>1149.0400000000002</c:v>
                </c:pt>
                <c:pt idx="11">
                  <c:v>1188.44</c:v>
                </c:pt>
                <c:pt idx="12">
                  <c:v>1195.94</c:v>
                </c:pt>
                <c:pt idx="13">
                  <c:v>1205.94</c:v>
                </c:pt>
                <c:pt idx="14">
                  <c:v>1166.44</c:v>
                </c:pt>
                <c:pt idx="15">
                  <c:v>1178.04</c:v>
                </c:pt>
                <c:pt idx="16">
                  <c:v>1141.04</c:v>
                </c:pt>
                <c:pt idx="17">
                  <c:v>1105.1399999999999</c:v>
                </c:pt>
                <c:pt idx="18">
                  <c:v>1087.74</c:v>
                </c:pt>
                <c:pt idx="19">
                  <c:v>1104.1399999999999</c:v>
                </c:pt>
                <c:pt idx="20">
                  <c:v>1063.1399999999999</c:v>
                </c:pt>
                <c:pt idx="21">
                  <c:v>1018.84</c:v>
                </c:pt>
                <c:pt idx="22">
                  <c:v>1057.1399999999999</c:v>
                </c:pt>
                <c:pt idx="23">
                  <c:v>1078.94</c:v>
                </c:pt>
                <c:pt idx="24">
                  <c:v>1241.94</c:v>
                </c:pt>
                <c:pt idx="25">
                  <c:v>1271.8399999999999</c:v>
                </c:pt>
                <c:pt idx="26">
                  <c:v>1255.24</c:v>
                </c:pt>
                <c:pt idx="27">
                  <c:v>1211.68</c:v>
                </c:pt>
                <c:pt idx="28">
                  <c:v>1154.8399999999999</c:v>
                </c:pt>
                <c:pt idx="29">
                  <c:v>1105</c:v>
                </c:pt>
                <c:pt idx="30">
                  <c:v>1086.8300000000002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310144"/>
        <c:axId val="326316416"/>
      </c:lineChart>
      <c:catAx>
        <c:axId val="326310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16416"/>
        <c:crosses val="autoZero"/>
        <c:auto val="1"/>
        <c:lblAlgn val="ctr"/>
        <c:lblOffset val="100"/>
        <c:noMultiLvlLbl val="0"/>
      </c:catAx>
      <c:valAx>
        <c:axId val="326316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1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'26'!$T$193:$AX$193</c:f>
              <c:numCache>
                <c:formatCode>0</c:formatCode>
                <c:ptCount val="31"/>
                <c:pt idx="0">
                  <c:v>1038.44</c:v>
                </c:pt>
                <c:pt idx="1">
                  <c:v>1042.8400000000001</c:v>
                </c:pt>
                <c:pt idx="2">
                  <c:v>1019.8400000000001</c:v>
                </c:pt>
                <c:pt idx="3">
                  <c:v>1026.8400000000001</c:v>
                </c:pt>
                <c:pt idx="4">
                  <c:v>1009.44</c:v>
                </c:pt>
                <c:pt idx="5">
                  <c:v>1009.6400000000001</c:v>
                </c:pt>
                <c:pt idx="6">
                  <c:v>987.75000000000011</c:v>
                </c:pt>
                <c:pt idx="7">
                  <c:v>1002.5900000000001</c:v>
                </c:pt>
                <c:pt idx="8">
                  <c:v>1053.83</c:v>
                </c:pt>
                <c:pt idx="9">
                  <c:v>1096.71</c:v>
                </c:pt>
                <c:pt idx="10">
                  <c:v>1079.7400000000002</c:v>
                </c:pt>
                <c:pt idx="11">
                  <c:v>1110.2400000000002</c:v>
                </c:pt>
                <c:pt idx="12">
                  <c:v>1121.1400000000001</c:v>
                </c:pt>
                <c:pt idx="13">
                  <c:v>1131</c:v>
                </c:pt>
                <c:pt idx="14">
                  <c:v>1120.3400000000001</c:v>
                </c:pt>
                <c:pt idx="15">
                  <c:v>1140.2800000000002</c:v>
                </c:pt>
                <c:pt idx="16">
                  <c:v>1153.8400000000001</c:v>
                </c:pt>
                <c:pt idx="17">
                  <c:v>1166.54</c:v>
                </c:pt>
                <c:pt idx="18">
                  <c:v>1107.44</c:v>
                </c:pt>
                <c:pt idx="19">
                  <c:v>1085.74</c:v>
                </c:pt>
                <c:pt idx="20">
                  <c:v>1074.5400000000002</c:v>
                </c:pt>
                <c:pt idx="21">
                  <c:v>1061.6400000000001</c:v>
                </c:pt>
                <c:pt idx="22">
                  <c:v>1078.44</c:v>
                </c:pt>
                <c:pt idx="23">
                  <c:v>1124.54</c:v>
                </c:pt>
                <c:pt idx="24">
                  <c:v>1260.94</c:v>
                </c:pt>
                <c:pt idx="25">
                  <c:v>1303.3399999999999</c:v>
                </c:pt>
                <c:pt idx="26">
                  <c:v>1295.3399999999999</c:v>
                </c:pt>
                <c:pt idx="27">
                  <c:v>1227.54</c:v>
                </c:pt>
                <c:pt idx="28">
                  <c:v>1210.2400000000002</c:v>
                </c:pt>
                <c:pt idx="29">
                  <c:v>1154.24</c:v>
                </c:pt>
                <c:pt idx="30">
                  <c:v>1126.24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763776"/>
        <c:axId val="362765696"/>
      </c:lineChart>
      <c:catAx>
        <c:axId val="362763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65696"/>
        <c:crosses val="autoZero"/>
        <c:auto val="1"/>
        <c:lblAlgn val="ctr"/>
        <c:lblOffset val="100"/>
        <c:noMultiLvlLbl val="0"/>
      </c:catAx>
      <c:valAx>
        <c:axId val="362765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'27'!$T$193:$AX$193</c:f>
              <c:numCache>
                <c:formatCode>0</c:formatCode>
                <c:ptCount val="31"/>
                <c:pt idx="0">
                  <c:v>1144.3400000000001</c:v>
                </c:pt>
                <c:pt idx="1">
                  <c:v>1120.1399999999999</c:v>
                </c:pt>
                <c:pt idx="2">
                  <c:v>1123.94</c:v>
                </c:pt>
                <c:pt idx="3">
                  <c:v>1106.24</c:v>
                </c:pt>
                <c:pt idx="4">
                  <c:v>1087.8399999999999</c:v>
                </c:pt>
                <c:pt idx="5">
                  <c:v>1053.5390000000002</c:v>
                </c:pt>
                <c:pt idx="6">
                  <c:v>1073.74</c:v>
                </c:pt>
                <c:pt idx="7">
                  <c:v>1114.24</c:v>
                </c:pt>
                <c:pt idx="8">
                  <c:v>1135.54</c:v>
                </c:pt>
                <c:pt idx="9">
                  <c:v>1174.8400000000001</c:v>
                </c:pt>
                <c:pt idx="10">
                  <c:v>1159.5400000000002</c:v>
                </c:pt>
                <c:pt idx="11">
                  <c:v>1163.3699999999999</c:v>
                </c:pt>
                <c:pt idx="12">
                  <c:v>1150.24</c:v>
                </c:pt>
                <c:pt idx="13">
                  <c:v>1145.3000000000002</c:v>
                </c:pt>
                <c:pt idx="14">
                  <c:v>1136.8400000000001</c:v>
                </c:pt>
                <c:pt idx="15">
                  <c:v>1137.17</c:v>
                </c:pt>
                <c:pt idx="16">
                  <c:v>1135.44</c:v>
                </c:pt>
                <c:pt idx="17">
                  <c:v>1129.1199999999999</c:v>
                </c:pt>
                <c:pt idx="18">
                  <c:v>1106.2400000000002</c:v>
                </c:pt>
                <c:pt idx="19">
                  <c:v>1084.76</c:v>
                </c:pt>
                <c:pt idx="20">
                  <c:v>1087.94</c:v>
                </c:pt>
                <c:pt idx="21">
                  <c:v>1060.5700000000002</c:v>
                </c:pt>
                <c:pt idx="22">
                  <c:v>1044.3800000000001</c:v>
                </c:pt>
                <c:pt idx="23">
                  <c:v>1095.04</c:v>
                </c:pt>
                <c:pt idx="24">
                  <c:v>1242.74</c:v>
                </c:pt>
                <c:pt idx="25">
                  <c:v>1274.8400000000001</c:v>
                </c:pt>
                <c:pt idx="26">
                  <c:v>1282.6400000000001</c:v>
                </c:pt>
                <c:pt idx="27">
                  <c:v>1287.44</c:v>
                </c:pt>
                <c:pt idx="28">
                  <c:v>1220.3399999999999</c:v>
                </c:pt>
                <c:pt idx="29">
                  <c:v>1144.1400000000001</c:v>
                </c:pt>
                <c:pt idx="30">
                  <c:v>1162.94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89856"/>
        <c:axId val="303291776"/>
      </c:lineChart>
      <c:catAx>
        <c:axId val="303289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91776"/>
        <c:crosses val="autoZero"/>
        <c:auto val="1"/>
        <c:lblAlgn val="ctr"/>
        <c:lblOffset val="100"/>
        <c:noMultiLvlLbl val="0"/>
      </c:catAx>
      <c:valAx>
        <c:axId val="303291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8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'28'!$A$192:$A$196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'28'!$B$192:$B$196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'28'!$S$194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'28'!$T$193:$AX$193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'28'!$T$194:$AX$194</c:f>
              <c:numCache>
                <c:formatCode>0</c:formatCode>
                <c:ptCount val="31"/>
                <c:pt idx="0">
                  <c:v>1125.6400000000001</c:v>
                </c:pt>
                <c:pt idx="1">
                  <c:v>1140.24</c:v>
                </c:pt>
                <c:pt idx="2">
                  <c:v>1119.54</c:v>
                </c:pt>
                <c:pt idx="3">
                  <c:v>1107.1100000000001</c:v>
                </c:pt>
                <c:pt idx="4">
                  <c:v>1092.04</c:v>
                </c:pt>
                <c:pt idx="5">
                  <c:v>1072.2400000000002</c:v>
                </c:pt>
                <c:pt idx="6">
                  <c:v>1091.54</c:v>
                </c:pt>
                <c:pt idx="7">
                  <c:v>1126.44</c:v>
                </c:pt>
                <c:pt idx="8">
                  <c:v>1121.94</c:v>
                </c:pt>
                <c:pt idx="9">
                  <c:v>1149.5400000000002</c:v>
                </c:pt>
                <c:pt idx="10">
                  <c:v>1158.0610000000001</c:v>
                </c:pt>
                <c:pt idx="11">
                  <c:v>1164.451</c:v>
                </c:pt>
                <c:pt idx="12">
                  <c:v>1168.1400000000001</c:v>
                </c:pt>
                <c:pt idx="13">
                  <c:v>1171.54</c:v>
                </c:pt>
                <c:pt idx="14">
                  <c:v>1170.54</c:v>
                </c:pt>
                <c:pt idx="15">
                  <c:v>1104.3400000000001</c:v>
                </c:pt>
                <c:pt idx="16">
                  <c:v>1054.54</c:v>
                </c:pt>
                <c:pt idx="17">
                  <c:v>1035.44</c:v>
                </c:pt>
                <c:pt idx="18">
                  <c:v>952.54000000000008</c:v>
                </c:pt>
                <c:pt idx="19">
                  <c:v>926.04000000000008</c:v>
                </c:pt>
                <c:pt idx="20">
                  <c:v>909.24</c:v>
                </c:pt>
                <c:pt idx="21">
                  <c:v>901.3900000000001</c:v>
                </c:pt>
                <c:pt idx="22">
                  <c:v>918.77</c:v>
                </c:pt>
                <c:pt idx="23">
                  <c:v>971.6400000000001</c:v>
                </c:pt>
                <c:pt idx="24">
                  <c:v>1061.02</c:v>
                </c:pt>
                <c:pt idx="25">
                  <c:v>1177.78</c:v>
                </c:pt>
                <c:pt idx="26">
                  <c:v>1179.1400000000001</c:v>
                </c:pt>
                <c:pt idx="27">
                  <c:v>1168.44</c:v>
                </c:pt>
                <c:pt idx="28">
                  <c:v>1107.6400000000001</c:v>
                </c:pt>
                <c:pt idx="29">
                  <c:v>1039.74</c:v>
                </c:pt>
                <c:pt idx="30">
                  <c:v>1029.6400000000001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167168"/>
        <c:axId val="304173440"/>
      </c:lineChart>
      <c:catAx>
        <c:axId val="304167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73440"/>
        <c:crosses val="autoZero"/>
        <c:auto val="1"/>
        <c:lblAlgn val="ctr"/>
        <c:lblOffset val="100"/>
        <c:noMultiLvlLbl val="0"/>
      </c:catAx>
      <c:valAx>
        <c:axId val="304173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6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'29'!$T$193:$AX$193</c:f>
              <c:numCache>
                <c:formatCode>0</c:formatCode>
                <c:ptCount val="31"/>
                <c:pt idx="0">
                  <c:v>1046.44</c:v>
                </c:pt>
                <c:pt idx="1">
                  <c:v>1033.44</c:v>
                </c:pt>
                <c:pt idx="2">
                  <c:v>1016.5900000000001</c:v>
                </c:pt>
                <c:pt idx="3">
                  <c:v>1015.47</c:v>
                </c:pt>
                <c:pt idx="4">
                  <c:v>998.34000000000015</c:v>
                </c:pt>
                <c:pt idx="5">
                  <c:v>992.84000000000015</c:v>
                </c:pt>
                <c:pt idx="6">
                  <c:v>972.14</c:v>
                </c:pt>
                <c:pt idx="7">
                  <c:v>1034.1100000000001</c:v>
                </c:pt>
                <c:pt idx="8">
                  <c:v>1044.1000000000001</c:v>
                </c:pt>
                <c:pt idx="9">
                  <c:v>1027.97</c:v>
                </c:pt>
                <c:pt idx="10">
                  <c:v>995.91000000000008</c:v>
                </c:pt>
                <c:pt idx="11">
                  <c:v>1000.64</c:v>
                </c:pt>
                <c:pt idx="12">
                  <c:v>944.6400000000001</c:v>
                </c:pt>
                <c:pt idx="13">
                  <c:v>907.6400000000001</c:v>
                </c:pt>
                <c:pt idx="14">
                  <c:v>895.43000000000006</c:v>
                </c:pt>
                <c:pt idx="15">
                  <c:v>933.83999999999992</c:v>
                </c:pt>
                <c:pt idx="16">
                  <c:v>962.84</c:v>
                </c:pt>
                <c:pt idx="17">
                  <c:v>1010.14</c:v>
                </c:pt>
                <c:pt idx="18">
                  <c:v>960.34</c:v>
                </c:pt>
                <c:pt idx="19">
                  <c:v>923.06000000000017</c:v>
                </c:pt>
                <c:pt idx="20">
                  <c:v>941.39</c:v>
                </c:pt>
                <c:pt idx="21">
                  <c:v>955.34</c:v>
                </c:pt>
                <c:pt idx="22">
                  <c:v>969.77</c:v>
                </c:pt>
                <c:pt idx="23">
                  <c:v>1038.3399999999999</c:v>
                </c:pt>
                <c:pt idx="24">
                  <c:v>1165.6400000000001</c:v>
                </c:pt>
                <c:pt idx="25">
                  <c:v>1209.74</c:v>
                </c:pt>
                <c:pt idx="26">
                  <c:v>1195.3400000000001</c:v>
                </c:pt>
                <c:pt idx="27">
                  <c:v>1196.8400000000001</c:v>
                </c:pt>
                <c:pt idx="28">
                  <c:v>1120.3900000000001</c:v>
                </c:pt>
                <c:pt idx="29">
                  <c:v>1069.24</c:v>
                </c:pt>
                <c:pt idx="30">
                  <c:v>1077.8400000000001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60192"/>
        <c:axId val="303562112"/>
      </c:lineChart>
      <c:catAx>
        <c:axId val="303560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62112"/>
        <c:crosses val="autoZero"/>
        <c:auto val="1"/>
        <c:lblAlgn val="ctr"/>
        <c:lblOffset val="100"/>
        <c:noMultiLvlLbl val="0"/>
      </c:catAx>
      <c:valAx>
        <c:axId val="303562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'30'!$T$193:$AX$193</c:f>
              <c:numCache>
                <c:formatCode>0</c:formatCode>
                <c:ptCount val="31"/>
                <c:pt idx="0">
                  <c:v>1050.7400000000002</c:v>
                </c:pt>
                <c:pt idx="1">
                  <c:v>1024.54</c:v>
                </c:pt>
                <c:pt idx="2">
                  <c:v>1012.5200000000001</c:v>
                </c:pt>
                <c:pt idx="3">
                  <c:v>983.84000000000015</c:v>
                </c:pt>
                <c:pt idx="4">
                  <c:v>947.74</c:v>
                </c:pt>
                <c:pt idx="5">
                  <c:v>941.74</c:v>
                </c:pt>
                <c:pt idx="6">
                  <c:v>939.04000000000019</c:v>
                </c:pt>
                <c:pt idx="7">
                  <c:v>966.54000000000019</c:v>
                </c:pt>
                <c:pt idx="8">
                  <c:v>978.44</c:v>
                </c:pt>
                <c:pt idx="9">
                  <c:v>981.6400000000001</c:v>
                </c:pt>
                <c:pt idx="10">
                  <c:v>1064.24</c:v>
                </c:pt>
                <c:pt idx="11">
                  <c:v>1079.54</c:v>
                </c:pt>
                <c:pt idx="12">
                  <c:v>1087.24</c:v>
                </c:pt>
                <c:pt idx="13">
                  <c:v>1084.8400000000001</c:v>
                </c:pt>
                <c:pt idx="14">
                  <c:v>1065.3400000000001</c:v>
                </c:pt>
                <c:pt idx="15">
                  <c:v>1107.3400000000001</c:v>
                </c:pt>
                <c:pt idx="16">
                  <c:v>1097.24</c:v>
                </c:pt>
                <c:pt idx="17">
                  <c:v>1092.44</c:v>
                </c:pt>
                <c:pt idx="18">
                  <c:v>1052.54</c:v>
                </c:pt>
                <c:pt idx="19">
                  <c:v>1021.1400000000001</c:v>
                </c:pt>
                <c:pt idx="20">
                  <c:v>1022.24</c:v>
                </c:pt>
                <c:pt idx="21">
                  <c:v>1029.8400000000001</c:v>
                </c:pt>
                <c:pt idx="22">
                  <c:v>1103.1400000000001</c:v>
                </c:pt>
                <c:pt idx="23">
                  <c:v>1139.8400000000001</c:v>
                </c:pt>
                <c:pt idx="24">
                  <c:v>1230.24</c:v>
                </c:pt>
                <c:pt idx="25">
                  <c:v>1251.74</c:v>
                </c:pt>
                <c:pt idx="26">
                  <c:v>1217.3400000000001</c:v>
                </c:pt>
                <c:pt idx="27">
                  <c:v>1207.5400000000002</c:v>
                </c:pt>
                <c:pt idx="28">
                  <c:v>1187.0400000000002</c:v>
                </c:pt>
                <c:pt idx="29">
                  <c:v>1103.8400000000001</c:v>
                </c:pt>
                <c:pt idx="30">
                  <c:v>1087.7400000000002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830400"/>
        <c:axId val="309832320"/>
      </c:lineChart>
      <c:catAx>
        <c:axId val="309830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32320"/>
        <c:crosses val="autoZero"/>
        <c:auto val="1"/>
        <c:lblAlgn val="ctr"/>
        <c:lblOffset val="100"/>
        <c:noMultiLvlLbl val="0"/>
      </c:catAx>
      <c:valAx>
        <c:axId val="309832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'31'!$T$193:$AX$193</c:f>
              <c:numCache>
                <c:formatCode>0</c:formatCode>
                <c:ptCount val="31"/>
                <c:pt idx="0">
                  <c:v>1093.4900000000002</c:v>
                </c:pt>
                <c:pt idx="1">
                  <c:v>1088.79</c:v>
                </c:pt>
                <c:pt idx="2">
                  <c:v>1047.2900000000002</c:v>
                </c:pt>
                <c:pt idx="3">
                  <c:v>1030.28</c:v>
                </c:pt>
                <c:pt idx="4">
                  <c:v>992.69</c:v>
                </c:pt>
                <c:pt idx="5">
                  <c:v>1060.24</c:v>
                </c:pt>
                <c:pt idx="6">
                  <c:v>1015.2900000000002</c:v>
                </c:pt>
                <c:pt idx="7">
                  <c:v>1009.69</c:v>
                </c:pt>
                <c:pt idx="8">
                  <c:v>1048.6300000000001</c:v>
                </c:pt>
                <c:pt idx="9">
                  <c:v>1084.29</c:v>
                </c:pt>
                <c:pt idx="10">
                  <c:v>1091.04</c:v>
                </c:pt>
                <c:pt idx="11">
                  <c:v>1101.23</c:v>
                </c:pt>
                <c:pt idx="12">
                  <c:v>1095.94</c:v>
                </c:pt>
                <c:pt idx="13">
                  <c:v>1077.1400000000001</c:v>
                </c:pt>
                <c:pt idx="14">
                  <c:v>1058.94</c:v>
                </c:pt>
                <c:pt idx="15">
                  <c:v>1019.34</c:v>
                </c:pt>
                <c:pt idx="16">
                  <c:v>1018.46</c:v>
                </c:pt>
                <c:pt idx="17">
                  <c:v>951.34000000000015</c:v>
                </c:pt>
                <c:pt idx="18">
                  <c:v>968.1400000000001</c:v>
                </c:pt>
                <c:pt idx="19">
                  <c:v>964.04000000000008</c:v>
                </c:pt>
                <c:pt idx="20">
                  <c:v>831.54</c:v>
                </c:pt>
                <c:pt idx="21">
                  <c:v>956.24000000000012</c:v>
                </c:pt>
                <c:pt idx="22">
                  <c:v>974.94</c:v>
                </c:pt>
                <c:pt idx="23">
                  <c:v>1046.44</c:v>
                </c:pt>
                <c:pt idx="24">
                  <c:v>1110.24</c:v>
                </c:pt>
                <c:pt idx="25">
                  <c:v>1083.8399999999999</c:v>
                </c:pt>
                <c:pt idx="26">
                  <c:v>1099.5400000000002</c:v>
                </c:pt>
                <c:pt idx="27">
                  <c:v>1116.1400000000001</c:v>
                </c:pt>
                <c:pt idx="28">
                  <c:v>1013.94</c:v>
                </c:pt>
                <c:pt idx="29">
                  <c:v>991.34</c:v>
                </c:pt>
                <c:pt idx="30">
                  <c:v>968.83999999999992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630464"/>
        <c:axId val="309632384"/>
      </c:lineChart>
      <c:catAx>
        <c:axId val="309630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32384"/>
        <c:crosses val="autoZero"/>
        <c:auto val="1"/>
        <c:lblAlgn val="ctr"/>
        <c:lblOffset val="100"/>
        <c:noMultiLvlLbl val="0"/>
      </c:catAx>
      <c:valAx>
        <c:axId val="309632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sample!$T$193:$AX$193</c:f>
              <c:numCache>
                <c:formatCode>0</c:formatCode>
                <c:ptCount val="31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153.54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  <c:pt idx="24">
                  <c:v>153.54</c:v>
                </c:pt>
                <c:pt idx="25">
                  <c:v>153.54</c:v>
                </c:pt>
                <c:pt idx="26">
                  <c:v>153.54</c:v>
                </c:pt>
                <c:pt idx="27">
                  <c:v>153.54</c:v>
                </c:pt>
                <c:pt idx="28">
                  <c:v>153.54</c:v>
                </c:pt>
                <c:pt idx="29">
                  <c:v>153.54</c:v>
                </c:pt>
                <c:pt idx="30">
                  <c:v>153.54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03712"/>
        <c:axId val="305605632"/>
      </c:lineChart>
      <c:catAx>
        <c:axId val="305603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5632"/>
        <c:crosses val="autoZero"/>
        <c:auto val="1"/>
        <c:lblAlgn val="ctr"/>
        <c:lblOffset val="100"/>
        <c:noMultiLvlLbl val="0"/>
      </c:catAx>
      <c:valAx>
        <c:axId val="305605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191</xdr:row>
      <xdr:rowOff>57156</xdr:rowOff>
    </xdr:from>
    <xdr:to>
      <xdr:col>15</xdr:col>
      <xdr:colOff>219074</xdr:colOff>
      <xdr:row>213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194</xdr:row>
      <xdr:rowOff>133356</xdr:rowOff>
    </xdr:from>
    <xdr:to>
      <xdr:col>32</xdr:col>
      <xdr:colOff>9524</xdr:colOff>
      <xdr:row>212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A25" sqref="A25:XFD25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" customWidth="1"/>
    <col min="17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</v>
      </c>
      <c r="D4" s="324">
        <f ca="1">IFERROR(DATE(2021,5,14)+C4,"")</f>
        <v>44331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289</v>
      </c>
      <c r="C5" s="32">
        <f t="shared" ref="C5:AF5" si="0">C59</f>
        <v>293</v>
      </c>
      <c r="D5" s="32">
        <f t="shared" si="0"/>
        <v>316.7</v>
      </c>
      <c r="E5" s="32">
        <f t="shared" si="0"/>
        <v>319.60000000000002</v>
      </c>
      <c r="F5" s="32">
        <f t="shared" si="0"/>
        <v>327</v>
      </c>
      <c r="G5" s="32">
        <f t="shared" si="0"/>
        <v>289.89999999999998</v>
      </c>
      <c r="H5" s="32">
        <f t="shared" si="0"/>
        <v>313.82</v>
      </c>
      <c r="I5" s="32">
        <f t="shared" si="0"/>
        <v>308.60000000000002</v>
      </c>
      <c r="J5" s="32">
        <f t="shared" si="0"/>
        <v>316.3</v>
      </c>
      <c r="K5" s="32">
        <f t="shared" si="0"/>
        <v>289</v>
      </c>
      <c r="L5" s="32">
        <f t="shared" si="0"/>
        <v>289.8</v>
      </c>
      <c r="M5" s="32">
        <f t="shared" si="0"/>
        <v>322.5</v>
      </c>
      <c r="N5" s="32">
        <f t="shared" si="0"/>
        <v>322.39999999999998</v>
      </c>
      <c r="O5" s="32">
        <f t="shared" si="0"/>
        <v>406</v>
      </c>
      <c r="P5" s="32">
        <f t="shared" si="0"/>
        <v>394</v>
      </c>
      <c r="Q5" s="32">
        <f t="shared" si="0"/>
        <v>389.87</v>
      </c>
      <c r="R5" s="32">
        <f t="shared" si="0"/>
        <v>408.8</v>
      </c>
      <c r="S5" s="32">
        <f t="shared" si="0"/>
        <v>385.74</v>
      </c>
      <c r="T5" s="32">
        <f t="shared" si="0"/>
        <v>385.33</v>
      </c>
      <c r="U5" s="32">
        <f t="shared" si="0"/>
        <v>375.8</v>
      </c>
      <c r="V5" s="32">
        <f t="shared" si="0"/>
        <v>386.8</v>
      </c>
      <c r="W5" s="32">
        <f t="shared" si="0"/>
        <v>411.5</v>
      </c>
      <c r="X5" s="32">
        <f t="shared" si="0"/>
        <v>428</v>
      </c>
      <c r="Y5" s="32">
        <f t="shared" si="0"/>
        <v>547</v>
      </c>
      <c r="Z5" s="32">
        <f t="shared" si="0"/>
        <v>551.70000000000005</v>
      </c>
      <c r="AA5" s="32">
        <f t="shared" si="0"/>
        <v>542.44999999999993</v>
      </c>
      <c r="AB5" s="32">
        <f t="shared" si="0"/>
        <v>520.40000000000009</v>
      </c>
      <c r="AC5" s="32">
        <f t="shared" si="0"/>
        <v>519.79999999999995</v>
      </c>
      <c r="AD5" s="32">
        <f t="shared" si="0"/>
        <v>435.1</v>
      </c>
      <c r="AE5" s="32">
        <f t="shared" si="0"/>
        <v>392.4</v>
      </c>
      <c r="AF5" s="32">
        <f t="shared" si="0"/>
        <v>374.7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33"/>
      <c r="E6" s="33"/>
      <c r="F6" s="33"/>
      <c r="G6" s="33"/>
      <c r="H6" s="33"/>
      <c r="I6" s="3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949MW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Load=798</v>
      </c>
      <c r="B7" s="36">
        <f t="shared" ref="B7:AF7" si="1">B65</f>
        <v>847.14</v>
      </c>
      <c r="C7" s="36">
        <f t="shared" si="1"/>
        <v>835.54000000000008</v>
      </c>
      <c r="D7" s="36">
        <f t="shared" si="1"/>
        <v>798.24</v>
      </c>
      <c r="E7" s="36">
        <f t="shared" si="1"/>
        <v>803.04</v>
      </c>
      <c r="F7" s="36">
        <f t="shared" si="1"/>
        <v>807.93999999999994</v>
      </c>
      <c r="G7" s="36">
        <f t="shared" si="1"/>
        <v>822.33999999999992</v>
      </c>
      <c r="H7" s="36">
        <f t="shared" si="1"/>
        <v>850.26</v>
      </c>
      <c r="I7" s="36">
        <f t="shared" si="1"/>
        <v>868.43999999999994</v>
      </c>
      <c r="J7" s="36">
        <f t="shared" si="1"/>
        <v>875.14</v>
      </c>
      <c r="K7" s="36">
        <f t="shared" si="1"/>
        <v>886.83999999999992</v>
      </c>
      <c r="L7" s="36">
        <f>L65</f>
        <v>892.74</v>
      </c>
      <c r="M7" s="36">
        <f t="shared" si="1"/>
        <v>949.24</v>
      </c>
      <c r="N7" s="36">
        <f t="shared" si="1"/>
        <v>905.33999999999992</v>
      </c>
      <c r="O7" s="36">
        <f t="shared" si="1"/>
        <v>933.74</v>
      </c>
      <c r="P7" s="36">
        <f t="shared" si="1"/>
        <v>918.84</v>
      </c>
      <c r="Q7" s="36">
        <f t="shared" si="1"/>
        <v>900.71</v>
      </c>
      <c r="R7" s="36">
        <f t="shared" si="1"/>
        <v>930.84</v>
      </c>
      <c r="S7" s="36">
        <f t="shared" si="1"/>
        <v>911.68</v>
      </c>
      <c r="T7" s="36">
        <f t="shared" si="1"/>
        <v>920.17</v>
      </c>
      <c r="U7" s="36">
        <f t="shared" si="1"/>
        <v>887.6400000000001</v>
      </c>
      <c r="V7" s="36">
        <f t="shared" si="1"/>
        <v>882.44</v>
      </c>
      <c r="W7" s="36">
        <f t="shared" si="1"/>
        <v>896.14</v>
      </c>
      <c r="X7" s="36">
        <f t="shared" si="1"/>
        <v>936.54</v>
      </c>
      <c r="Y7" s="36">
        <f t="shared" si="1"/>
        <v>1088.44</v>
      </c>
      <c r="Z7" s="36">
        <f t="shared" si="1"/>
        <v>1188.94</v>
      </c>
      <c r="AA7" s="36">
        <f t="shared" si="1"/>
        <v>1177.3899999999999</v>
      </c>
      <c r="AB7" s="36">
        <f t="shared" si="1"/>
        <v>1143.5400000000002</v>
      </c>
      <c r="AC7" s="36">
        <f t="shared" si="1"/>
        <v>1132.74</v>
      </c>
      <c r="AD7" s="36">
        <f t="shared" si="1"/>
        <v>1005.1400000000001</v>
      </c>
      <c r="AE7" s="36">
        <f t="shared" si="1"/>
        <v>950.04</v>
      </c>
      <c r="AF7" s="36">
        <f t="shared" si="1"/>
        <v>917.44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26.6</v>
      </c>
      <c r="C11" s="48">
        <v>26.6</v>
      </c>
      <c r="D11" s="48">
        <v>26</v>
      </c>
      <c r="E11" s="48">
        <v>27</v>
      </c>
      <c r="F11" s="48">
        <v>25.7</v>
      </c>
      <c r="G11" s="48">
        <v>25.9</v>
      </c>
      <c r="H11" s="48">
        <v>27.8</v>
      </c>
      <c r="I11" s="48">
        <v>27.1</v>
      </c>
      <c r="J11" s="48">
        <v>27</v>
      </c>
      <c r="K11" s="48">
        <v>27</v>
      </c>
      <c r="L11" s="49">
        <v>26.4</v>
      </c>
      <c r="M11" s="49">
        <v>26.4</v>
      </c>
      <c r="N11" s="49">
        <v>26.5</v>
      </c>
      <c r="O11" s="49">
        <v>26.6</v>
      </c>
      <c r="P11" s="49">
        <v>26.8</v>
      </c>
      <c r="Q11" s="49">
        <v>27.1</v>
      </c>
      <c r="R11" s="49">
        <v>27.1</v>
      </c>
      <c r="S11" s="49">
        <v>24.9</v>
      </c>
      <c r="T11" s="49">
        <v>25.5</v>
      </c>
      <c r="U11" s="49">
        <v>26.3</v>
      </c>
      <c r="V11" s="49">
        <v>26.3</v>
      </c>
      <c r="W11" s="49">
        <v>25</v>
      </c>
      <c r="X11" s="49">
        <v>26</v>
      </c>
      <c r="Y11" s="49">
        <v>25.6</v>
      </c>
      <c r="Z11" s="49">
        <v>24</v>
      </c>
      <c r="AA11" s="48">
        <v>25.3</v>
      </c>
      <c r="AB11" s="48">
        <v>25.1</v>
      </c>
      <c r="AC11" s="48">
        <v>24.7</v>
      </c>
      <c r="AD11" s="48">
        <v>24.7</v>
      </c>
      <c r="AE11" s="48">
        <v>24.9</v>
      </c>
      <c r="AF11" s="48">
        <v>24.4</v>
      </c>
      <c r="AG11" s="51">
        <v>60</v>
      </c>
      <c r="AH11" s="52">
        <f>MAX(B11:AF11)</f>
        <v>27.8</v>
      </c>
      <c r="AI11" s="53">
        <f>MIN(B11:AF11)</f>
        <v>24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34.4</v>
      </c>
      <c r="C12" s="56">
        <v>34.4</v>
      </c>
      <c r="D12" s="56">
        <v>34.200000000000003</v>
      </c>
      <c r="E12" s="56">
        <v>33.5</v>
      </c>
      <c r="F12" s="56">
        <v>33.700000000000003</v>
      </c>
      <c r="G12" s="56">
        <v>33.700000000000003</v>
      </c>
      <c r="H12" s="56">
        <v>34</v>
      </c>
      <c r="I12" s="56">
        <v>33.700000000000003</v>
      </c>
      <c r="J12" s="56">
        <v>33.9</v>
      </c>
      <c r="K12" s="56">
        <v>33.9</v>
      </c>
      <c r="L12" s="49">
        <v>34.200000000000003</v>
      </c>
      <c r="M12" s="49">
        <v>36.799999999999997</v>
      </c>
      <c r="N12" s="49">
        <v>36.6</v>
      </c>
      <c r="O12" s="49">
        <v>36.5</v>
      </c>
      <c r="P12" s="49">
        <v>36.9</v>
      </c>
      <c r="Q12" s="49">
        <v>36.9</v>
      </c>
      <c r="R12" s="49">
        <v>36.6</v>
      </c>
      <c r="S12" s="49">
        <v>36.299999999999997</v>
      </c>
      <c r="T12" s="49">
        <v>36</v>
      </c>
      <c r="U12" s="49">
        <v>36.4</v>
      </c>
      <c r="V12" s="49">
        <v>36.4</v>
      </c>
      <c r="W12" s="49">
        <v>36.6</v>
      </c>
      <c r="X12" s="49">
        <v>36.299999999999997</v>
      </c>
      <c r="Y12" s="49">
        <v>36.1</v>
      </c>
      <c r="Z12" s="49">
        <v>36.4</v>
      </c>
      <c r="AA12" s="56">
        <v>32.6</v>
      </c>
      <c r="AB12" s="56">
        <v>33.799999999999997</v>
      </c>
      <c r="AC12" s="56">
        <v>33.9</v>
      </c>
      <c r="AD12" s="56">
        <v>33.4</v>
      </c>
      <c r="AE12" s="56">
        <v>33.4</v>
      </c>
      <c r="AF12" s="56">
        <v>33.200000000000003</v>
      </c>
      <c r="AG12" s="57">
        <v>50</v>
      </c>
      <c r="AH12" s="52">
        <f t="shared" ref="AH12:AH77" si="2">MAX(B12:AF12)</f>
        <v>36.9</v>
      </c>
      <c r="AI12" s="53">
        <f t="shared" ref="AI12:AI77" si="3">MIN(B12:AF12)</f>
        <v>32.6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17.399999999999999</v>
      </c>
      <c r="C13" s="56">
        <v>17.399999999999999</v>
      </c>
      <c r="D13" s="56">
        <v>17.899999999999999</v>
      </c>
      <c r="E13" s="56">
        <v>17.899999999999999</v>
      </c>
      <c r="F13" s="56">
        <v>17.7</v>
      </c>
      <c r="G13" s="56">
        <v>17.7</v>
      </c>
      <c r="H13" s="56">
        <v>17.399999999999999</v>
      </c>
      <c r="I13" s="56">
        <v>17</v>
      </c>
      <c r="J13" s="56">
        <v>17</v>
      </c>
      <c r="K13" s="56">
        <v>17</v>
      </c>
      <c r="L13" s="49">
        <v>18.5</v>
      </c>
      <c r="M13" s="49">
        <v>17.600000000000001</v>
      </c>
      <c r="N13" s="49">
        <v>16.399999999999999</v>
      </c>
      <c r="O13" s="49">
        <v>18.2</v>
      </c>
      <c r="P13" s="49">
        <v>16.7</v>
      </c>
      <c r="Q13" s="49">
        <v>15.9</v>
      </c>
      <c r="R13" s="49">
        <v>15.9</v>
      </c>
      <c r="S13" s="49">
        <v>15.9</v>
      </c>
      <c r="T13" s="49">
        <v>36.700000000000003</v>
      </c>
      <c r="U13" s="49">
        <v>15.9</v>
      </c>
      <c r="V13" s="49">
        <v>15.9</v>
      </c>
      <c r="W13" s="49">
        <v>17.100000000000001</v>
      </c>
      <c r="X13" s="49">
        <v>17.100000000000001</v>
      </c>
      <c r="Y13" s="49">
        <v>17.100000000000001</v>
      </c>
      <c r="Z13" s="49">
        <v>17.100000000000001</v>
      </c>
      <c r="AA13" s="56">
        <v>16.899999999999999</v>
      </c>
      <c r="AB13" s="56">
        <v>16.2</v>
      </c>
      <c r="AC13" s="56">
        <v>16.3</v>
      </c>
      <c r="AD13" s="56">
        <v>16.2</v>
      </c>
      <c r="AE13" s="56">
        <v>17.5</v>
      </c>
      <c r="AF13" s="56">
        <v>17.399999999999999</v>
      </c>
      <c r="AG13" s="59">
        <v>45</v>
      </c>
      <c r="AH13" s="52">
        <f t="shared" si="2"/>
        <v>36.700000000000003</v>
      </c>
      <c r="AI13" s="53">
        <f t="shared" si="3"/>
        <v>15.9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14</v>
      </c>
      <c r="C14" s="56">
        <v>14</v>
      </c>
      <c r="D14" s="56">
        <v>14</v>
      </c>
      <c r="E14" s="56">
        <v>14</v>
      </c>
      <c r="F14" s="56">
        <v>14</v>
      </c>
      <c r="G14" s="56">
        <v>14</v>
      </c>
      <c r="H14" s="56">
        <v>14</v>
      </c>
      <c r="I14" s="56">
        <v>14</v>
      </c>
      <c r="J14" s="56">
        <v>14</v>
      </c>
      <c r="K14" s="56">
        <v>14</v>
      </c>
      <c r="L14" s="49">
        <v>14</v>
      </c>
      <c r="M14" s="49">
        <v>14</v>
      </c>
      <c r="N14" s="49">
        <v>14</v>
      </c>
      <c r="O14" s="49">
        <v>14</v>
      </c>
      <c r="P14" s="49">
        <v>14</v>
      </c>
      <c r="Q14" s="49">
        <v>14</v>
      </c>
      <c r="R14" s="49">
        <v>14</v>
      </c>
      <c r="S14" s="49">
        <v>14</v>
      </c>
      <c r="T14" s="49">
        <v>14</v>
      </c>
      <c r="U14" s="49">
        <v>14</v>
      </c>
      <c r="V14" s="49">
        <v>14</v>
      </c>
      <c r="W14" s="49">
        <v>14</v>
      </c>
      <c r="X14" s="49">
        <v>14</v>
      </c>
      <c r="Y14" s="49">
        <v>14</v>
      </c>
      <c r="Z14" s="49">
        <v>14</v>
      </c>
      <c r="AA14" s="49">
        <v>14</v>
      </c>
      <c r="AB14" s="49">
        <v>14</v>
      </c>
      <c r="AC14" s="49">
        <v>14</v>
      </c>
      <c r="AD14" s="49">
        <v>14</v>
      </c>
      <c r="AE14" s="49">
        <v>14</v>
      </c>
      <c r="AF14" s="49">
        <v>14</v>
      </c>
      <c r="AG14" s="59">
        <v>25</v>
      </c>
      <c r="AH14" s="52">
        <f t="shared" si="2"/>
        <v>14</v>
      </c>
      <c r="AI14" s="53">
        <f t="shared" si="3"/>
        <v>14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11.8</v>
      </c>
      <c r="C15" s="56">
        <v>11.8</v>
      </c>
      <c r="D15" s="56">
        <v>11.7</v>
      </c>
      <c r="E15" s="56">
        <v>11.8</v>
      </c>
      <c r="F15" s="56">
        <v>11.6</v>
      </c>
      <c r="G15" s="56">
        <v>11.2</v>
      </c>
      <c r="H15" s="56">
        <v>11.1</v>
      </c>
      <c r="I15" s="56">
        <v>11.1</v>
      </c>
      <c r="J15" s="56">
        <v>10.6</v>
      </c>
      <c r="K15" s="56">
        <v>10.6</v>
      </c>
      <c r="L15" s="49">
        <v>10.7</v>
      </c>
      <c r="M15" s="49">
        <v>11.9</v>
      </c>
      <c r="N15" s="49">
        <v>11.9</v>
      </c>
      <c r="O15" s="49">
        <v>11.1</v>
      </c>
      <c r="P15" s="49">
        <v>10.6</v>
      </c>
      <c r="Q15" s="49">
        <v>10</v>
      </c>
      <c r="R15" s="49">
        <v>10</v>
      </c>
      <c r="S15" s="49">
        <v>11</v>
      </c>
      <c r="T15" s="49">
        <v>10.9</v>
      </c>
      <c r="U15" s="49">
        <v>10.9</v>
      </c>
      <c r="V15" s="49">
        <v>10.9</v>
      </c>
      <c r="W15" s="49">
        <v>11</v>
      </c>
      <c r="X15" s="49">
        <v>11</v>
      </c>
      <c r="Y15" s="49">
        <v>11</v>
      </c>
      <c r="Z15" s="49">
        <v>11</v>
      </c>
      <c r="AA15" s="49">
        <v>11</v>
      </c>
      <c r="AB15" s="49">
        <v>11</v>
      </c>
      <c r="AC15" s="49">
        <v>11</v>
      </c>
      <c r="AD15" s="49">
        <v>11</v>
      </c>
      <c r="AE15" s="49">
        <v>11</v>
      </c>
      <c r="AF15" s="49">
        <v>11.5</v>
      </c>
      <c r="AG15" s="59">
        <v>25</v>
      </c>
      <c r="AH15" s="52">
        <f t="shared" si="2"/>
        <v>11.9</v>
      </c>
      <c r="AI15" s="53">
        <f t="shared" si="3"/>
        <v>10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15.1</v>
      </c>
      <c r="C17" s="56">
        <v>15.1</v>
      </c>
      <c r="D17" s="56">
        <v>14.2</v>
      </c>
      <c r="E17" s="56">
        <v>14.1</v>
      </c>
      <c r="F17" s="56">
        <v>14</v>
      </c>
      <c r="G17" s="56">
        <v>13.6</v>
      </c>
      <c r="H17" s="56">
        <v>13.4</v>
      </c>
      <c r="I17" s="56">
        <v>13.6</v>
      </c>
      <c r="J17" s="56">
        <v>13.6</v>
      </c>
      <c r="K17" s="56">
        <v>13.6</v>
      </c>
      <c r="L17" s="49">
        <v>13.8</v>
      </c>
      <c r="M17" s="49">
        <v>13.9</v>
      </c>
      <c r="N17" s="49">
        <v>13.6</v>
      </c>
      <c r="O17" s="49">
        <v>13.6</v>
      </c>
      <c r="P17" s="49">
        <v>13.6</v>
      </c>
      <c r="Q17" s="49">
        <v>13.6</v>
      </c>
      <c r="R17" s="49">
        <v>13.6</v>
      </c>
      <c r="S17" s="49">
        <v>13.6</v>
      </c>
      <c r="T17" s="49">
        <v>11.4</v>
      </c>
      <c r="U17" s="49">
        <v>11.8</v>
      </c>
      <c r="V17" s="49">
        <v>11.8</v>
      </c>
      <c r="W17" s="49">
        <v>15.2</v>
      </c>
      <c r="X17" s="49">
        <v>16.2</v>
      </c>
      <c r="Y17" s="49">
        <v>16</v>
      </c>
      <c r="Z17" s="49">
        <v>15.8</v>
      </c>
      <c r="AA17" s="49">
        <v>15.9</v>
      </c>
      <c r="AB17" s="49">
        <v>16.2</v>
      </c>
      <c r="AC17" s="49">
        <v>15.7</v>
      </c>
      <c r="AD17" s="49">
        <v>15.5</v>
      </c>
      <c r="AE17" s="49">
        <v>15.7</v>
      </c>
      <c r="AF17" s="49">
        <v>9.3000000000000007</v>
      </c>
      <c r="AG17" s="59">
        <v>22.1</v>
      </c>
      <c r="AH17" s="52">
        <f t="shared" si="2"/>
        <v>16.2</v>
      </c>
      <c r="AI17" s="53">
        <f t="shared" si="3"/>
        <v>9.3000000000000007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8</v>
      </c>
      <c r="C18" s="56">
        <v>8</v>
      </c>
      <c r="D18" s="56">
        <v>8</v>
      </c>
      <c r="E18" s="56">
        <v>8</v>
      </c>
      <c r="F18" s="56">
        <v>8</v>
      </c>
      <c r="G18" s="56">
        <v>8</v>
      </c>
      <c r="H18" s="56">
        <v>8</v>
      </c>
      <c r="I18" s="56">
        <v>8</v>
      </c>
      <c r="J18" s="56">
        <v>8</v>
      </c>
      <c r="K18" s="56">
        <v>8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49">
        <v>8</v>
      </c>
      <c r="S18" s="49">
        <v>8</v>
      </c>
      <c r="T18" s="49">
        <v>8</v>
      </c>
      <c r="U18" s="49">
        <v>8</v>
      </c>
      <c r="V18" s="49">
        <v>8</v>
      </c>
      <c r="W18" s="49">
        <v>8</v>
      </c>
      <c r="X18" s="49">
        <v>8</v>
      </c>
      <c r="Y18" s="49">
        <v>8</v>
      </c>
      <c r="Z18" s="49">
        <v>8</v>
      </c>
      <c r="AA18" s="49">
        <v>8</v>
      </c>
      <c r="AB18" s="49">
        <v>8</v>
      </c>
      <c r="AC18" s="49">
        <v>8</v>
      </c>
      <c r="AD18" s="49">
        <v>8</v>
      </c>
      <c r="AE18" s="49">
        <v>8</v>
      </c>
      <c r="AF18" s="49">
        <v>8</v>
      </c>
      <c r="AG18" s="59">
        <v>22.1</v>
      </c>
      <c r="AH18" s="52">
        <f t="shared" si="2"/>
        <v>8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12.4</v>
      </c>
      <c r="C19" s="56">
        <v>12.4</v>
      </c>
      <c r="D19" s="56">
        <v>11</v>
      </c>
      <c r="E19" s="56">
        <v>11</v>
      </c>
      <c r="F19" s="56">
        <v>10.3</v>
      </c>
      <c r="G19" s="56">
        <v>10.3</v>
      </c>
      <c r="H19" s="56">
        <v>10</v>
      </c>
      <c r="I19" s="56">
        <v>9.9</v>
      </c>
      <c r="J19" s="56">
        <v>9.5</v>
      </c>
      <c r="K19" s="56">
        <v>9.5</v>
      </c>
      <c r="L19" s="49">
        <v>9.6</v>
      </c>
      <c r="M19" s="49">
        <v>9.5</v>
      </c>
      <c r="N19" s="49">
        <v>8.9</v>
      </c>
      <c r="O19" s="49">
        <v>8.5</v>
      </c>
      <c r="P19" s="49">
        <v>8.5</v>
      </c>
      <c r="Q19" s="49">
        <v>8.1999999999999993</v>
      </c>
      <c r="R19" s="49">
        <v>8.1999999999999993</v>
      </c>
      <c r="S19" s="49">
        <v>8.1</v>
      </c>
      <c r="T19" s="49">
        <v>7</v>
      </c>
      <c r="U19" s="49">
        <v>8</v>
      </c>
      <c r="V19" s="49">
        <v>8</v>
      </c>
      <c r="W19" s="49">
        <v>9.1999999999999993</v>
      </c>
      <c r="X19" s="49">
        <v>10.3</v>
      </c>
      <c r="Y19" s="49">
        <v>10.7</v>
      </c>
      <c r="Z19" s="49">
        <v>10.8</v>
      </c>
      <c r="AA19" s="49">
        <v>11.5</v>
      </c>
      <c r="AB19" s="49">
        <v>10.8</v>
      </c>
      <c r="AC19" s="49">
        <v>10.8</v>
      </c>
      <c r="AD19" s="49">
        <v>10.8</v>
      </c>
      <c r="AE19" s="49">
        <v>10.8</v>
      </c>
      <c r="AF19" s="49">
        <v>12.4</v>
      </c>
      <c r="AG19" s="59">
        <v>22</v>
      </c>
      <c r="AH19" s="52">
        <f t="shared" si="2"/>
        <v>12.4</v>
      </c>
      <c r="AI19" s="53">
        <f t="shared" si="3"/>
        <v>7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7.5</v>
      </c>
      <c r="C20" s="56">
        <v>7.5</v>
      </c>
      <c r="D20" s="56">
        <v>7.5</v>
      </c>
      <c r="E20" s="56">
        <v>7.5</v>
      </c>
      <c r="F20" s="56">
        <v>7.5</v>
      </c>
      <c r="G20" s="56">
        <v>7.5</v>
      </c>
      <c r="H20" s="56">
        <v>7.5</v>
      </c>
      <c r="I20" s="56">
        <v>7.5</v>
      </c>
      <c r="J20" s="56">
        <v>7.5</v>
      </c>
      <c r="K20" s="56">
        <v>7.5</v>
      </c>
      <c r="L20" s="49">
        <v>7.5</v>
      </c>
      <c r="M20" s="49">
        <v>7.5</v>
      </c>
      <c r="N20" s="49">
        <v>7.5</v>
      </c>
      <c r="O20" s="49">
        <v>7.5</v>
      </c>
      <c r="P20" s="49">
        <v>7.5</v>
      </c>
      <c r="Q20" s="49">
        <v>7.5</v>
      </c>
      <c r="R20" s="49">
        <v>7.5</v>
      </c>
      <c r="S20" s="49">
        <v>7.5</v>
      </c>
      <c r="T20" s="49">
        <v>7.5</v>
      </c>
      <c r="U20" s="49">
        <v>7.5</v>
      </c>
      <c r="V20" s="49">
        <v>7.5</v>
      </c>
      <c r="W20" s="49">
        <v>7.5</v>
      </c>
      <c r="X20" s="49">
        <v>7.5</v>
      </c>
      <c r="Y20" s="49">
        <v>7.5</v>
      </c>
      <c r="Z20" s="49">
        <v>9</v>
      </c>
      <c r="AA20" s="49">
        <v>9</v>
      </c>
      <c r="AB20" s="49">
        <v>9</v>
      </c>
      <c r="AC20" s="49">
        <v>9</v>
      </c>
      <c r="AD20" s="49">
        <v>9</v>
      </c>
      <c r="AE20" s="49">
        <v>9</v>
      </c>
      <c r="AF20" s="49">
        <v>9</v>
      </c>
      <c r="AG20" s="59">
        <v>22</v>
      </c>
      <c r="AH20" s="52">
        <f t="shared" si="2"/>
        <v>9</v>
      </c>
      <c r="AI20" s="53">
        <f t="shared" si="3"/>
        <v>7.5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6.7</v>
      </c>
      <c r="C21" s="56">
        <v>6.7</v>
      </c>
      <c r="D21" s="56">
        <v>6.7</v>
      </c>
      <c r="E21" s="56">
        <v>6.7</v>
      </c>
      <c r="F21" s="56">
        <v>6.7</v>
      </c>
      <c r="G21" s="56">
        <v>6.7</v>
      </c>
      <c r="H21" s="56">
        <v>6.7</v>
      </c>
      <c r="I21" s="56">
        <v>6.7</v>
      </c>
      <c r="J21" s="56">
        <v>6.7</v>
      </c>
      <c r="K21" s="56">
        <v>6.7</v>
      </c>
      <c r="L21" s="49">
        <v>6.7</v>
      </c>
      <c r="M21" s="49">
        <v>6.7</v>
      </c>
      <c r="N21" s="49">
        <v>6.7</v>
      </c>
      <c r="O21" s="49">
        <v>6.7</v>
      </c>
      <c r="P21" s="49">
        <v>6.7</v>
      </c>
      <c r="Q21" s="49">
        <v>6.7</v>
      </c>
      <c r="R21" s="49">
        <v>6.7</v>
      </c>
      <c r="S21" s="49">
        <v>6.7</v>
      </c>
      <c r="T21" s="49">
        <v>6.7</v>
      </c>
      <c r="U21" s="49">
        <v>6.7</v>
      </c>
      <c r="V21" s="49">
        <v>6.7</v>
      </c>
      <c r="W21" s="49">
        <v>6.7</v>
      </c>
      <c r="X21" s="49">
        <v>6.7</v>
      </c>
      <c r="Y21" s="49">
        <v>6.7</v>
      </c>
      <c r="Z21" s="49">
        <v>6.4</v>
      </c>
      <c r="AA21" s="49">
        <v>6.4</v>
      </c>
      <c r="AB21" s="49">
        <v>6.4</v>
      </c>
      <c r="AC21" s="49">
        <v>6.4</v>
      </c>
      <c r="AD21" s="49">
        <v>6.4</v>
      </c>
      <c r="AE21" s="49">
        <v>6.4</v>
      </c>
      <c r="AF21" s="49">
        <v>6.4</v>
      </c>
      <c r="AG21" s="59">
        <v>14.9</v>
      </c>
      <c r="AH21" s="52">
        <f t="shared" si="2"/>
        <v>6.7</v>
      </c>
      <c r="AI21" s="53">
        <f t="shared" si="3"/>
        <v>6.4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5.5</v>
      </c>
      <c r="C23" s="56">
        <v>5.5</v>
      </c>
      <c r="D23" s="56">
        <v>5.5</v>
      </c>
      <c r="E23" s="56">
        <v>5.5</v>
      </c>
      <c r="F23" s="56">
        <v>5.5</v>
      </c>
      <c r="G23" s="56">
        <v>5.5</v>
      </c>
      <c r="H23" s="56">
        <v>5.5</v>
      </c>
      <c r="I23" s="56">
        <v>5.5</v>
      </c>
      <c r="J23" s="56">
        <v>5.5</v>
      </c>
      <c r="K23" s="56">
        <v>5.5</v>
      </c>
      <c r="L23" s="56">
        <v>5.5</v>
      </c>
      <c r="M23" s="56">
        <v>5.5</v>
      </c>
      <c r="N23" s="56">
        <v>5.5</v>
      </c>
      <c r="O23" s="56">
        <v>5.5</v>
      </c>
      <c r="P23" s="56">
        <v>5.5</v>
      </c>
      <c r="Q23" s="56">
        <v>5.5</v>
      </c>
      <c r="R23" s="56">
        <v>5.5</v>
      </c>
      <c r="S23" s="56">
        <v>5.5</v>
      </c>
      <c r="T23" s="56">
        <v>5.5</v>
      </c>
      <c r="U23" s="56">
        <v>5.5</v>
      </c>
      <c r="V23" s="56">
        <v>5.5</v>
      </c>
      <c r="W23" s="56">
        <v>5.5</v>
      </c>
      <c r="X23" s="56">
        <v>5.5</v>
      </c>
      <c r="Y23" s="56">
        <v>5.5</v>
      </c>
      <c r="Z23" s="56">
        <v>5.5</v>
      </c>
      <c r="AA23" s="56">
        <v>5.5</v>
      </c>
      <c r="AB23" s="56">
        <v>5.5</v>
      </c>
      <c r="AC23" s="56">
        <v>5.5</v>
      </c>
      <c r="AD23" s="56">
        <v>5.5</v>
      </c>
      <c r="AE23" s="56">
        <v>5.5</v>
      </c>
      <c r="AF23" s="56">
        <v>5.5</v>
      </c>
      <c r="AG23" s="59">
        <v>13</v>
      </c>
      <c r="AH23" s="52">
        <f t="shared" si="2"/>
        <v>5.5</v>
      </c>
      <c r="AI23" s="53">
        <f t="shared" si="3"/>
        <v>5.5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8</v>
      </c>
      <c r="C24" s="56">
        <v>8</v>
      </c>
      <c r="D24" s="56">
        <v>8</v>
      </c>
      <c r="E24" s="56">
        <v>8</v>
      </c>
      <c r="F24" s="56">
        <v>8</v>
      </c>
      <c r="G24" s="56">
        <v>8</v>
      </c>
      <c r="H24" s="56">
        <v>8</v>
      </c>
      <c r="I24" s="56">
        <v>8</v>
      </c>
      <c r="J24" s="56">
        <v>8</v>
      </c>
      <c r="K24" s="56">
        <v>8</v>
      </c>
      <c r="L24" s="56">
        <v>8</v>
      </c>
      <c r="M24" s="56">
        <v>8</v>
      </c>
      <c r="N24" s="56">
        <v>8</v>
      </c>
      <c r="O24" s="56">
        <v>8</v>
      </c>
      <c r="P24" s="56">
        <v>8</v>
      </c>
      <c r="Q24" s="56">
        <v>8</v>
      </c>
      <c r="R24" s="56">
        <v>8</v>
      </c>
      <c r="S24" s="56">
        <v>8</v>
      </c>
      <c r="T24" s="56">
        <v>8</v>
      </c>
      <c r="U24" s="56">
        <v>8</v>
      </c>
      <c r="V24" s="56">
        <v>8</v>
      </c>
      <c r="W24" s="56">
        <v>8</v>
      </c>
      <c r="X24" s="56">
        <v>8</v>
      </c>
      <c r="Y24" s="56">
        <v>8</v>
      </c>
      <c r="Z24" s="56">
        <v>8</v>
      </c>
      <c r="AA24" s="56">
        <v>8</v>
      </c>
      <c r="AB24" s="56">
        <v>8</v>
      </c>
      <c r="AC24" s="56">
        <v>8</v>
      </c>
      <c r="AD24" s="56">
        <v>8</v>
      </c>
      <c r="AE24" s="56">
        <v>8</v>
      </c>
      <c r="AF24" s="56">
        <v>8</v>
      </c>
      <c r="AG24" s="59">
        <v>12</v>
      </c>
      <c r="AH24" s="52">
        <f t="shared" si="2"/>
        <v>8</v>
      </c>
      <c r="AI24" s="53">
        <f t="shared" si="3"/>
        <v>8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5.5</v>
      </c>
      <c r="C26" s="56">
        <v>5.5</v>
      </c>
      <c r="D26" s="56">
        <v>5.5</v>
      </c>
      <c r="E26" s="56">
        <v>5.5</v>
      </c>
      <c r="F26" s="56">
        <v>5.5</v>
      </c>
      <c r="G26" s="56">
        <v>5.5</v>
      </c>
      <c r="H26" s="56">
        <v>5.5</v>
      </c>
      <c r="I26" s="56">
        <v>5.5</v>
      </c>
      <c r="J26" s="56">
        <v>5.5</v>
      </c>
      <c r="K26" s="56">
        <v>5.5</v>
      </c>
      <c r="L26" s="56">
        <v>5.5</v>
      </c>
      <c r="M26" s="56">
        <v>5.5</v>
      </c>
      <c r="N26" s="56">
        <v>5.5</v>
      </c>
      <c r="O26" s="56">
        <v>5.5</v>
      </c>
      <c r="P26" s="56">
        <v>5.5</v>
      </c>
      <c r="Q26" s="56">
        <v>5.5</v>
      </c>
      <c r="R26" s="56">
        <v>5.5</v>
      </c>
      <c r="S26" s="56">
        <v>5.5</v>
      </c>
      <c r="T26" s="56">
        <v>5.5</v>
      </c>
      <c r="U26" s="56">
        <v>5.5</v>
      </c>
      <c r="V26" s="56">
        <v>5.5</v>
      </c>
      <c r="W26" s="56">
        <v>5.5</v>
      </c>
      <c r="X26" s="56">
        <v>5.5</v>
      </c>
      <c r="Y26" s="56">
        <v>5.5</v>
      </c>
      <c r="Z26" s="56">
        <v>5.5</v>
      </c>
      <c r="AA26" s="56">
        <v>5.5</v>
      </c>
      <c r="AB26" s="56">
        <v>5.5</v>
      </c>
      <c r="AC26" s="56">
        <v>5.5</v>
      </c>
      <c r="AD26" s="56">
        <v>5.5</v>
      </c>
      <c r="AE26" s="56">
        <v>5.5</v>
      </c>
      <c r="AF26" s="56">
        <v>5.5</v>
      </c>
      <c r="AG26" s="59">
        <v>12</v>
      </c>
      <c r="AH26" s="52">
        <f>MAX(B26:AF26)</f>
        <v>5.5</v>
      </c>
      <c r="AI26" s="53">
        <f>MIN(B26:AF26)</f>
        <v>5.5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85</v>
      </c>
      <c r="C28" s="56">
        <v>85</v>
      </c>
      <c r="D28" s="56">
        <v>85</v>
      </c>
      <c r="E28" s="56">
        <v>85</v>
      </c>
      <c r="F28" s="56">
        <v>85</v>
      </c>
      <c r="G28" s="56">
        <v>85</v>
      </c>
      <c r="H28" s="56">
        <v>85</v>
      </c>
      <c r="I28" s="56">
        <v>85</v>
      </c>
      <c r="J28" s="56">
        <v>85</v>
      </c>
      <c r="K28" s="56">
        <v>85</v>
      </c>
      <c r="L28" s="56">
        <v>85</v>
      </c>
      <c r="M28" s="56">
        <v>85</v>
      </c>
      <c r="N28" s="56">
        <v>85</v>
      </c>
      <c r="O28" s="56">
        <v>85</v>
      </c>
      <c r="P28" s="56">
        <v>85</v>
      </c>
      <c r="Q28" s="56">
        <v>85</v>
      </c>
      <c r="R28" s="56">
        <v>85</v>
      </c>
      <c r="S28" s="56">
        <v>85</v>
      </c>
      <c r="T28" s="56">
        <v>85</v>
      </c>
      <c r="U28" s="56">
        <v>85</v>
      </c>
      <c r="V28" s="56">
        <v>85</v>
      </c>
      <c r="W28" s="56">
        <v>85</v>
      </c>
      <c r="X28" s="56">
        <v>85</v>
      </c>
      <c r="Y28" s="56">
        <v>85</v>
      </c>
      <c r="Z28" s="56">
        <v>85</v>
      </c>
      <c r="AA28" s="56">
        <v>85</v>
      </c>
      <c r="AB28" s="56">
        <v>85</v>
      </c>
      <c r="AC28" s="56">
        <v>85</v>
      </c>
      <c r="AD28" s="56">
        <v>85</v>
      </c>
      <c r="AE28" s="56">
        <v>85</v>
      </c>
      <c r="AF28" s="56">
        <v>85</v>
      </c>
      <c r="AG28" s="59">
        <v>85</v>
      </c>
      <c r="AH28" s="52">
        <f t="shared" si="2"/>
        <v>85</v>
      </c>
      <c r="AI28" s="53">
        <f t="shared" si="3"/>
        <v>85</v>
      </c>
      <c r="AK28" s="54"/>
    </row>
    <row r="29" spans="1:88" ht="15.75" thickBot="1" x14ac:dyDescent="0.3">
      <c r="A29" s="66" t="s">
        <v>36</v>
      </c>
      <c r="B29" s="56">
        <v>60.9</v>
      </c>
      <c r="C29" s="56">
        <v>60.7</v>
      </c>
      <c r="D29" s="56">
        <v>59.5</v>
      </c>
      <c r="E29" s="56">
        <v>58.4</v>
      </c>
      <c r="F29" s="56">
        <v>63.2</v>
      </c>
      <c r="G29" s="56">
        <v>59.7</v>
      </c>
      <c r="H29" s="56">
        <v>58.5</v>
      </c>
      <c r="I29" s="56">
        <v>56.6</v>
      </c>
      <c r="J29" s="56">
        <v>56.4</v>
      </c>
      <c r="K29" s="56">
        <v>55</v>
      </c>
      <c r="L29" s="67">
        <v>54.5</v>
      </c>
      <c r="M29" s="67">
        <v>53.7</v>
      </c>
      <c r="N29" s="67">
        <v>47.5</v>
      </c>
      <c r="O29" s="67">
        <v>48.1</v>
      </c>
      <c r="P29" s="67">
        <v>45.7</v>
      </c>
      <c r="Q29" s="67">
        <v>43.6</v>
      </c>
      <c r="R29" s="67">
        <v>44.5</v>
      </c>
      <c r="S29" s="67">
        <v>47.4</v>
      </c>
      <c r="T29" s="67">
        <v>47.5</v>
      </c>
      <c r="U29" s="67">
        <v>46.1</v>
      </c>
      <c r="V29" s="67">
        <v>45.7</v>
      </c>
      <c r="W29" s="67">
        <v>44.7</v>
      </c>
      <c r="X29" s="67">
        <v>43.5</v>
      </c>
      <c r="Y29" s="67">
        <v>41.6</v>
      </c>
      <c r="Z29" s="67">
        <v>42.4</v>
      </c>
      <c r="AA29" s="67">
        <v>41</v>
      </c>
      <c r="AB29" s="67">
        <v>41</v>
      </c>
      <c r="AC29" s="67">
        <v>40.700000000000003</v>
      </c>
      <c r="AD29" s="67">
        <v>41.7</v>
      </c>
      <c r="AE29" s="67">
        <v>41.4</v>
      </c>
      <c r="AF29" s="67">
        <v>42.5</v>
      </c>
      <c r="AG29" s="59">
        <v>240</v>
      </c>
      <c r="AH29" s="52">
        <f t="shared" si="2"/>
        <v>63.2</v>
      </c>
      <c r="AI29" s="53">
        <f t="shared" si="3"/>
        <v>40.700000000000003</v>
      </c>
      <c r="AK29" s="54"/>
    </row>
    <row r="30" spans="1:88" ht="15.75" thickBot="1" x14ac:dyDescent="0.3">
      <c r="A30" s="68" t="s">
        <v>37</v>
      </c>
      <c r="B30" s="69">
        <f>SUM(B11:B28)</f>
        <v>273.10000000000002</v>
      </c>
      <c r="C30" s="69">
        <f t="shared" ref="C30:AF30" si="4">SUM(C11:C28)</f>
        <v>273.10000000000002</v>
      </c>
      <c r="D30" s="69">
        <f t="shared" si="4"/>
        <v>270.39999999999998</v>
      </c>
      <c r="E30" s="69">
        <f t="shared" si="4"/>
        <v>270.7</v>
      </c>
      <c r="F30" s="69">
        <f t="shared" si="4"/>
        <v>268.39999999999998</v>
      </c>
      <c r="G30" s="69">
        <f t="shared" si="4"/>
        <v>267.8</v>
      </c>
      <c r="H30" s="69">
        <f t="shared" si="4"/>
        <v>269.09999999999997</v>
      </c>
      <c r="I30" s="69">
        <f t="shared" si="4"/>
        <v>267.79999999999995</v>
      </c>
      <c r="J30" s="69">
        <f t="shared" si="4"/>
        <v>267</v>
      </c>
      <c r="K30" s="69">
        <f t="shared" si="4"/>
        <v>267</v>
      </c>
      <c r="L30" s="69">
        <f t="shared" si="4"/>
        <v>268.60000000000002</v>
      </c>
      <c r="M30" s="69">
        <f t="shared" si="4"/>
        <v>271.5</v>
      </c>
      <c r="N30" s="69">
        <f t="shared" si="4"/>
        <v>269.29999999999995</v>
      </c>
      <c r="O30" s="69">
        <f t="shared" si="4"/>
        <v>269.89999999999998</v>
      </c>
      <c r="P30" s="69">
        <f t="shared" si="4"/>
        <v>268.5</v>
      </c>
      <c r="Q30" s="69">
        <f t="shared" si="4"/>
        <v>267.09999999999997</v>
      </c>
      <c r="R30" s="69">
        <f t="shared" si="4"/>
        <v>266.79999999999995</v>
      </c>
      <c r="S30" s="69">
        <f t="shared" si="4"/>
        <v>265.19999999999993</v>
      </c>
      <c r="T30" s="69">
        <f t="shared" si="4"/>
        <v>282.89999999999998</v>
      </c>
      <c r="U30" s="69">
        <f t="shared" si="4"/>
        <v>264.7</v>
      </c>
      <c r="V30" s="69">
        <f>SUM(V11:V28)</f>
        <v>264.7</v>
      </c>
      <c r="W30" s="69">
        <f t="shared" si="4"/>
        <v>269.5</v>
      </c>
      <c r="X30" s="69">
        <f t="shared" si="4"/>
        <v>272.3</v>
      </c>
      <c r="Y30" s="69">
        <f t="shared" si="4"/>
        <v>271.89999999999998</v>
      </c>
      <c r="Z30" s="69">
        <f t="shared" si="4"/>
        <v>271.70000000000005</v>
      </c>
      <c r="AA30" s="69">
        <f t="shared" si="4"/>
        <v>269.80000000000007</v>
      </c>
      <c r="AB30" s="69">
        <f t="shared" si="4"/>
        <v>269.70000000000005</v>
      </c>
      <c r="AC30" s="69">
        <f t="shared" si="4"/>
        <v>269</v>
      </c>
      <c r="AD30" s="69">
        <f t="shared" si="4"/>
        <v>268.20000000000005</v>
      </c>
      <c r="AE30" s="69">
        <f t="shared" si="4"/>
        <v>269.89999999999998</v>
      </c>
      <c r="AF30" s="69">
        <f t="shared" si="4"/>
        <v>264.8</v>
      </c>
      <c r="AG30" s="59">
        <f>SUM(AG11:AG29)</f>
        <v>729.2</v>
      </c>
      <c r="AH30" s="52">
        <f t="shared" si="2"/>
        <v>282.89999999999998</v>
      </c>
      <c r="AI30" s="53">
        <f t="shared" si="3"/>
        <v>264.7</v>
      </c>
      <c r="AK30" s="54"/>
    </row>
    <row r="31" spans="1:88" x14ac:dyDescent="0.25">
      <c r="A31" s="55" t="s">
        <v>38</v>
      </c>
      <c r="B31" s="56">
        <v>80.7</v>
      </c>
      <c r="C31" s="56">
        <v>71</v>
      </c>
      <c r="D31" s="56">
        <v>59.7</v>
      </c>
      <c r="E31" s="56">
        <v>60.7</v>
      </c>
      <c r="F31" s="56">
        <v>60.4</v>
      </c>
      <c r="G31" s="56">
        <v>80.400000000000006</v>
      </c>
      <c r="H31" s="56">
        <v>80.8</v>
      </c>
      <c r="I31" s="56">
        <v>81.099999999999994</v>
      </c>
      <c r="J31" s="56">
        <v>80.8</v>
      </c>
      <c r="K31" s="56">
        <v>81</v>
      </c>
      <c r="L31" s="49">
        <v>80.900000000000006</v>
      </c>
      <c r="M31" s="49">
        <v>96.9</v>
      </c>
      <c r="N31" s="49">
        <v>97.1</v>
      </c>
      <c r="O31" s="49">
        <v>97</v>
      </c>
      <c r="P31" s="49">
        <v>91</v>
      </c>
      <c r="Q31" s="49">
        <v>97.2</v>
      </c>
      <c r="R31" s="49">
        <v>71</v>
      </c>
      <c r="S31" s="49">
        <v>71.2</v>
      </c>
      <c r="T31" s="49">
        <v>60.8</v>
      </c>
      <c r="U31" s="49">
        <v>66</v>
      </c>
      <c r="V31" s="49">
        <v>61</v>
      </c>
      <c r="W31" s="49">
        <v>61</v>
      </c>
      <c r="X31" s="49">
        <v>61.6</v>
      </c>
      <c r="Y31" s="49">
        <v>60</v>
      </c>
      <c r="Z31" s="49">
        <v>97</v>
      </c>
      <c r="AA31" s="48">
        <v>85.9</v>
      </c>
      <c r="AB31" s="48">
        <v>85.9</v>
      </c>
      <c r="AC31" s="48">
        <v>85.9</v>
      </c>
      <c r="AD31" s="48">
        <v>85.9</v>
      </c>
      <c r="AE31" s="48">
        <v>85.9</v>
      </c>
      <c r="AF31" s="48">
        <v>75.599999999999994</v>
      </c>
      <c r="AG31" s="57">
        <v>144</v>
      </c>
      <c r="AH31" s="52">
        <f t="shared" si="2"/>
        <v>97.2</v>
      </c>
      <c r="AI31" s="53">
        <f t="shared" si="3"/>
        <v>59.7</v>
      </c>
      <c r="AK31" s="54"/>
    </row>
    <row r="32" spans="1:88" x14ac:dyDescent="0.25">
      <c r="A32" s="58" t="s">
        <v>39</v>
      </c>
      <c r="B32" s="56">
        <v>21</v>
      </c>
      <c r="C32" s="56">
        <v>20</v>
      </c>
      <c r="D32" s="56">
        <v>0</v>
      </c>
      <c r="E32" s="56">
        <v>0</v>
      </c>
      <c r="F32" s="56">
        <v>0</v>
      </c>
      <c r="G32" s="56">
        <v>32.1</v>
      </c>
      <c r="H32" s="56">
        <v>34.700000000000003</v>
      </c>
      <c r="I32" s="56">
        <v>34</v>
      </c>
      <c r="J32" s="56">
        <v>34</v>
      </c>
      <c r="K32" s="56">
        <v>48</v>
      </c>
      <c r="L32" s="70">
        <v>49.6</v>
      </c>
      <c r="M32" s="70">
        <v>51.4</v>
      </c>
      <c r="N32" s="70">
        <v>39.200000000000003</v>
      </c>
      <c r="O32" s="70">
        <v>24.3</v>
      </c>
      <c r="P32" s="70">
        <v>37</v>
      </c>
      <c r="Q32" s="70">
        <v>25.2</v>
      </c>
      <c r="R32" s="70">
        <v>33</v>
      </c>
      <c r="S32" s="70">
        <v>33.4</v>
      </c>
      <c r="T32" s="70">
        <v>35.200000000000003</v>
      </c>
      <c r="U32" s="70">
        <v>35.4</v>
      </c>
      <c r="V32" s="70">
        <v>35.4</v>
      </c>
      <c r="W32" s="70">
        <v>35.700000000000003</v>
      </c>
      <c r="X32" s="70">
        <v>33.799999999999997</v>
      </c>
      <c r="Y32" s="70">
        <v>49</v>
      </c>
      <c r="Z32" s="70">
        <v>70.599999999999994</v>
      </c>
      <c r="AA32" s="56">
        <v>69.400000000000006</v>
      </c>
      <c r="AB32" s="56">
        <v>65.3</v>
      </c>
      <c r="AC32" s="56">
        <v>65.3</v>
      </c>
      <c r="AD32" s="56">
        <v>34.200000000000003</v>
      </c>
      <c r="AE32" s="56">
        <v>28.5</v>
      </c>
      <c r="AF32" s="56">
        <v>29.1</v>
      </c>
      <c r="AG32" s="59">
        <v>70</v>
      </c>
      <c r="AH32" s="52">
        <f t="shared" si="2"/>
        <v>70.599999999999994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53</v>
      </c>
      <c r="C33" s="56">
        <v>53</v>
      </c>
      <c r="D33" s="56">
        <v>35.9</v>
      </c>
      <c r="E33" s="56">
        <v>36.200000000000003</v>
      </c>
      <c r="F33" s="56">
        <v>36.5</v>
      </c>
      <c r="G33" s="56">
        <v>36.1</v>
      </c>
      <c r="H33" s="56">
        <v>36</v>
      </c>
      <c r="I33" s="56">
        <v>46.1</v>
      </c>
      <c r="J33" s="56">
        <v>46.2</v>
      </c>
      <c r="K33" s="56">
        <v>61</v>
      </c>
      <c r="L33" s="70">
        <v>61.6</v>
      </c>
      <c r="M33" s="70">
        <v>61.4</v>
      </c>
      <c r="N33" s="70">
        <v>36.4</v>
      </c>
      <c r="O33" s="70">
        <v>16.600000000000001</v>
      </c>
      <c r="P33" s="70">
        <v>19</v>
      </c>
      <c r="Q33" s="70">
        <v>17.7</v>
      </c>
      <c r="R33" s="70">
        <v>14</v>
      </c>
      <c r="S33" s="70">
        <v>14.4</v>
      </c>
      <c r="T33" s="70">
        <v>16.399999999999999</v>
      </c>
      <c r="U33" s="70">
        <v>16.3</v>
      </c>
      <c r="V33" s="70">
        <v>23.3</v>
      </c>
      <c r="W33" s="70">
        <v>24</v>
      </c>
      <c r="X33" s="70">
        <v>22</v>
      </c>
      <c r="Y33" s="70">
        <v>38</v>
      </c>
      <c r="Z33" s="70">
        <v>66.400000000000006</v>
      </c>
      <c r="AA33" s="56">
        <v>65.8</v>
      </c>
      <c r="AB33" s="56">
        <v>65.3</v>
      </c>
      <c r="AC33" s="56">
        <v>65.3</v>
      </c>
      <c r="AD33" s="56">
        <v>55.5</v>
      </c>
      <c r="AE33" s="56">
        <v>46.7</v>
      </c>
      <c r="AF33" s="56">
        <v>46.3</v>
      </c>
      <c r="AG33" s="59">
        <v>69</v>
      </c>
      <c r="AH33" s="52">
        <f t="shared" si="2"/>
        <v>66.400000000000006</v>
      </c>
      <c r="AI33" s="53">
        <f t="shared" si="3"/>
        <v>14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28.7</v>
      </c>
      <c r="F34" s="56">
        <v>28.7</v>
      </c>
      <c r="G34" s="56">
        <v>28.7</v>
      </c>
      <c r="H34" s="56">
        <v>28.5</v>
      </c>
      <c r="I34" s="56">
        <v>28.5</v>
      </c>
      <c r="J34" s="56">
        <v>28.5</v>
      </c>
      <c r="K34" s="56">
        <v>28.5</v>
      </c>
      <c r="L34" s="70">
        <v>28.5</v>
      </c>
      <c r="M34" s="70">
        <v>28.5</v>
      </c>
      <c r="N34" s="70">
        <v>28.5</v>
      </c>
      <c r="O34" s="70">
        <v>28.3</v>
      </c>
      <c r="P34" s="70">
        <v>28.5</v>
      </c>
      <c r="Q34" s="70">
        <v>28.5</v>
      </c>
      <c r="R34" s="70">
        <v>28.5</v>
      </c>
      <c r="S34" s="70">
        <v>28.5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28.3</v>
      </c>
      <c r="AK34" s="54"/>
    </row>
    <row r="35" spans="1:41" x14ac:dyDescent="0.25">
      <c r="A35" s="58" t="s">
        <v>42</v>
      </c>
      <c r="B35" s="56">
        <v>15</v>
      </c>
      <c r="C35" s="56">
        <v>10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15</v>
      </c>
      <c r="J35" s="56">
        <v>15</v>
      </c>
      <c r="K35" s="56">
        <v>25</v>
      </c>
      <c r="L35" s="49">
        <v>24.5</v>
      </c>
      <c r="M35" s="49">
        <v>30</v>
      </c>
      <c r="N35" s="49">
        <v>23.2</v>
      </c>
      <c r="O35" s="49">
        <v>29.9</v>
      </c>
      <c r="P35" s="49">
        <v>19.2</v>
      </c>
      <c r="Q35" s="49">
        <v>19.5</v>
      </c>
      <c r="R35" s="49">
        <v>19.5</v>
      </c>
      <c r="S35" s="49">
        <v>22.3</v>
      </c>
      <c r="T35" s="49">
        <v>19.899999999999999</v>
      </c>
      <c r="U35" s="49">
        <v>10</v>
      </c>
      <c r="V35" s="49">
        <v>10</v>
      </c>
      <c r="W35" s="49">
        <v>10</v>
      </c>
      <c r="X35" s="49">
        <v>10</v>
      </c>
      <c r="Y35" s="49">
        <v>10</v>
      </c>
      <c r="Z35" s="49">
        <v>15</v>
      </c>
      <c r="AA35" s="56">
        <v>26</v>
      </c>
      <c r="AB35" s="56">
        <v>20</v>
      </c>
      <c r="AC35" s="56">
        <v>10.5</v>
      </c>
      <c r="AD35" s="56">
        <v>10</v>
      </c>
      <c r="AE35" s="56">
        <v>10.5</v>
      </c>
      <c r="AF35" s="56">
        <v>10</v>
      </c>
      <c r="AG35" s="59">
        <v>30</v>
      </c>
      <c r="AH35" s="52">
        <f t="shared" si="2"/>
        <v>30</v>
      </c>
      <c r="AI35" s="53">
        <f t="shared" si="3"/>
        <v>0</v>
      </c>
      <c r="AK35" s="54"/>
    </row>
    <row r="36" spans="1:41" x14ac:dyDescent="0.25">
      <c r="A36" s="58" t="s">
        <v>43</v>
      </c>
      <c r="B36" s="71">
        <v>14</v>
      </c>
      <c r="C36" s="71">
        <v>14</v>
      </c>
      <c r="D36" s="71">
        <v>14.3</v>
      </c>
      <c r="E36" s="71">
        <v>14.2</v>
      </c>
      <c r="F36" s="71">
        <v>14.2</v>
      </c>
      <c r="G36" s="71">
        <v>14.2</v>
      </c>
      <c r="H36" s="71">
        <v>14.2</v>
      </c>
      <c r="I36" s="71">
        <v>14.2</v>
      </c>
      <c r="J36" s="71">
        <v>14.2</v>
      </c>
      <c r="K36" s="71">
        <v>14.2</v>
      </c>
      <c r="L36" s="49">
        <v>15.1</v>
      </c>
      <c r="M36" s="49">
        <v>15</v>
      </c>
      <c r="N36" s="49">
        <v>14</v>
      </c>
      <c r="O36" s="49">
        <v>14</v>
      </c>
      <c r="P36" s="49">
        <v>14</v>
      </c>
      <c r="Q36" s="49">
        <v>14</v>
      </c>
      <c r="R36" s="49">
        <v>14</v>
      </c>
      <c r="S36" s="49">
        <v>15</v>
      </c>
      <c r="T36" s="49">
        <v>15</v>
      </c>
      <c r="U36" s="49">
        <v>15</v>
      </c>
      <c r="V36" s="49">
        <v>14.9</v>
      </c>
      <c r="W36" s="49">
        <v>14.9</v>
      </c>
      <c r="X36" s="49">
        <v>14.8</v>
      </c>
      <c r="Y36" s="49">
        <v>14.8</v>
      </c>
      <c r="Z36" s="49">
        <v>15</v>
      </c>
      <c r="AA36" s="56">
        <v>15</v>
      </c>
      <c r="AB36" s="56">
        <v>14</v>
      </c>
      <c r="AC36" s="56">
        <v>14</v>
      </c>
      <c r="AD36" s="56">
        <v>13.9</v>
      </c>
      <c r="AE36" s="56">
        <v>13.9</v>
      </c>
      <c r="AF36" s="56">
        <v>14.1</v>
      </c>
      <c r="AG36" s="59">
        <v>24</v>
      </c>
      <c r="AH36" s="52">
        <f t="shared" si="2"/>
        <v>15.1</v>
      </c>
      <c r="AI36" s="53">
        <f t="shared" si="3"/>
        <v>13.9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49">
        <v>3.9</v>
      </c>
      <c r="M39" s="49">
        <v>3.9</v>
      </c>
      <c r="N39" s="49">
        <v>5.8</v>
      </c>
      <c r="O39" s="49">
        <v>5.8</v>
      </c>
      <c r="P39" s="49">
        <v>5.8</v>
      </c>
      <c r="Q39" s="49">
        <v>5.8</v>
      </c>
      <c r="R39" s="49">
        <v>5.8</v>
      </c>
      <c r="S39" s="49">
        <v>5.8</v>
      </c>
      <c r="T39" s="49">
        <v>5.8</v>
      </c>
      <c r="U39" s="49">
        <v>5.8</v>
      </c>
      <c r="V39" s="49">
        <v>5.8</v>
      </c>
      <c r="W39" s="49">
        <v>5.8</v>
      </c>
      <c r="X39" s="49">
        <v>5.8</v>
      </c>
      <c r="Y39" s="49">
        <v>5.8</v>
      </c>
      <c r="Z39" s="49">
        <v>3.9</v>
      </c>
      <c r="AA39" s="56">
        <v>3.9</v>
      </c>
      <c r="AB39" s="56">
        <v>3.9</v>
      </c>
      <c r="AC39" s="56">
        <v>3.9</v>
      </c>
      <c r="AD39" s="56">
        <v>3.9</v>
      </c>
      <c r="AE39" s="56">
        <v>3.9</v>
      </c>
      <c r="AF39" s="56">
        <v>3.9</v>
      </c>
      <c r="AG39" s="59">
        <v>14</v>
      </c>
      <c r="AH39" s="52">
        <f t="shared" si="2"/>
        <v>5.8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3.8</v>
      </c>
      <c r="C40" s="56">
        <v>3.8</v>
      </c>
      <c r="D40" s="56">
        <v>3.8</v>
      </c>
      <c r="E40" s="56">
        <v>3.8</v>
      </c>
      <c r="F40" s="56">
        <v>3.8</v>
      </c>
      <c r="G40" s="56">
        <v>3.8</v>
      </c>
      <c r="H40" s="56">
        <v>3.8</v>
      </c>
      <c r="I40" s="56">
        <v>3.8</v>
      </c>
      <c r="J40" s="56">
        <v>3.8</v>
      </c>
      <c r="K40" s="56">
        <v>3.8</v>
      </c>
      <c r="L40" s="49">
        <v>3.8</v>
      </c>
      <c r="M40" s="49">
        <v>3.8</v>
      </c>
      <c r="N40" s="49">
        <v>3.8</v>
      </c>
      <c r="O40" s="49">
        <v>3.8</v>
      </c>
      <c r="P40" s="49">
        <v>3.8</v>
      </c>
      <c r="Q40" s="49">
        <v>3.8</v>
      </c>
      <c r="R40" s="49">
        <v>3.8</v>
      </c>
      <c r="S40" s="49">
        <v>3.8</v>
      </c>
      <c r="T40" s="49">
        <v>3.8</v>
      </c>
      <c r="U40" s="49">
        <v>3.8</v>
      </c>
      <c r="V40" s="49">
        <v>3.8</v>
      </c>
      <c r="W40" s="49">
        <v>3.8</v>
      </c>
      <c r="X40" s="49">
        <v>3.8</v>
      </c>
      <c r="Y40" s="49">
        <v>3.8</v>
      </c>
      <c r="Z40" s="49">
        <v>3.9</v>
      </c>
      <c r="AA40" s="56">
        <v>3.9</v>
      </c>
      <c r="AB40" s="56">
        <v>3.9</v>
      </c>
      <c r="AC40" s="56">
        <v>3.9</v>
      </c>
      <c r="AD40" s="56">
        <v>3.9</v>
      </c>
      <c r="AE40" s="56">
        <v>3.9</v>
      </c>
      <c r="AF40" s="56">
        <v>3.9</v>
      </c>
      <c r="AG40" s="59">
        <v>10.050000000000001</v>
      </c>
      <c r="AH40" s="52">
        <f t="shared" si="2"/>
        <v>3.9</v>
      </c>
      <c r="AI40" s="53">
        <f t="shared" si="3"/>
        <v>3.8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2.5</v>
      </c>
      <c r="S41" s="49">
        <v>2.5</v>
      </c>
      <c r="T41" s="49">
        <v>2.5</v>
      </c>
      <c r="U41" s="49">
        <v>2.5</v>
      </c>
      <c r="V41" s="49">
        <v>2.5</v>
      </c>
      <c r="W41" s="49">
        <v>2.5</v>
      </c>
      <c r="X41" s="49">
        <v>2.5</v>
      </c>
      <c r="Y41" s="49">
        <v>2.5</v>
      </c>
      <c r="Z41" s="49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236.14</v>
      </c>
      <c r="C43" s="69">
        <f t="shared" si="6"/>
        <v>220.44</v>
      </c>
      <c r="D43" s="69">
        <f t="shared" si="6"/>
        <v>162.34</v>
      </c>
      <c r="E43" s="69">
        <f t="shared" si="6"/>
        <v>163.54000000000002</v>
      </c>
      <c r="F43" s="69">
        <f t="shared" si="6"/>
        <v>163.54000000000002</v>
      </c>
      <c r="G43" s="69">
        <f t="shared" si="6"/>
        <v>215.23999999999998</v>
      </c>
      <c r="H43" s="69">
        <f t="shared" si="6"/>
        <v>217.94</v>
      </c>
      <c r="I43" s="69">
        <f t="shared" si="6"/>
        <v>242.64</v>
      </c>
      <c r="J43" s="69">
        <f t="shared" si="6"/>
        <v>242.44</v>
      </c>
      <c r="K43" s="69">
        <f t="shared" si="6"/>
        <v>281.44</v>
      </c>
      <c r="L43" s="69">
        <f t="shared" si="6"/>
        <v>283.94</v>
      </c>
      <c r="M43" s="69">
        <f t="shared" si="6"/>
        <v>306.94000000000005</v>
      </c>
      <c r="N43" s="69">
        <f t="shared" si="6"/>
        <v>264.04000000000002</v>
      </c>
      <c r="O43" s="69">
        <f t="shared" si="6"/>
        <v>235.74000000000004</v>
      </c>
      <c r="P43" s="69">
        <f t="shared" si="6"/>
        <v>234.34</v>
      </c>
      <c r="Q43" s="69">
        <f t="shared" si="6"/>
        <v>227.74</v>
      </c>
      <c r="R43" s="69">
        <f t="shared" si="6"/>
        <v>205.64000000000001</v>
      </c>
      <c r="S43" s="69">
        <f t="shared" si="6"/>
        <v>210.44000000000003</v>
      </c>
      <c r="T43" s="69">
        <f t="shared" si="6"/>
        <v>201.44000000000003</v>
      </c>
      <c r="U43" s="69">
        <f t="shared" si="6"/>
        <v>196.84</v>
      </c>
      <c r="V43" s="69">
        <f t="shared" si="6"/>
        <v>198.74</v>
      </c>
      <c r="W43" s="69">
        <f t="shared" si="6"/>
        <v>199.74</v>
      </c>
      <c r="X43" s="69">
        <f t="shared" si="6"/>
        <v>196.34000000000003</v>
      </c>
      <c r="Y43" s="69">
        <f t="shared" si="6"/>
        <v>225.94000000000003</v>
      </c>
      <c r="Z43" s="69">
        <f t="shared" si="6"/>
        <v>316.33999999999997</v>
      </c>
      <c r="AA43" s="69">
        <f t="shared" si="6"/>
        <v>314.44</v>
      </c>
      <c r="AB43" s="69">
        <f t="shared" si="6"/>
        <v>302.83999999999997</v>
      </c>
      <c r="AC43" s="69">
        <f>SUM(AC31:AC42)</f>
        <v>293.33999999999997</v>
      </c>
      <c r="AD43" s="69">
        <f t="shared" si="6"/>
        <v>251.84000000000003</v>
      </c>
      <c r="AE43" s="69">
        <f t="shared" si="6"/>
        <v>237.84000000000003</v>
      </c>
      <c r="AF43" s="69">
        <f t="shared" si="6"/>
        <v>227.44</v>
      </c>
      <c r="AG43" s="74">
        <f>SUM(AG31:AG42)</f>
        <v>464.91</v>
      </c>
      <c r="AH43" s="52">
        <f t="shared" si="2"/>
        <v>316.33999999999997</v>
      </c>
      <c r="AI43" s="53">
        <f t="shared" si="3"/>
        <v>162.34</v>
      </c>
      <c r="AK43" s="54"/>
    </row>
    <row r="44" spans="1:41" x14ac:dyDescent="0.25">
      <c r="A44" s="55" t="s">
        <v>51</v>
      </c>
      <c r="B44" s="56">
        <v>29.3</v>
      </c>
      <c r="C44" s="56">
        <v>29.3</v>
      </c>
      <c r="D44" s="56">
        <v>29.1</v>
      </c>
      <c r="E44" s="56">
        <v>29.1</v>
      </c>
      <c r="F44" s="56">
        <v>29.1</v>
      </c>
      <c r="G44" s="56">
        <v>29.5</v>
      </c>
      <c r="H44" s="56">
        <v>29.5</v>
      </c>
      <c r="I44" s="56">
        <v>29.5</v>
      </c>
      <c r="J44" s="56">
        <v>29.5</v>
      </c>
      <c r="K44" s="56">
        <v>29.5</v>
      </c>
      <c r="L44" s="75">
        <v>29.7</v>
      </c>
      <c r="M44" s="75">
        <v>29.5</v>
      </c>
      <c r="N44" s="75">
        <v>29.4</v>
      </c>
      <c r="O44" s="75">
        <v>13.4</v>
      </c>
      <c r="P44" s="49">
        <v>13.8</v>
      </c>
      <c r="Q44" s="49">
        <v>10</v>
      </c>
      <c r="R44" s="49">
        <v>29</v>
      </c>
      <c r="S44" s="49">
        <v>29.2</v>
      </c>
      <c r="T44" s="49">
        <v>29.4</v>
      </c>
      <c r="U44" s="49">
        <v>29.3</v>
      </c>
      <c r="V44" s="49">
        <v>20</v>
      </c>
      <c r="W44" s="49">
        <v>10</v>
      </c>
      <c r="X44" s="49">
        <v>25.1</v>
      </c>
      <c r="Y44" s="49">
        <v>29.3</v>
      </c>
      <c r="Z44" s="49">
        <v>29.3</v>
      </c>
      <c r="AA44" s="49">
        <v>29.3</v>
      </c>
      <c r="AB44" s="49">
        <v>29.3</v>
      </c>
      <c r="AC44" s="49">
        <v>29.3</v>
      </c>
      <c r="AD44" s="49">
        <v>29.3</v>
      </c>
      <c r="AE44" s="49">
        <v>29.3</v>
      </c>
      <c r="AF44" s="49">
        <v>29.4</v>
      </c>
      <c r="AG44" s="57">
        <v>60</v>
      </c>
      <c r="AH44" s="52">
        <f t="shared" si="2"/>
        <v>29.7</v>
      </c>
      <c r="AI44" s="53">
        <f t="shared" si="3"/>
        <v>10</v>
      </c>
      <c r="AK44" s="54"/>
    </row>
    <row r="45" spans="1:41" x14ac:dyDescent="0.25">
      <c r="A45" s="58" t="s">
        <v>52</v>
      </c>
      <c r="B45" s="56">
        <v>14.4</v>
      </c>
      <c r="C45" s="56">
        <v>14.4</v>
      </c>
      <c r="D45" s="56">
        <v>14.4</v>
      </c>
      <c r="E45" s="56">
        <v>14.7</v>
      </c>
      <c r="F45" s="56">
        <v>14.6</v>
      </c>
      <c r="G45" s="56">
        <v>14.6</v>
      </c>
      <c r="H45" s="56">
        <v>14.6</v>
      </c>
      <c r="I45" s="56">
        <v>14.6</v>
      </c>
      <c r="J45" s="56">
        <v>14.6</v>
      </c>
      <c r="K45" s="56">
        <v>14.6</v>
      </c>
      <c r="L45" s="75">
        <v>15.2</v>
      </c>
      <c r="M45" s="75">
        <v>13.8</v>
      </c>
      <c r="N45" s="75">
        <v>15.2</v>
      </c>
      <c r="O45" s="75">
        <v>6.4</v>
      </c>
      <c r="P45" s="70">
        <v>6</v>
      </c>
      <c r="Q45" s="70">
        <v>4.4000000000000004</v>
      </c>
      <c r="R45" s="49">
        <v>15</v>
      </c>
      <c r="S45" s="49">
        <v>15.5</v>
      </c>
      <c r="T45" s="49">
        <v>15.5</v>
      </c>
      <c r="U45" s="70">
        <v>15.4</v>
      </c>
      <c r="V45" s="70">
        <v>9</v>
      </c>
      <c r="W45" s="70">
        <v>4</v>
      </c>
      <c r="X45" s="70">
        <v>10.6</v>
      </c>
      <c r="Y45" s="70">
        <v>10.5</v>
      </c>
      <c r="Z45" s="70">
        <v>14.5</v>
      </c>
      <c r="AA45" s="70">
        <v>15.7</v>
      </c>
      <c r="AB45" s="70">
        <v>15.6</v>
      </c>
      <c r="AC45" s="70">
        <v>15.6</v>
      </c>
      <c r="AD45" s="70">
        <v>15.2</v>
      </c>
      <c r="AE45" s="70">
        <v>15.1</v>
      </c>
      <c r="AF45" s="70">
        <v>15.5</v>
      </c>
      <c r="AG45" s="59">
        <v>32</v>
      </c>
      <c r="AH45" s="52">
        <f t="shared" si="2"/>
        <v>15.7</v>
      </c>
      <c r="AI45" s="53">
        <f t="shared" si="3"/>
        <v>4</v>
      </c>
      <c r="AK45" s="54"/>
    </row>
    <row r="46" spans="1:41" ht="15.75" thickBot="1" x14ac:dyDescent="0.3">
      <c r="A46" s="72" t="s">
        <v>53</v>
      </c>
      <c r="B46" s="71">
        <v>5.2</v>
      </c>
      <c r="C46" s="71">
        <v>5.3</v>
      </c>
      <c r="D46" s="71">
        <v>5.3</v>
      </c>
      <c r="E46" s="71">
        <v>5.4</v>
      </c>
      <c r="F46" s="71">
        <v>5.3</v>
      </c>
      <c r="G46" s="71">
        <v>5.3</v>
      </c>
      <c r="H46" s="71">
        <v>5.3</v>
      </c>
      <c r="I46" s="71">
        <v>5.3</v>
      </c>
      <c r="J46" s="71">
        <v>5.3</v>
      </c>
      <c r="K46" s="71">
        <v>5.3</v>
      </c>
      <c r="L46" s="76">
        <v>5.5</v>
      </c>
      <c r="M46" s="76">
        <v>5</v>
      </c>
      <c r="N46" s="76">
        <v>5</v>
      </c>
      <c r="O46" s="76">
        <v>2.2999999999999998</v>
      </c>
      <c r="P46" s="77">
        <v>2.2000000000000002</v>
      </c>
      <c r="Q46" s="77">
        <v>1.6</v>
      </c>
      <c r="R46" s="49">
        <v>5.6</v>
      </c>
      <c r="S46" s="49">
        <v>5.6</v>
      </c>
      <c r="T46" s="49">
        <v>5.6</v>
      </c>
      <c r="U46" s="77">
        <v>5.6</v>
      </c>
      <c r="V46" s="77">
        <v>3.2</v>
      </c>
      <c r="W46" s="77">
        <v>1.4</v>
      </c>
      <c r="X46" s="77">
        <v>4.2</v>
      </c>
      <c r="Y46" s="77">
        <v>3.8</v>
      </c>
      <c r="Z46" s="77">
        <v>5.4</v>
      </c>
      <c r="AA46" s="77">
        <v>5.7</v>
      </c>
      <c r="AB46" s="77">
        <v>5.7</v>
      </c>
      <c r="AC46" s="77">
        <v>5.7</v>
      </c>
      <c r="AD46" s="77">
        <v>5.5</v>
      </c>
      <c r="AE46" s="77">
        <v>5.5</v>
      </c>
      <c r="AF46" s="77">
        <v>5.6</v>
      </c>
      <c r="AG46" s="78">
        <v>14</v>
      </c>
      <c r="AH46" s="52">
        <f t="shared" si="2"/>
        <v>5.7</v>
      </c>
      <c r="AI46" s="53">
        <f t="shared" si="3"/>
        <v>1.4</v>
      </c>
      <c r="AK46" s="54"/>
    </row>
    <row r="47" spans="1:41" ht="15.75" thickBot="1" x14ac:dyDescent="0.3">
      <c r="A47" s="68" t="s">
        <v>54</v>
      </c>
      <c r="B47" s="69">
        <f>SUM(B44:B46)</f>
        <v>48.900000000000006</v>
      </c>
      <c r="C47" s="69">
        <f t="shared" ref="C47:AF47" si="7">SUM(C44:C46)</f>
        <v>49</v>
      </c>
      <c r="D47" s="69">
        <f t="shared" si="7"/>
        <v>48.8</v>
      </c>
      <c r="E47" s="69">
        <f t="shared" si="7"/>
        <v>49.199999999999996</v>
      </c>
      <c r="F47" s="69">
        <f t="shared" si="7"/>
        <v>49</v>
      </c>
      <c r="G47" s="69">
        <f t="shared" si="7"/>
        <v>49.4</v>
      </c>
      <c r="H47" s="69">
        <f t="shared" si="7"/>
        <v>49.4</v>
      </c>
      <c r="I47" s="69">
        <f t="shared" si="7"/>
        <v>49.4</v>
      </c>
      <c r="J47" s="69">
        <f t="shared" si="7"/>
        <v>49.4</v>
      </c>
      <c r="K47" s="69">
        <f t="shared" si="7"/>
        <v>49.4</v>
      </c>
      <c r="L47" s="69">
        <f t="shared" si="7"/>
        <v>50.4</v>
      </c>
      <c r="M47" s="69">
        <f t="shared" si="7"/>
        <v>48.3</v>
      </c>
      <c r="N47" s="69">
        <f t="shared" si="7"/>
        <v>49.599999999999994</v>
      </c>
      <c r="O47" s="69">
        <f t="shared" si="7"/>
        <v>22.1</v>
      </c>
      <c r="P47" s="69">
        <f t="shared" si="7"/>
        <v>22</v>
      </c>
      <c r="Q47" s="69">
        <f t="shared" si="7"/>
        <v>16</v>
      </c>
      <c r="R47" s="69">
        <f t="shared" si="7"/>
        <v>49.6</v>
      </c>
      <c r="S47" s="69">
        <f t="shared" si="7"/>
        <v>50.300000000000004</v>
      </c>
      <c r="T47" s="69">
        <f t="shared" si="7"/>
        <v>50.5</v>
      </c>
      <c r="U47" s="69">
        <f t="shared" si="7"/>
        <v>50.300000000000004</v>
      </c>
      <c r="V47" s="69">
        <f t="shared" si="7"/>
        <v>32.200000000000003</v>
      </c>
      <c r="W47" s="69">
        <f t="shared" si="7"/>
        <v>15.4</v>
      </c>
      <c r="X47" s="69">
        <f t="shared" si="7"/>
        <v>39.900000000000006</v>
      </c>
      <c r="Y47" s="69">
        <f t="shared" si="7"/>
        <v>43.599999999999994</v>
      </c>
      <c r="Z47" s="69">
        <f t="shared" si="7"/>
        <v>49.199999999999996</v>
      </c>
      <c r="AA47" s="69">
        <f t="shared" si="7"/>
        <v>50.7</v>
      </c>
      <c r="AB47" s="69">
        <f t="shared" si="7"/>
        <v>50.6</v>
      </c>
      <c r="AC47" s="69">
        <f t="shared" si="7"/>
        <v>50.6</v>
      </c>
      <c r="AD47" s="69">
        <f t="shared" si="7"/>
        <v>50</v>
      </c>
      <c r="AE47" s="69">
        <f t="shared" si="7"/>
        <v>49.9</v>
      </c>
      <c r="AF47" s="69">
        <f t="shared" si="7"/>
        <v>50.5</v>
      </c>
      <c r="AG47" s="74">
        <f>SUM(AG44:AG46)</f>
        <v>106</v>
      </c>
      <c r="AH47" s="52">
        <f t="shared" si="2"/>
        <v>50.7</v>
      </c>
      <c r="AI47" s="53">
        <f t="shared" si="3"/>
        <v>15.4</v>
      </c>
      <c r="AK47" s="54"/>
    </row>
    <row r="48" spans="1:41" x14ac:dyDescent="0.25">
      <c r="A48" s="55" t="s">
        <v>55</v>
      </c>
      <c r="B48" s="49">
        <v>65</v>
      </c>
      <c r="C48" s="49">
        <v>65</v>
      </c>
      <c r="D48" s="49">
        <v>69.400000000000006</v>
      </c>
      <c r="E48" s="49">
        <v>69.3</v>
      </c>
      <c r="F48" s="49">
        <v>70</v>
      </c>
      <c r="G48" s="49">
        <v>68.900000000000006</v>
      </c>
      <c r="H48" s="49">
        <v>71.319999999999993</v>
      </c>
      <c r="I48" s="49">
        <v>65.900000000000006</v>
      </c>
      <c r="J48" s="49">
        <v>65.3</v>
      </c>
      <c r="K48" s="49">
        <v>70</v>
      </c>
      <c r="L48" s="49">
        <v>70.7</v>
      </c>
      <c r="M48" s="49">
        <v>65.7</v>
      </c>
      <c r="N48" s="49">
        <v>66.400000000000006</v>
      </c>
      <c r="O48" s="49">
        <v>70</v>
      </c>
      <c r="P48" s="49">
        <v>68</v>
      </c>
      <c r="Q48" s="49">
        <v>72.17</v>
      </c>
      <c r="R48" s="49">
        <v>76</v>
      </c>
      <c r="S48" s="49">
        <v>76.239999999999995</v>
      </c>
      <c r="T48" s="49">
        <v>71.63</v>
      </c>
      <c r="U48" s="49">
        <v>62</v>
      </c>
      <c r="V48" s="49">
        <v>62</v>
      </c>
      <c r="W48" s="49">
        <v>62</v>
      </c>
      <c r="X48" s="49">
        <v>58</v>
      </c>
      <c r="Y48" s="49">
        <v>60</v>
      </c>
      <c r="Z48" s="49">
        <v>73</v>
      </c>
      <c r="AA48" s="49">
        <v>74.95</v>
      </c>
      <c r="AB48" s="49">
        <v>75.599999999999994</v>
      </c>
      <c r="AC48" s="49">
        <v>75.599999999999994</v>
      </c>
      <c r="AD48" s="49">
        <v>77</v>
      </c>
      <c r="AE48" s="49">
        <v>71</v>
      </c>
      <c r="AF48" s="49">
        <v>68.2</v>
      </c>
      <c r="AG48" s="57"/>
      <c r="AH48" s="52">
        <f t="shared" si="2"/>
        <v>77</v>
      </c>
      <c r="AI48" s="53">
        <f t="shared" si="3"/>
        <v>58</v>
      </c>
      <c r="AK48" s="54"/>
    </row>
    <row r="49" spans="1:37" x14ac:dyDescent="0.25">
      <c r="A49" s="58" t="s">
        <v>56</v>
      </c>
      <c r="B49" s="70">
        <v>110</v>
      </c>
      <c r="C49" s="70">
        <v>103</v>
      </c>
      <c r="D49" s="70">
        <v>135</v>
      </c>
      <c r="E49" s="70">
        <v>134</v>
      </c>
      <c r="F49" s="70">
        <v>125</v>
      </c>
      <c r="G49" s="70">
        <v>129</v>
      </c>
      <c r="H49" s="70">
        <v>110</v>
      </c>
      <c r="I49" s="70">
        <v>85.5</v>
      </c>
      <c r="J49" s="70">
        <v>87</v>
      </c>
      <c r="K49" s="70">
        <v>87</v>
      </c>
      <c r="L49" s="49">
        <v>77.099999999999994</v>
      </c>
      <c r="M49" s="49">
        <v>84.8</v>
      </c>
      <c r="N49" s="49">
        <v>140</v>
      </c>
      <c r="O49" s="49">
        <v>126</v>
      </c>
      <c r="P49" s="49">
        <v>140</v>
      </c>
      <c r="Q49" s="49">
        <v>73.7</v>
      </c>
      <c r="R49" s="49">
        <v>116</v>
      </c>
      <c r="S49" s="49">
        <v>106</v>
      </c>
      <c r="T49" s="49">
        <v>87.4</v>
      </c>
      <c r="U49" s="79">
        <v>100</v>
      </c>
      <c r="V49" s="79">
        <v>95</v>
      </c>
      <c r="W49" s="79">
        <v>127</v>
      </c>
      <c r="X49" s="79">
        <v>144</v>
      </c>
      <c r="Y49" s="79">
        <v>122</v>
      </c>
      <c r="Z49" s="79">
        <v>126</v>
      </c>
      <c r="AA49" s="70">
        <f>96.9+34.6</f>
        <v>131.5</v>
      </c>
      <c r="AB49" s="70">
        <v>132</v>
      </c>
      <c r="AC49" s="70">
        <f>112+50</f>
        <v>162</v>
      </c>
      <c r="AD49" s="70">
        <f>109+52.5</f>
        <v>161.5</v>
      </c>
      <c r="AE49" s="70">
        <f>48+102</f>
        <v>150</v>
      </c>
      <c r="AF49" s="70">
        <v>143</v>
      </c>
      <c r="AG49" s="59"/>
      <c r="AH49" s="52">
        <f t="shared" si="2"/>
        <v>162</v>
      </c>
      <c r="AI49" s="53">
        <f t="shared" si="3"/>
        <v>73.7</v>
      </c>
      <c r="AK49" s="54"/>
    </row>
    <row r="50" spans="1:37" x14ac:dyDescent="0.25">
      <c r="A50" s="58" t="s">
        <v>57</v>
      </c>
      <c r="B50" s="70">
        <v>100</v>
      </c>
      <c r="C50" s="70">
        <v>111</v>
      </c>
      <c r="D50" s="70">
        <v>100.3</v>
      </c>
      <c r="E50" s="70">
        <v>104.3</v>
      </c>
      <c r="F50" s="70">
        <v>120</v>
      </c>
      <c r="G50" s="49">
        <v>80</v>
      </c>
      <c r="H50" s="49">
        <v>120.5</v>
      </c>
      <c r="I50" s="49">
        <v>145.19999999999999</v>
      </c>
      <c r="J50" s="49">
        <v>152</v>
      </c>
      <c r="K50" s="49">
        <v>120</v>
      </c>
      <c r="L50" s="70">
        <v>130</v>
      </c>
      <c r="M50" s="70">
        <v>160</v>
      </c>
      <c r="N50" s="70">
        <v>104</v>
      </c>
      <c r="O50" s="70">
        <v>150</v>
      </c>
      <c r="P50" s="70">
        <v>126</v>
      </c>
      <c r="Q50" s="70">
        <v>184</v>
      </c>
      <c r="R50" s="70">
        <v>160</v>
      </c>
      <c r="S50" s="70">
        <v>148</v>
      </c>
      <c r="T50" s="70">
        <v>173</v>
      </c>
      <c r="U50" s="80">
        <v>164</v>
      </c>
      <c r="V50" s="80">
        <v>181</v>
      </c>
      <c r="W50" s="80">
        <v>176</v>
      </c>
      <c r="X50" s="80">
        <v>180</v>
      </c>
      <c r="Y50" s="80">
        <v>314</v>
      </c>
      <c r="Z50" s="80">
        <v>297</v>
      </c>
      <c r="AA50" s="70">
        <f>138.1+138.7</f>
        <v>276.79999999999995</v>
      </c>
      <c r="AB50" s="70">
        <v>250</v>
      </c>
      <c r="AC50" s="70">
        <f>110+110.4</f>
        <v>220.4</v>
      </c>
      <c r="AD50" s="70">
        <f>68.6+67.5</f>
        <v>136.1</v>
      </c>
      <c r="AE50" s="70">
        <f>55.4+55</f>
        <v>110.4</v>
      </c>
      <c r="AF50" s="70">
        <v>103</v>
      </c>
      <c r="AG50" s="81"/>
      <c r="AH50" s="52">
        <f t="shared" si="2"/>
        <v>314</v>
      </c>
      <c r="AI50" s="53">
        <f t="shared" si="3"/>
        <v>80</v>
      </c>
      <c r="AK50" s="54"/>
    </row>
    <row r="51" spans="1:37" x14ac:dyDescent="0.25">
      <c r="A51" s="58" t="s">
        <v>58</v>
      </c>
      <c r="B51" s="82">
        <v>14</v>
      </c>
      <c r="C51" s="82">
        <v>14</v>
      </c>
      <c r="D51" s="82">
        <v>12</v>
      </c>
      <c r="E51" s="82">
        <v>12</v>
      </c>
      <c r="F51" s="82">
        <v>12</v>
      </c>
      <c r="G51" s="82">
        <v>12</v>
      </c>
      <c r="H51" s="82">
        <v>12</v>
      </c>
      <c r="I51" s="82">
        <v>12</v>
      </c>
      <c r="J51" s="82">
        <v>12</v>
      </c>
      <c r="K51" s="82">
        <v>12</v>
      </c>
      <c r="L51" s="70">
        <v>12</v>
      </c>
      <c r="M51" s="70">
        <v>12</v>
      </c>
      <c r="N51" s="70">
        <v>12</v>
      </c>
      <c r="O51" s="70">
        <v>12</v>
      </c>
      <c r="P51" s="70">
        <v>12</v>
      </c>
      <c r="Q51" s="70">
        <v>12</v>
      </c>
      <c r="R51" s="70">
        <v>8.8000000000000007</v>
      </c>
      <c r="S51" s="70">
        <v>8.8000000000000007</v>
      </c>
      <c r="T51" s="70">
        <v>8.8000000000000007</v>
      </c>
      <c r="U51" s="70">
        <v>8.8000000000000007</v>
      </c>
      <c r="V51" s="70">
        <v>8.8000000000000007</v>
      </c>
      <c r="W51" s="70">
        <v>8.8000000000000007</v>
      </c>
      <c r="X51" s="70">
        <v>9</v>
      </c>
      <c r="Y51" s="70">
        <v>9</v>
      </c>
      <c r="Z51" s="70">
        <v>10</v>
      </c>
      <c r="AA51" s="82">
        <v>10.8</v>
      </c>
      <c r="AB51" s="82">
        <v>10.8</v>
      </c>
      <c r="AC51" s="82">
        <v>10.8</v>
      </c>
      <c r="AD51" s="82">
        <v>10</v>
      </c>
      <c r="AE51" s="82">
        <v>10</v>
      </c>
      <c r="AF51" s="82">
        <v>10</v>
      </c>
      <c r="AG51" s="81"/>
      <c r="AH51" s="52">
        <f t="shared" si="2"/>
        <v>14</v>
      </c>
      <c r="AI51" s="53">
        <f t="shared" si="3"/>
        <v>8.8000000000000007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48</v>
      </c>
      <c r="P52" s="82">
        <v>48</v>
      </c>
      <c r="Q52" s="82">
        <v>48</v>
      </c>
      <c r="R52" s="82">
        <v>48</v>
      </c>
      <c r="S52" s="82">
        <v>46.7</v>
      </c>
      <c r="T52" s="82">
        <v>44.5</v>
      </c>
      <c r="U52" s="82">
        <v>41</v>
      </c>
      <c r="V52" s="82">
        <v>40</v>
      </c>
      <c r="W52" s="82">
        <v>37.700000000000003</v>
      </c>
      <c r="X52" s="82">
        <v>37</v>
      </c>
      <c r="Y52" s="82">
        <v>42</v>
      </c>
      <c r="Z52" s="82">
        <v>45.7</v>
      </c>
      <c r="AA52" s="49">
        <v>48.4</v>
      </c>
      <c r="AB52" s="49">
        <v>52</v>
      </c>
      <c r="AC52" s="49">
        <v>51</v>
      </c>
      <c r="AD52" s="49">
        <v>50.5</v>
      </c>
      <c r="AE52" s="49">
        <v>51</v>
      </c>
      <c r="AF52" s="49">
        <v>50.5</v>
      </c>
      <c r="AG52" s="81"/>
      <c r="AH52" s="52">
        <f t="shared" si="2"/>
        <v>52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3">
        <v>0</v>
      </c>
      <c r="AE55" s="83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3">
        <v>0</v>
      </c>
      <c r="AE56" s="83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3">
        <v>0</v>
      </c>
      <c r="AE57" s="83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82">
        <v>0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82">
        <v>0</v>
      </c>
      <c r="Z58" s="82">
        <v>0</v>
      </c>
      <c r="AA58" s="82">
        <v>0</v>
      </c>
      <c r="AB58" s="82">
        <v>0</v>
      </c>
      <c r="AC58" s="82">
        <v>0</v>
      </c>
      <c r="AD58" s="83">
        <v>0</v>
      </c>
      <c r="AE58" s="83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289</v>
      </c>
      <c r="C59" s="69">
        <f t="shared" ref="C59:AF59" si="8">SUM(C48:C58)</f>
        <v>293</v>
      </c>
      <c r="D59" s="69">
        <f t="shared" si="8"/>
        <v>316.7</v>
      </c>
      <c r="E59" s="69">
        <f t="shared" si="8"/>
        <v>319.60000000000002</v>
      </c>
      <c r="F59" s="69">
        <f t="shared" si="8"/>
        <v>327</v>
      </c>
      <c r="G59" s="69">
        <f t="shared" si="8"/>
        <v>289.89999999999998</v>
      </c>
      <c r="H59" s="69">
        <f t="shared" si="8"/>
        <v>313.82</v>
      </c>
      <c r="I59" s="69">
        <f t="shared" si="8"/>
        <v>308.60000000000002</v>
      </c>
      <c r="J59" s="69">
        <f t="shared" si="8"/>
        <v>316.3</v>
      </c>
      <c r="K59" s="69">
        <f t="shared" si="8"/>
        <v>289</v>
      </c>
      <c r="L59" s="69">
        <f t="shared" si="8"/>
        <v>289.8</v>
      </c>
      <c r="M59" s="69">
        <f t="shared" si="8"/>
        <v>322.5</v>
      </c>
      <c r="N59" s="69">
        <f t="shared" si="8"/>
        <v>322.39999999999998</v>
      </c>
      <c r="O59" s="69">
        <f t="shared" si="8"/>
        <v>406</v>
      </c>
      <c r="P59" s="69">
        <f t="shared" si="8"/>
        <v>394</v>
      </c>
      <c r="Q59" s="69">
        <f t="shared" si="8"/>
        <v>389.87</v>
      </c>
      <c r="R59" s="69">
        <f t="shared" si="8"/>
        <v>408.8</v>
      </c>
      <c r="S59" s="69">
        <f t="shared" si="8"/>
        <v>385.74</v>
      </c>
      <c r="T59" s="69">
        <f t="shared" si="8"/>
        <v>385.33</v>
      </c>
      <c r="U59" s="69">
        <f t="shared" si="8"/>
        <v>375.8</v>
      </c>
      <c r="V59" s="69">
        <f t="shared" si="8"/>
        <v>386.8</v>
      </c>
      <c r="W59" s="69">
        <f t="shared" si="8"/>
        <v>411.5</v>
      </c>
      <c r="X59" s="69">
        <f t="shared" si="8"/>
        <v>428</v>
      </c>
      <c r="Y59" s="69">
        <f t="shared" si="8"/>
        <v>547</v>
      </c>
      <c r="Z59" s="69">
        <f t="shared" si="8"/>
        <v>551.70000000000005</v>
      </c>
      <c r="AA59" s="69">
        <f t="shared" si="8"/>
        <v>542.44999999999993</v>
      </c>
      <c r="AB59" s="69">
        <f t="shared" si="8"/>
        <v>520.40000000000009</v>
      </c>
      <c r="AC59" s="69">
        <f t="shared" si="8"/>
        <v>519.79999999999995</v>
      </c>
      <c r="AD59" s="69">
        <f t="shared" si="8"/>
        <v>435.1</v>
      </c>
      <c r="AE59" s="69">
        <f t="shared" si="8"/>
        <v>392.4</v>
      </c>
      <c r="AF59" s="69">
        <f t="shared" si="8"/>
        <v>374.7</v>
      </c>
      <c r="AG59" s="74">
        <f>SUM(AG48:AG58)</f>
        <v>0</v>
      </c>
      <c r="AH59" s="52">
        <f t="shared" si="2"/>
        <v>551.70000000000005</v>
      </c>
      <c r="AI59" s="53">
        <f t="shared" si="3"/>
        <v>289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847.14</v>
      </c>
      <c r="C65" s="91">
        <f t="shared" ref="C65:AF65" si="10">C63+C59+C47+C43+C30+C64</f>
        <v>835.54000000000008</v>
      </c>
      <c r="D65" s="91">
        <f t="shared" si="10"/>
        <v>798.24</v>
      </c>
      <c r="E65" s="91">
        <f t="shared" si="10"/>
        <v>803.04</v>
      </c>
      <c r="F65" s="91">
        <f t="shared" si="10"/>
        <v>807.93999999999994</v>
      </c>
      <c r="G65" s="91">
        <f t="shared" si="10"/>
        <v>822.33999999999992</v>
      </c>
      <c r="H65" s="91">
        <f t="shared" si="10"/>
        <v>850.26</v>
      </c>
      <c r="I65" s="91">
        <f t="shared" si="10"/>
        <v>868.43999999999994</v>
      </c>
      <c r="J65" s="91">
        <f t="shared" si="10"/>
        <v>875.14</v>
      </c>
      <c r="K65" s="91">
        <f t="shared" si="10"/>
        <v>886.83999999999992</v>
      </c>
      <c r="L65" s="91">
        <f t="shared" si="10"/>
        <v>892.74</v>
      </c>
      <c r="M65" s="91">
        <f t="shared" si="10"/>
        <v>949.24</v>
      </c>
      <c r="N65" s="91">
        <f t="shared" si="10"/>
        <v>905.33999999999992</v>
      </c>
      <c r="O65" s="91">
        <f t="shared" si="10"/>
        <v>933.74</v>
      </c>
      <c r="P65" s="91">
        <f t="shared" si="10"/>
        <v>918.84</v>
      </c>
      <c r="Q65" s="91">
        <f t="shared" si="10"/>
        <v>900.71</v>
      </c>
      <c r="R65" s="91">
        <f t="shared" si="10"/>
        <v>930.84</v>
      </c>
      <c r="S65" s="91">
        <f t="shared" si="10"/>
        <v>911.68</v>
      </c>
      <c r="T65" s="91">
        <f t="shared" si="10"/>
        <v>920.17</v>
      </c>
      <c r="U65" s="91">
        <f t="shared" si="10"/>
        <v>887.6400000000001</v>
      </c>
      <c r="V65" s="91">
        <f t="shared" si="10"/>
        <v>882.44</v>
      </c>
      <c r="W65" s="91">
        <f t="shared" si="10"/>
        <v>896.14</v>
      </c>
      <c r="X65" s="91">
        <f t="shared" si="10"/>
        <v>936.54</v>
      </c>
      <c r="Y65" s="91">
        <f t="shared" si="10"/>
        <v>1088.44</v>
      </c>
      <c r="Z65" s="91">
        <f t="shared" si="10"/>
        <v>1188.94</v>
      </c>
      <c r="AA65" s="91">
        <f t="shared" si="10"/>
        <v>1177.3899999999999</v>
      </c>
      <c r="AB65" s="91">
        <f t="shared" si="10"/>
        <v>1143.5400000000002</v>
      </c>
      <c r="AC65" s="91">
        <f t="shared" si="10"/>
        <v>1132.74</v>
      </c>
      <c r="AD65" s="91">
        <f t="shared" si="10"/>
        <v>1005.1400000000001</v>
      </c>
      <c r="AE65" s="91">
        <f t="shared" si="10"/>
        <v>950.04</v>
      </c>
      <c r="AF65" s="91">
        <f t="shared" si="10"/>
        <v>917.44</v>
      </c>
      <c r="AG65" s="74">
        <f>AG63+AG59+AG47+AG43+AG30+AG64</f>
        <v>1355.5100000000002</v>
      </c>
      <c r="AH65" s="52">
        <f t="shared" si="2"/>
        <v>1188.94</v>
      </c>
      <c r="AI65" s="53">
        <f t="shared" si="3"/>
        <v>798.24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50.021000000000001</v>
      </c>
      <c r="C72" s="94">
        <v>50.033000000000001</v>
      </c>
      <c r="D72" s="94">
        <v>50.037999999999997</v>
      </c>
      <c r="E72" s="94">
        <v>49.929000000000002</v>
      </c>
      <c r="F72" s="94">
        <v>50.023000000000003</v>
      </c>
      <c r="G72" s="94">
        <v>50.026000000000003</v>
      </c>
      <c r="H72" s="94">
        <v>50.036999999999999</v>
      </c>
      <c r="I72" s="94">
        <v>50.01</v>
      </c>
      <c r="J72" s="94">
        <v>50.07</v>
      </c>
      <c r="K72" s="94">
        <v>50.064</v>
      </c>
      <c r="L72" s="94">
        <v>50.04</v>
      </c>
      <c r="M72" s="94">
        <v>50.05</v>
      </c>
      <c r="N72" s="94">
        <v>50.03</v>
      </c>
      <c r="O72" s="94">
        <v>50.08</v>
      </c>
      <c r="P72" s="94">
        <v>49.85</v>
      </c>
      <c r="Q72" s="95">
        <v>49.98</v>
      </c>
      <c r="R72" s="94">
        <v>49.905000000000001</v>
      </c>
      <c r="S72" s="94">
        <v>50.073999999999998</v>
      </c>
      <c r="T72" s="94">
        <v>49.999000000000002</v>
      </c>
      <c r="U72" s="94">
        <v>49.999000000000002</v>
      </c>
      <c r="V72" s="94">
        <v>50.01</v>
      </c>
      <c r="W72" s="94">
        <v>49.976999999999997</v>
      </c>
      <c r="X72" s="94">
        <v>50.033000000000001</v>
      </c>
      <c r="Y72" s="94">
        <v>50.05</v>
      </c>
      <c r="Z72" s="94">
        <v>49.956000000000003</v>
      </c>
      <c r="AA72" s="94">
        <v>49.929000000000002</v>
      </c>
      <c r="AB72" s="94">
        <v>50.042000000000002</v>
      </c>
      <c r="AC72" s="94">
        <v>50.042000000000002</v>
      </c>
      <c r="AD72" s="94">
        <v>49.984999999999999</v>
      </c>
      <c r="AE72" s="94">
        <v>49.972999999999999</v>
      </c>
      <c r="AF72" s="96">
        <v>50.02</v>
      </c>
      <c r="AG72" s="97"/>
      <c r="AH72" s="52">
        <f t="shared" si="2"/>
        <v>50.08</v>
      </c>
      <c r="AI72" s="53">
        <f t="shared" si="3"/>
        <v>49.85</v>
      </c>
    </row>
    <row r="73" spans="1:35" x14ac:dyDescent="0.25">
      <c r="A73" s="98" t="s">
        <v>80</v>
      </c>
      <c r="B73" s="70">
        <v>128.6</v>
      </c>
      <c r="C73" s="70">
        <v>129</v>
      </c>
      <c r="D73" s="70">
        <v>130.1</v>
      </c>
      <c r="E73" s="70">
        <v>130.69999999999999</v>
      </c>
      <c r="F73" s="70">
        <v>130.69999999999999</v>
      </c>
      <c r="G73" s="70">
        <v>131.4</v>
      </c>
      <c r="H73" s="70">
        <v>129.80000000000001</v>
      </c>
      <c r="I73" s="70">
        <v>129.19999999999999</v>
      </c>
      <c r="J73" s="70">
        <v>128.9</v>
      </c>
      <c r="K73" s="70">
        <v>128</v>
      </c>
      <c r="L73" s="70">
        <v>128.19999999999999</v>
      </c>
      <c r="M73" s="70">
        <v>125.1</v>
      </c>
      <c r="N73" s="70">
        <v>127.2</v>
      </c>
      <c r="O73" s="70">
        <v>127.1</v>
      </c>
      <c r="P73" s="70">
        <v>127.2</v>
      </c>
      <c r="Q73" s="99">
        <v>127.4</v>
      </c>
      <c r="R73" s="99">
        <v>128.19999999999999</v>
      </c>
      <c r="S73" s="99">
        <v>128.69999999999999</v>
      </c>
      <c r="T73" s="99">
        <v>128.6</v>
      </c>
      <c r="U73" s="99">
        <v>129.5</v>
      </c>
      <c r="V73" s="99">
        <v>129.5</v>
      </c>
      <c r="W73" s="99">
        <v>128.5</v>
      </c>
      <c r="X73" s="99">
        <v>128.5</v>
      </c>
      <c r="Y73" s="99">
        <v>127.2</v>
      </c>
      <c r="Z73" s="99">
        <v>127</v>
      </c>
      <c r="AA73" s="70">
        <v>127.9</v>
      </c>
      <c r="AB73" s="70">
        <v>127.6</v>
      </c>
      <c r="AC73" s="70">
        <v>127.6</v>
      </c>
      <c r="AD73" s="70">
        <v>128.69999999999999</v>
      </c>
      <c r="AE73" s="70">
        <v>129.80000000000001</v>
      </c>
      <c r="AF73" s="100">
        <v>130</v>
      </c>
      <c r="AG73" s="101"/>
      <c r="AH73" s="52">
        <f t="shared" si="2"/>
        <v>131.4</v>
      </c>
      <c r="AI73" s="53">
        <f t="shared" si="3"/>
        <v>125.1</v>
      </c>
    </row>
    <row r="74" spans="1:35" x14ac:dyDescent="0.25">
      <c r="A74" s="98" t="s">
        <v>81</v>
      </c>
      <c r="B74" s="70">
        <v>131.69999999999999</v>
      </c>
      <c r="C74" s="70">
        <v>132</v>
      </c>
      <c r="D74" s="70">
        <v>33.1</v>
      </c>
      <c r="E74" s="70">
        <v>133.6</v>
      </c>
      <c r="F74" s="70">
        <v>133.30000000000001</v>
      </c>
      <c r="G74" s="70">
        <v>133.69999999999999</v>
      </c>
      <c r="H74" s="70">
        <v>132.19999999999999</v>
      </c>
      <c r="I74" s="70">
        <v>131.6</v>
      </c>
      <c r="J74" s="70">
        <v>131.1</v>
      </c>
      <c r="K74" s="70">
        <v>130</v>
      </c>
      <c r="L74" s="70">
        <v>130.4</v>
      </c>
      <c r="M74" s="70">
        <v>128</v>
      </c>
      <c r="N74" s="70">
        <v>129.9</v>
      </c>
      <c r="O74" s="70">
        <v>130</v>
      </c>
      <c r="P74" s="70">
        <v>130.4</v>
      </c>
      <c r="Q74" s="99">
        <v>130.6</v>
      </c>
      <c r="R74" s="99">
        <v>130.9</v>
      </c>
      <c r="S74" s="99">
        <v>131.4</v>
      </c>
      <c r="T74" s="99">
        <v>131.1</v>
      </c>
      <c r="U74" s="99">
        <v>132</v>
      </c>
      <c r="V74" s="99">
        <v>132</v>
      </c>
      <c r="W74" s="99">
        <v>130.9</v>
      </c>
      <c r="X74" s="99">
        <v>130.9</v>
      </c>
      <c r="Y74" s="99">
        <v>129.6</v>
      </c>
      <c r="Z74" s="99">
        <v>129.30000000000001</v>
      </c>
      <c r="AA74" s="70">
        <v>130.4</v>
      </c>
      <c r="AB74" s="70">
        <v>130.4</v>
      </c>
      <c r="AC74" s="70">
        <v>130.4</v>
      </c>
      <c r="AD74" s="70">
        <v>131.6</v>
      </c>
      <c r="AE74" s="70">
        <v>132.6</v>
      </c>
      <c r="AF74" s="100">
        <v>132.80000000000001</v>
      </c>
      <c r="AG74" s="101"/>
      <c r="AH74" s="52">
        <f t="shared" si="2"/>
        <v>133.69999999999999</v>
      </c>
      <c r="AI74" s="53">
        <f t="shared" si="3"/>
        <v>33.1</v>
      </c>
    </row>
    <row r="75" spans="1:35" x14ac:dyDescent="0.25">
      <c r="A75" s="98" t="s">
        <v>82</v>
      </c>
      <c r="B75" s="70">
        <v>129.69999999999999</v>
      </c>
      <c r="C75" s="70">
        <v>129</v>
      </c>
      <c r="D75" s="70">
        <v>127.8</v>
      </c>
      <c r="E75" s="70">
        <v>68.3</v>
      </c>
      <c r="F75" s="70">
        <v>129.80000000000001</v>
      </c>
      <c r="G75" s="70">
        <v>131.30000000000001</v>
      </c>
      <c r="H75" s="70">
        <v>132.1</v>
      </c>
      <c r="I75" s="70">
        <v>131.1</v>
      </c>
      <c r="J75" s="70">
        <v>130.69999999999999</v>
      </c>
      <c r="K75" s="70">
        <v>130</v>
      </c>
      <c r="L75" s="70">
        <v>129.80000000000001</v>
      </c>
      <c r="M75" s="70">
        <v>129.19999999999999</v>
      </c>
      <c r="N75" s="70">
        <v>128.9</v>
      </c>
      <c r="O75" s="70">
        <v>129</v>
      </c>
      <c r="P75" s="70">
        <v>128.80000000000001</v>
      </c>
      <c r="Q75" s="70">
        <v>129.4</v>
      </c>
      <c r="R75" s="70">
        <v>129.9</v>
      </c>
      <c r="S75" s="70">
        <v>129.1</v>
      </c>
      <c r="T75" s="99">
        <v>128.80000000000001</v>
      </c>
      <c r="U75" s="99">
        <v>129.4</v>
      </c>
      <c r="V75" s="99">
        <v>129.4</v>
      </c>
      <c r="W75" s="99">
        <v>128.30000000000001</v>
      </c>
      <c r="X75" s="99">
        <v>128.30000000000001</v>
      </c>
      <c r="Y75" s="99">
        <v>126</v>
      </c>
      <c r="Z75" s="99">
        <v>126</v>
      </c>
      <c r="AA75" s="70">
        <v>127.2</v>
      </c>
      <c r="AB75" s="70">
        <v>126.7</v>
      </c>
      <c r="AC75" s="70">
        <v>126.7</v>
      </c>
      <c r="AD75" s="70">
        <v>126.5</v>
      </c>
      <c r="AE75" s="70">
        <v>127.7</v>
      </c>
      <c r="AF75" s="100">
        <v>129.6</v>
      </c>
      <c r="AG75" s="101"/>
      <c r="AH75" s="52">
        <f t="shared" si="2"/>
        <v>132.1</v>
      </c>
      <c r="AI75" s="53">
        <f t="shared" si="3"/>
        <v>68.3</v>
      </c>
    </row>
    <row r="76" spans="1:35" x14ac:dyDescent="0.25">
      <c r="A76" s="102" t="s">
        <v>83</v>
      </c>
      <c r="B76" s="70">
        <v>131.80000000000001</v>
      </c>
      <c r="C76" s="70">
        <v>131</v>
      </c>
      <c r="D76" s="70">
        <v>130</v>
      </c>
      <c r="E76" s="70">
        <v>130.4</v>
      </c>
      <c r="F76" s="70">
        <v>131.5</v>
      </c>
      <c r="G76" s="70">
        <v>132.30000000000001</v>
      </c>
      <c r="H76" s="70">
        <v>132.4</v>
      </c>
      <c r="I76" s="70">
        <v>130.69999999999999</v>
      </c>
      <c r="J76" s="70">
        <v>130.69999999999999</v>
      </c>
      <c r="K76" s="70">
        <v>130</v>
      </c>
      <c r="L76" s="70">
        <v>128.80000000000001</v>
      </c>
      <c r="M76" s="70">
        <v>128.9</v>
      </c>
      <c r="N76" s="70">
        <v>128.69999999999999</v>
      </c>
      <c r="O76" s="70">
        <v>129</v>
      </c>
      <c r="P76" s="70">
        <v>129.5</v>
      </c>
      <c r="Q76" s="70">
        <v>129.4</v>
      </c>
      <c r="R76" s="70">
        <v>129.6</v>
      </c>
      <c r="S76" s="70">
        <v>129.19999999999999</v>
      </c>
      <c r="T76" s="99">
        <v>129.1</v>
      </c>
      <c r="U76" s="99">
        <v>129.6</v>
      </c>
      <c r="V76" s="99">
        <v>129.6</v>
      </c>
      <c r="W76" s="99">
        <v>128.69999999999999</v>
      </c>
      <c r="X76" s="99">
        <v>128.69999999999999</v>
      </c>
      <c r="Y76" s="99">
        <v>125.6</v>
      </c>
      <c r="Z76" s="99">
        <v>130</v>
      </c>
      <c r="AA76" s="70">
        <v>131.1</v>
      </c>
      <c r="AB76" s="70">
        <v>131.30000000000001</v>
      </c>
      <c r="AC76" s="70">
        <v>131.30000000000001</v>
      </c>
      <c r="AD76" s="70">
        <v>131.69999999999999</v>
      </c>
      <c r="AE76" s="70">
        <v>131.80000000000001</v>
      </c>
      <c r="AF76" s="100">
        <v>130.9</v>
      </c>
      <c r="AG76" s="101"/>
      <c r="AH76" s="52">
        <f t="shared" si="2"/>
        <v>132.4</v>
      </c>
      <c r="AI76" s="53">
        <f t="shared" si="3"/>
        <v>125.6</v>
      </c>
    </row>
    <row r="77" spans="1:35" x14ac:dyDescent="0.25">
      <c r="A77" s="102" t="s">
        <v>84</v>
      </c>
      <c r="B77" s="103">
        <v>135</v>
      </c>
      <c r="C77" s="103">
        <v>135</v>
      </c>
      <c r="D77" s="103">
        <v>135.30000000000001</v>
      </c>
      <c r="E77" s="103">
        <v>136.30000000000001</v>
      </c>
      <c r="F77" s="103">
        <v>135.4</v>
      </c>
      <c r="G77" s="103">
        <v>137.19999999999999</v>
      </c>
      <c r="H77" s="103">
        <v>133.4</v>
      </c>
      <c r="I77" s="103">
        <v>135.1</v>
      </c>
      <c r="J77" s="103">
        <v>134.5</v>
      </c>
      <c r="K77" s="103">
        <v>136</v>
      </c>
      <c r="L77" s="103">
        <v>80.900000000000006</v>
      </c>
      <c r="M77" s="103">
        <v>97.1</v>
      </c>
      <c r="N77" s="103">
        <v>97</v>
      </c>
      <c r="O77" s="103">
        <v>133.6</v>
      </c>
      <c r="P77" s="103">
        <v>90.9</v>
      </c>
      <c r="Q77" s="103">
        <v>97</v>
      </c>
      <c r="R77" s="103">
        <v>131.69999999999999</v>
      </c>
      <c r="S77" s="103">
        <v>131.30000000000001</v>
      </c>
      <c r="T77" s="99">
        <v>131.80000000000001</v>
      </c>
      <c r="U77" s="99">
        <v>133.69999999999999</v>
      </c>
      <c r="V77" s="99">
        <v>133.69999999999999</v>
      </c>
      <c r="W77" s="99">
        <v>131.1</v>
      </c>
      <c r="X77" s="99">
        <v>131.1</v>
      </c>
      <c r="Y77" s="99">
        <v>133.69999999999999</v>
      </c>
      <c r="Z77" s="99">
        <v>133.69999999999999</v>
      </c>
      <c r="AA77" s="103">
        <v>85.9</v>
      </c>
      <c r="AB77" s="103">
        <v>132.19999999999999</v>
      </c>
      <c r="AC77" s="103">
        <v>132.19999999999999</v>
      </c>
      <c r="AD77" s="103">
        <v>134.69999999999999</v>
      </c>
      <c r="AE77" s="103">
        <v>135.1</v>
      </c>
      <c r="AF77" s="104">
        <v>134</v>
      </c>
      <c r="AG77" s="105"/>
      <c r="AH77" s="52">
        <f t="shared" si="2"/>
        <v>137.19999999999999</v>
      </c>
      <c r="AI77" s="53">
        <f t="shared" si="3"/>
        <v>80.900000000000006</v>
      </c>
    </row>
    <row r="78" spans="1:35" x14ac:dyDescent="0.25">
      <c r="A78" s="98" t="s">
        <v>85</v>
      </c>
      <c r="B78" s="70">
        <v>137</v>
      </c>
      <c r="C78" s="70">
        <v>137</v>
      </c>
      <c r="D78" s="70">
        <v>139.1</v>
      </c>
      <c r="E78" s="70">
        <v>139.19999999999999</v>
      </c>
      <c r="F78" s="70">
        <v>137.30000000000001</v>
      </c>
      <c r="G78" s="70">
        <v>137.1</v>
      </c>
      <c r="H78" s="70">
        <v>139.4</v>
      </c>
      <c r="I78" s="70">
        <v>134.80000000000001</v>
      </c>
      <c r="J78" s="70">
        <v>133.19999999999999</v>
      </c>
      <c r="K78" s="70">
        <v>128</v>
      </c>
      <c r="L78" s="70">
        <v>126.8</v>
      </c>
      <c r="M78" s="70">
        <v>125.5</v>
      </c>
      <c r="N78" s="70">
        <v>127.7</v>
      </c>
      <c r="O78" s="70">
        <v>130.1</v>
      </c>
      <c r="P78" s="70">
        <v>131.4</v>
      </c>
      <c r="Q78" s="70">
        <v>131.4</v>
      </c>
      <c r="R78" s="70">
        <v>130.1</v>
      </c>
      <c r="S78" s="70">
        <v>130.1</v>
      </c>
      <c r="T78" s="99">
        <v>134.9</v>
      </c>
      <c r="U78" s="99">
        <v>137</v>
      </c>
      <c r="V78" s="99">
        <v>137</v>
      </c>
      <c r="W78" s="99">
        <v>137.30000000000001</v>
      </c>
      <c r="X78" s="99">
        <v>137.30000000000001</v>
      </c>
      <c r="Y78" s="99">
        <v>134.19999999999999</v>
      </c>
      <c r="Z78" s="99">
        <v>127.8</v>
      </c>
      <c r="AA78" s="70">
        <v>130.6</v>
      </c>
      <c r="AB78" s="70">
        <v>132.30000000000001</v>
      </c>
      <c r="AC78" s="70">
        <v>132.30000000000001</v>
      </c>
      <c r="AD78" s="70">
        <v>129.69999999999999</v>
      </c>
      <c r="AE78" s="70">
        <v>131.4</v>
      </c>
      <c r="AF78" s="100">
        <v>132.80000000000001</v>
      </c>
      <c r="AG78" s="101"/>
      <c r="AH78" s="52">
        <f>MAX(B78:AF78)</f>
        <v>139.4</v>
      </c>
      <c r="AI78" s="53">
        <f>MIN(B78:AF78)</f>
        <v>125.5</v>
      </c>
    </row>
    <row r="79" spans="1:35" ht="15.75" thickBot="1" x14ac:dyDescent="0.3">
      <c r="A79" s="98" t="s">
        <v>86</v>
      </c>
      <c r="B79" s="106">
        <v>67</v>
      </c>
      <c r="C79" s="106">
        <v>67.5</v>
      </c>
      <c r="D79" s="106">
        <v>67.900000000000006</v>
      </c>
      <c r="E79" s="106">
        <v>68.099999999999994</v>
      </c>
      <c r="F79" s="106">
        <v>68.099999999999994</v>
      </c>
      <c r="G79" s="106">
        <v>68.2</v>
      </c>
      <c r="H79" s="106">
        <v>67.400000000000006</v>
      </c>
      <c r="I79" s="106">
        <v>67.099999999999994</v>
      </c>
      <c r="J79" s="106">
        <v>66.900000000000006</v>
      </c>
      <c r="K79" s="106">
        <v>66.5</v>
      </c>
      <c r="L79" s="106">
        <v>66.5</v>
      </c>
      <c r="M79" s="106">
        <v>65.400000000000006</v>
      </c>
      <c r="N79" s="106">
        <v>66.3</v>
      </c>
      <c r="O79" s="106">
        <v>66.599999999999994</v>
      </c>
      <c r="P79" s="106">
        <v>66.8</v>
      </c>
      <c r="Q79" s="106">
        <v>66.900000000000006</v>
      </c>
      <c r="R79" s="106">
        <v>67</v>
      </c>
      <c r="S79" s="106">
        <v>67.3</v>
      </c>
      <c r="T79" s="106">
        <v>67.2</v>
      </c>
      <c r="U79" s="106">
        <v>67.8</v>
      </c>
      <c r="V79" s="106">
        <v>67.8</v>
      </c>
      <c r="W79" s="106">
        <v>66.900000000000006</v>
      </c>
      <c r="X79" s="106">
        <v>66.900000000000006</v>
      </c>
      <c r="Y79" s="106">
        <v>66.400000000000006</v>
      </c>
      <c r="Z79" s="106">
        <v>66.2</v>
      </c>
      <c r="AA79" s="106">
        <v>66.8</v>
      </c>
      <c r="AB79" s="106">
        <v>66.599999999999994</v>
      </c>
      <c r="AC79" s="106">
        <v>66.599999999999994</v>
      </c>
      <c r="AD79" s="106">
        <v>67.3</v>
      </c>
      <c r="AE79" s="106">
        <v>67.8</v>
      </c>
      <c r="AF79" s="107">
        <v>67</v>
      </c>
      <c r="AG79" s="108"/>
      <c r="AH79" s="52">
        <f>MAX(B79:AF79)</f>
        <v>68.2</v>
      </c>
      <c r="AI79" s="53">
        <f>MIN(B79:AF79)</f>
        <v>65.400000000000006</v>
      </c>
    </row>
    <row r="80" spans="1:35" x14ac:dyDescent="0.25">
      <c r="A80" s="109" t="s">
        <v>87</v>
      </c>
      <c r="B80" s="110">
        <f t="shared" ref="B80:AF80" si="19">SUMIF(B48:B57,"&gt;0")</f>
        <v>289</v>
      </c>
      <c r="C80" s="110">
        <f t="shared" si="19"/>
        <v>293</v>
      </c>
      <c r="D80" s="110">
        <f t="shared" si="19"/>
        <v>316.7</v>
      </c>
      <c r="E80" s="110">
        <f t="shared" si="19"/>
        <v>319.60000000000002</v>
      </c>
      <c r="F80" s="110">
        <f t="shared" si="19"/>
        <v>327</v>
      </c>
      <c r="G80" s="110">
        <f t="shared" si="19"/>
        <v>289.89999999999998</v>
      </c>
      <c r="H80" s="110">
        <f t="shared" si="19"/>
        <v>313.82</v>
      </c>
      <c r="I80" s="110">
        <f t="shared" si="19"/>
        <v>308.60000000000002</v>
      </c>
      <c r="J80" s="110">
        <f t="shared" si="19"/>
        <v>316.3</v>
      </c>
      <c r="K80" s="110">
        <f t="shared" si="19"/>
        <v>289</v>
      </c>
      <c r="L80" s="110">
        <f t="shared" si="19"/>
        <v>289.8</v>
      </c>
      <c r="M80" s="110">
        <f t="shared" si="19"/>
        <v>322.5</v>
      </c>
      <c r="N80" s="110">
        <f t="shared" si="19"/>
        <v>322.39999999999998</v>
      </c>
      <c r="O80" s="110">
        <f t="shared" si="19"/>
        <v>406</v>
      </c>
      <c r="P80" s="110">
        <f t="shared" si="19"/>
        <v>394</v>
      </c>
      <c r="Q80" s="110">
        <f t="shared" si="19"/>
        <v>389.87</v>
      </c>
      <c r="R80" s="110">
        <f t="shared" si="19"/>
        <v>408.8</v>
      </c>
      <c r="S80" s="110">
        <f t="shared" si="19"/>
        <v>385.74</v>
      </c>
      <c r="T80" s="110">
        <f t="shared" si="19"/>
        <v>385.33</v>
      </c>
      <c r="U80" s="110">
        <f t="shared" si="19"/>
        <v>375.8</v>
      </c>
      <c r="V80" s="110">
        <f t="shared" si="19"/>
        <v>386.8</v>
      </c>
      <c r="W80" s="110">
        <f t="shared" si="19"/>
        <v>411.5</v>
      </c>
      <c r="X80" s="110">
        <f t="shared" si="19"/>
        <v>428</v>
      </c>
      <c r="Y80" s="110">
        <f t="shared" si="19"/>
        <v>547</v>
      </c>
      <c r="Z80" s="110">
        <f t="shared" si="19"/>
        <v>551.70000000000005</v>
      </c>
      <c r="AA80" s="110">
        <f t="shared" si="19"/>
        <v>542.44999999999993</v>
      </c>
      <c r="AB80" s="110">
        <f t="shared" si="19"/>
        <v>520.40000000000009</v>
      </c>
      <c r="AC80" s="110">
        <f t="shared" si="19"/>
        <v>519.79999999999995</v>
      </c>
      <c r="AD80" s="110">
        <f t="shared" si="19"/>
        <v>435.1</v>
      </c>
      <c r="AE80" s="110">
        <f t="shared" si="19"/>
        <v>392.4</v>
      </c>
      <c r="AF80" s="110">
        <f t="shared" si="19"/>
        <v>374.7</v>
      </c>
      <c r="AG80" s="111"/>
      <c r="AH80" s="52">
        <f>MAX(B80:AF80)</f>
        <v>551.70000000000005</v>
      </c>
      <c r="AI80" s="53">
        <f>MIN(B80:AF80)</f>
        <v>289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129.32</v>
      </c>
      <c r="C82" s="115">
        <f t="shared" ref="C82:AF82" si="20">C11+C13+C17+C34+C36+C38+C40+C94+C108+C110+C121+C127+C130+C139+C143+C144+C147+C154+C159+C162+C163+C164+C172+C177+C83+C84+C85+C86+C99</f>
        <v>127.11999999999998</v>
      </c>
      <c r="D82" s="115">
        <f t="shared" si="20"/>
        <v>124.61999999999998</v>
      </c>
      <c r="E82" s="115">
        <f t="shared" si="20"/>
        <v>133.01999999999998</v>
      </c>
      <c r="F82" s="115">
        <f t="shared" si="20"/>
        <v>148.61999999999998</v>
      </c>
      <c r="G82" s="115">
        <f t="shared" si="20"/>
        <v>178.32</v>
      </c>
      <c r="H82" s="115">
        <f t="shared" si="20"/>
        <v>194.11999999999995</v>
      </c>
      <c r="I82" s="115">
        <f t="shared" si="20"/>
        <v>207.12</v>
      </c>
      <c r="J82" s="115">
        <f t="shared" si="20"/>
        <v>218.71999999999997</v>
      </c>
      <c r="K82" s="115">
        <f t="shared" si="20"/>
        <v>272.52</v>
      </c>
      <c r="L82" s="115">
        <f t="shared" si="20"/>
        <v>231.61999999999998</v>
      </c>
      <c r="M82" s="115">
        <f t="shared" si="20"/>
        <v>237.92</v>
      </c>
      <c r="N82" s="115">
        <f t="shared" si="20"/>
        <v>231.12</v>
      </c>
      <c r="O82" s="115">
        <f t="shared" si="20"/>
        <v>208.12</v>
      </c>
      <c r="P82" s="115">
        <f t="shared" si="20"/>
        <v>205.22</v>
      </c>
      <c r="Q82" s="115">
        <f t="shared" si="20"/>
        <v>180.42000000000002</v>
      </c>
      <c r="R82" s="115">
        <f t="shared" si="20"/>
        <v>190.51999999999998</v>
      </c>
      <c r="S82" s="115">
        <f t="shared" si="20"/>
        <v>190.51999999999998</v>
      </c>
      <c r="T82" s="115">
        <f t="shared" si="20"/>
        <v>216.92000000000002</v>
      </c>
      <c r="U82" s="115">
        <f t="shared" si="20"/>
        <v>203.22</v>
      </c>
      <c r="V82" s="115">
        <f t="shared" si="20"/>
        <v>206.12</v>
      </c>
      <c r="W82" s="115">
        <f t="shared" si="20"/>
        <v>214.51999999999998</v>
      </c>
      <c r="X82" s="115">
        <f t="shared" si="20"/>
        <v>235.21999999999997</v>
      </c>
      <c r="Y82" s="115">
        <f t="shared" si="20"/>
        <v>289.62</v>
      </c>
      <c r="Z82" s="115">
        <f t="shared" si="20"/>
        <v>310.52</v>
      </c>
      <c r="AA82" s="115">
        <f t="shared" si="20"/>
        <v>274.52</v>
      </c>
      <c r="AB82" s="115">
        <f>AB11+AB13+AB17+AB34+AB36+AB38+AB40+AB94+AB108+AB110+AB121+AB127+AB130+AB139+AB143+AB144+AB147+AB154+AB159+AB162+AB163+AB164+AB172+AB177+AB83+AB84+AB85+AB86+AB99</f>
        <v>248.22</v>
      </c>
      <c r="AC82" s="115">
        <f>AC11+AC13+AC17+AC34+AC36+AC38+AC40+AC94+AC108+AC110+AC121+AC127+AC130+AC139+AC143+AC144+AC147+AC154+AC159+AC162+AC163+AC164+AC172+AC177+AC83+AC84+AC85+AC86+AC99</f>
        <v>211.72</v>
      </c>
      <c r="AD82" s="115">
        <f t="shared" si="20"/>
        <v>182.72000000000003</v>
      </c>
      <c r="AE82" s="115">
        <f t="shared" si="20"/>
        <v>156.81999999999996</v>
      </c>
      <c r="AF82" s="115">
        <f t="shared" si="20"/>
        <v>143.12</v>
      </c>
      <c r="AG82" s="116"/>
      <c r="AH82" s="52">
        <f>MAX(B82:AF82)</f>
        <v>310.52</v>
      </c>
      <c r="AI82" s="53">
        <f>MIN(B82:AF82)</f>
        <v>124.61999999999998</v>
      </c>
    </row>
    <row r="83" spans="1:37" x14ac:dyDescent="0.25">
      <c r="A83" s="117" t="s">
        <v>89</v>
      </c>
      <c r="B83" s="118">
        <v>23</v>
      </c>
      <c r="C83" s="118">
        <v>14.9</v>
      </c>
      <c r="D83" s="118">
        <v>0</v>
      </c>
      <c r="E83" s="118">
        <v>1.2</v>
      </c>
      <c r="F83" s="118">
        <v>-1.5</v>
      </c>
      <c r="G83" s="118">
        <v>22.9</v>
      </c>
      <c r="H83" s="118">
        <v>21.7</v>
      </c>
      <c r="I83" s="118">
        <v>28.7</v>
      </c>
      <c r="J83" s="118">
        <v>36.299999999999997</v>
      </c>
      <c r="K83" s="118">
        <v>47</v>
      </c>
      <c r="L83" s="118">
        <v>49</v>
      </c>
      <c r="M83" s="118">
        <v>50</v>
      </c>
      <c r="N83" s="118">
        <v>40.799999999999997</v>
      </c>
      <c r="O83" s="118">
        <v>23.9</v>
      </c>
      <c r="P83" s="118">
        <v>22.6</v>
      </c>
      <c r="Q83" s="118">
        <v>19.899999999999999</v>
      </c>
      <c r="R83" s="118">
        <v>9.1999999999999993</v>
      </c>
      <c r="S83" s="118">
        <v>5.4</v>
      </c>
      <c r="T83" s="118">
        <v>4.9000000000000004</v>
      </c>
      <c r="U83" s="118">
        <v>4</v>
      </c>
      <c r="V83" s="118">
        <v>5</v>
      </c>
      <c r="W83" s="118">
        <v>3.7</v>
      </c>
      <c r="X83" s="118">
        <v>-2.1</v>
      </c>
      <c r="Y83" s="118">
        <v>20.3</v>
      </c>
      <c r="Z83" s="118">
        <v>31</v>
      </c>
      <c r="AA83" s="50">
        <v>24.7</v>
      </c>
      <c r="AB83" s="50">
        <v>16.899999999999999</v>
      </c>
      <c r="AC83" s="50">
        <v>16.899999999999999</v>
      </c>
      <c r="AD83" s="50">
        <v>18.399999999999999</v>
      </c>
      <c r="AE83" s="50">
        <v>13.7</v>
      </c>
      <c r="AF83" s="119">
        <v>13.1</v>
      </c>
      <c r="AG83" s="120">
        <v>75</v>
      </c>
      <c r="AH83" s="52">
        <f>IF(ABS(MAX(B83:AF83))&gt;ABS(MIN(B83:AF83)),MAX(B83:AF83),MIN(B83:AF83))</f>
        <v>50</v>
      </c>
      <c r="AI83" s="121">
        <f>INDEX($B$9:$AF$9,1,MATCH(AH83,B83:AF83,0))</f>
        <v>0.375</v>
      </c>
    </row>
    <row r="84" spans="1:37" x14ac:dyDescent="0.25">
      <c r="A84" s="122" t="s">
        <v>90</v>
      </c>
      <c r="B84" s="83">
        <v>-33</v>
      </c>
      <c r="C84" s="83">
        <v>-26</v>
      </c>
      <c r="D84" s="83">
        <v>-15</v>
      </c>
      <c r="E84" s="83">
        <v>-13.8</v>
      </c>
      <c r="F84" s="83">
        <v>-4.5</v>
      </c>
      <c r="G84" s="83">
        <v>-10</v>
      </c>
      <c r="H84" s="83">
        <v>-9</v>
      </c>
      <c r="I84" s="83">
        <v>-8</v>
      </c>
      <c r="J84" s="83">
        <v>-8.6</v>
      </c>
      <c r="K84" s="83">
        <v>22</v>
      </c>
      <c r="L84" s="83">
        <v>-21</v>
      </c>
      <c r="M84" s="83">
        <v>-13</v>
      </c>
      <c r="N84" s="83">
        <v>-13</v>
      </c>
      <c r="O84" s="83">
        <v>0</v>
      </c>
      <c r="P84" s="83">
        <v>5</v>
      </c>
      <c r="Q84" s="83">
        <v>-7</v>
      </c>
      <c r="R84" s="83">
        <v>0</v>
      </c>
      <c r="S84" s="83">
        <v>2.7</v>
      </c>
      <c r="T84" s="83">
        <v>4</v>
      </c>
      <c r="U84" s="83">
        <v>4.3</v>
      </c>
      <c r="V84" s="83">
        <v>6.5</v>
      </c>
      <c r="W84" s="83">
        <v>13</v>
      </c>
      <c r="X84" s="83">
        <v>19.399999999999999</v>
      </c>
      <c r="Y84" s="83">
        <v>29</v>
      </c>
      <c r="Z84" s="83">
        <v>29</v>
      </c>
      <c r="AA84" s="70">
        <f>12.9+8.5</f>
        <v>21.4</v>
      </c>
      <c r="AB84" s="70">
        <v>15</v>
      </c>
      <c r="AC84" s="70">
        <f>-(6.2+2.5)</f>
        <v>-8.6999999999999993</v>
      </c>
      <c r="AD84" s="70">
        <v>-9.1</v>
      </c>
      <c r="AE84" s="70">
        <f>-(5.2+10.8)</f>
        <v>-16</v>
      </c>
      <c r="AF84" s="123">
        <v>-16.7</v>
      </c>
      <c r="AG84" s="120">
        <v>240</v>
      </c>
      <c r="AH84" s="52">
        <f>IF(ABS(MAX(B84:AF84))&gt;ABS(MIN(B84:AF84)),MAX(B84:AF84),MIN(B84:AF84))</f>
        <v>-33</v>
      </c>
      <c r="AI84" s="121">
        <f>INDEX($B$9:$AF$9,1,MATCH(AH84,B84:AF84,0))</f>
        <v>4.1666666666666664E-2</v>
      </c>
    </row>
    <row r="85" spans="1:37" x14ac:dyDescent="0.25">
      <c r="A85" s="122" t="s">
        <v>91</v>
      </c>
      <c r="B85" s="83">
        <v>15.4</v>
      </c>
      <c r="C85" s="83">
        <v>16</v>
      </c>
      <c r="D85" s="83">
        <v>18.100000000000001</v>
      </c>
      <c r="E85" s="83">
        <v>18.899999999999999</v>
      </c>
      <c r="F85" s="83">
        <v>20.7</v>
      </c>
      <c r="G85" s="83">
        <v>20.5</v>
      </c>
      <c r="H85" s="83">
        <v>22.1</v>
      </c>
      <c r="I85" s="83">
        <v>23.5</v>
      </c>
      <c r="J85" s="83">
        <v>23.3</v>
      </c>
      <c r="K85" s="83">
        <v>21</v>
      </c>
      <c r="L85" s="83">
        <v>13.1</v>
      </c>
      <c r="M85" s="83">
        <v>9.1</v>
      </c>
      <c r="N85" s="83">
        <v>23.2</v>
      </c>
      <c r="O85" s="83">
        <v>16.8</v>
      </c>
      <c r="P85" s="83">
        <v>14.8</v>
      </c>
      <c r="Q85" s="83">
        <v>11.8</v>
      </c>
      <c r="R85" s="83">
        <v>23.5</v>
      </c>
      <c r="S85" s="83">
        <v>23.1</v>
      </c>
      <c r="T85" s="83">
        <v>23.9</v>
      </c>
      <c r="U85" s="83">
        <v>25</v>
      </c>
      <c r="V85" s="83">
        <v>21.5</v>
      </c>
      <c r="W85" s="83">
        <v>17.8</v>
      </c>
      <c r="X85" s="83">
        <v>27.1</v>
      </c>
      <c r="Y85" s="83">
        <v>32.799999999999997</v>
      </c>
      <c r="Z85" s="83">
        <v>34.299999999999997</v>
      </c>
      <c r="AA85" s="70">
        <v>31.3</v>
      </c>
      <c r="AB85" s="70">
        <v>29</v>
      </c>
      <c r="AC85" s="70">
        <v>26.7</v>
      </c>
      <c r="AD85" s="70">
        <v>23.3</v>
      </c>
      <c r="AE85" s="70">
        <v>21.6</v>
      </c>
      <c r="AF85" s="123">
        <v>21.7</v>
      </c>
      <c r="AG85" s="120">
        <v>60</v>
      </c>
      <c r="AH85" s="52">
        <f>IF(ABS(MAX(B85:AF85))&gt;ABS(MIN(B85:AF85)),MAX(B85:AF85),MIN(B85:AF85))</f>
        <v>34.299999999999997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-22.7</v>
      </c>
      <c r="C86" s="85">
        <v>-24.4</v>
      </c>
      <c r="D86" s="85">
        <v>-24.4</v>
      </c>
      <c r="E86" s="85">
        <v>-20</v>
      </c>
      <c r="F86" s="85">
        <v>-11.2</v>
      </c>
      <c r="G86" s="85">
        <v>0</v>
      </c>
      <c r="H86" s="85">
        <v>13.2</v>
      </c>
      <c r="I86" s="85">
        <v>20.3</v>
      </c>
      <c r="J86" s="85">
        <v>25.2</v>
      </c>
      <c r="K86" s="85">
        <v>40</v>
      </c>
      <c r="L86" s="85">
        <v>46</v>
      </c>
      <c r="M86" s="85">
        <v>48.2</v>
      </c>
      <c r="N86" s="85">
        <v>38.9</v>
      </c>
      <c r="O86" s="85">
        <v>24.5</v>
      </c>
      <c r="P86" s="85">
        <v>21</v>
      </c>
      <c r="Q86" s="85">
        <v>14.4</v>
      </c>
      <c r="R86" s="85">
        <v>16.5</v>
      </c>
      <c r="S86" s="85">
        <v>19.2</v>
      </c>
      <c r="T86" s="85">
        <v>24.8</v>
      </c>
      <c r="U86" s="85">
        <v>30.2</v>
      </c>
      <c r="V86" s="85">
        <v>33.5</v>
      </c>
      <c r="W86" s="85">
        <v>37.1</v>
      </c>
      <c r="X86" s="85">
        <v>46</v>
      </c>
      <c r="Y86" s="85">
        <v>63.3</v>
      </c>
      <c r="Z86" s="85">
        <v>73.5</v>
      </c>
      <c r="AA86" s="125">
        <v>53.2</v>
      </c>
      <c r="AB86" s="125">
        <v>45</v>
      </c>
      <c r="AC86" s="125">
        <v>35.299999999999997</v>
      </c>
      <c r="AD86" s="125">
        <v>9</v>
      </c>
      <c r="AE86" s="125">
        <v>-5.3</v>
      </c>
      <c r="AF86" s="126">
        <v>-11</v>
      </c>
      <c r="AG86" s="127">
        <v>120</v>
      </c>
      <c r="AH86" s="52">
        <f>IF(ABS(MAX(B86:AF86))&gt;ABS(MIN(B86:AF86)),MAX(B86:AF86),MIN(B86:AF86))</f>
        <v>73.5</v>
      </c>
      <c r="AI86" s="121">
        <f>INDEX($B$9:$AF$9,1,MATCH(AH86,B86:AF86,0))</f>
        <v>0.8125</v>
      </c>
    </row>
    <row r="87" spans="1:37" ht="15.75" thickBot="1" x14ac:dyDescent="0.3">
      <c r="A87" s="124" t="s">
        <v>93</v>
      </c>
      <c r="B87" s="85">
        <v>35</v>
      </c>
      <c r="C87" s="85">
        <v>46</v>
      </c>
      <c r="D87" s="85">
        <v>58.1</v>
      </c>
      <c r="E87" s="85">
        <v>59.2</v>
      </c>
      <c r="F87" s="85">
        <v>61.9</v>
      </c>
      <c r="G87" s="85">
        <v>31.3</v>
      </c>
      <c r="H87" s="85">
        <v>40.5</v>
      </c>
      <c r="I87" s="85">
        <v>34.799999999999997</v>
      </c>
      <c r="J87" s="85">
        <v>33.6</v>
      </c>
      <c r="K87" s="85">
        <v>17</v>
      </c>
      <c r="L87" s="85">
        <v>18</v>
      </c>
      <c r="M87" s="85">
        <v>66.400000000000006</v>
      </c>
      <c r="N87" s="85">
        <v>23.9</v>
      </c>
      <c r="O87" s="85">
        <v>87.6</v>
      </c>
      <c r="P87" s="85">
        <v>77</v>
      </c>
      <c r="Q87" s="85">
        <v>84.8</v>
      </c>
      <c r="R87" s="85">
        <v>76</v>
      </c>
      <c r="S87" s="85">
        <v>81.3</v>
      </c>
      <c r="T87" s="85">
        <v>72</v>
      </c>
      <c r="U87" s="85">
        <v>39</v>
      </c>
      <c r="V87" s="85">
        <v>46</v>
      </c>
      <c r="W87" s="85">
        <v>59</v>
      </c>
      <c r="X87" s="85">
        <v>54</v>
      </c>
      <c r="Y87" s="85">
        <v>59</v>
      </c>
      <c r="Z87" s="85">
        <v>56.4</v>
      </c>
      <c r="AA87" s="125">
        <v>55.5</v>
      </c>
      <c r="AB87" s="125">
        <v>54</v>
      </c>
      <c r="AC87" s="125">
        <v>55.4</v>
      </c>
      <c r="AD87" s="125">
        <v>32.1</v>
      </c>
      <c r="AE87" s="125">
        <v>31.8</v>
      </c>
      <c r="AF87" s="126">
        <v>28.5</v>
      </c>
      <c r="AG87" s="127"/>
      <c r="AH87" s="52">
        <f>IF(ABS(MAX(B87:AF87))&gt;ABS(MIN(B87:AF87)),MAX(B87:AF87),MIN(B87:AF87))</f>
        <v>87.6</v>
      </c>
      <c r="AI87" s="121">
        <f>INDEX($B$9:$AF$9,1,MATCH(AH87,B87:AF87,0))</f>
        <v>0.45833333333333298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949.24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847.14</v>
      </c>
      <c r="U193" s="173">
        <f t="shared" si="37"/>
        <v>835.54000000000008</v>
      </c>
      <c r="V193" s="173">
        <f t="shared" si="37"/>
        <v>798.24</v>
      </c>
      <c r="W193" s="173">
        <f t="shared" si="37"/>
        <v>803.04</v>
      </c>
      <c r="X193" s="173">
        <f t="shared" si="37"/>
        <v>807.93999999999994</v>
      </c>
      <c r="Y193" s="173">
        <f t="shared" si="37"/>
        <v>822.33999999999992</v>
      </c>
      <c r="Z193" s="173">
        <f t="shared" si="37"/>
        <v>850.26</v>
      </c>
      <c r="AA193" s="173">
        <f t="shared" si="37"/>
        <v>868.43999999999994</v>
      </c>
      <c r="AB193" s="173">
        <f t="shared" si="37"/>
        <v>875.14</v>
      </c>
      <c r="AC193" s="173">
        <f t="shared" si="37"/>
        <v>886.83999999999992</v>
      </c>
      <c r="AD193" s="173">
        <f t="shared" si="37"/>
        <v>892.74</v>
      </c>
      <c r="AE193" s="173">
        <f t="shared" si="37"/>
        <v>949.24</v>
      </c>
      <c r="AF193" s="173">
        <f t="shared" si="37"/>
        <v>905.33999999999992</v>
      </c>
      <c r="AG193" s="173">
        <f t="shared" si="37"/>
        <v>933.74</v>
      </c>
      <c r="AH193" s="173">
        <f t="shared" si="37"/>
        <v>918.84</v>
      </c>
      <c r="AI193" s="173">
        <f t="shared" si="37"/>
        <v>900.71</v>
      </c>
      <c r="AJ193" s="173">
        <f t="shared" si="37"/>
        <v>930.84</v>
      </c>
      <c r="AK193" s="173">
        <f t="shared" si="37"/>
        <v>911.68</v>
      </c>
      <c r="AL193" s="173">
        <f t="shared" si="37"/>
        <v>920.17</v>
      </c>
      <c r="AM193" s="173">
        <f t="shared" si="37"/>
        <v>887.6400000000001</v>
      </c>
      <c r="AN193" s="173">
        <f t="shared" si="37"/>
        <v>882.44</v>
      </c>
      <c r="AO193" s="173">
        <f t="shared" si="37"/>
        <v>896.14</v>
      </c>
      <c r="AP193" s="173">
        <f t="shared" si="37"/>
        <v>936.54</v>
      </c>
      <c r="AQ193" s="173">
        <f t="shared" si="37"/>
        <v>1088.44</v>
      </c>
      <c r="AR193" s="173">
        <f t="shared" si="37"/>
        <v>1188.94</v>
      </c>
      <c r="AS193" s="173">
        <f t="shared" si="37"/>
        <v>1177.3899999999999</v>
      </c>
      <c r="AT193" s="173">
        <f t="shared" si="37"/>
        <v>1143.5400000000002</v>
      </c>
      <c r="AU193" s="173">
        <f t="shared" si="37"/>
        <v>1132.74</v>
      </c>
      <c r="AV193" s="173">
        <f t="shared" si="37"/>
        <v>1005.1400000000001</v>
      </c>
      <c r="AW193" s="173">
        <f t="shared" si="37"/>
        <v>950.04</v>
      </c>
      <c r="AX193" s="173">
        <f t="shared" si="37"/>
        <v>917.44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898" priority="145">
      <formula>S$9&gt;=20/24</formula>
    </cfRule>
    <cfRule type="expression" dxfId="5897" priority="146">
      <formula>AND(S$9&gt;=14/24,S$9&lt;20/24)</formula>
    </cfRule>
    <cfRule type="expression" dxfId="5896" priority="147">
      <formula>AND(S$9&gt;=8/24,S$9&lt;14/24)</formula>
    </cfRule>
    <cfRule type="expression" dxfId="5895" priority="148">
      <formula>S$9&lt;8/24</formula>
    </cfRule>
  </conditionalFormatting>
  <conditionalFormatting sqref="B8:AF10 AA70:AF70 B70:Q70 B47:AF47 B71:AF71 B48:K50 B72:Q72 C173:AF179 M36 L29:Q29 L49:T50 X34:Z35 AA48:AB51 R11:T11 B59:AF69 N35:Z36 M37:Z39 B51:Q58 U11:Z12 L31:Z34 B73:Z79 R52:Z58 AA53:AB58 L44:AF46 AD48:AF51 AA72:AF79">
    <cfRule type="expression" dxfId="5894" priority="141">
      <formula>B$9&gt;=20/24</formula>
    </cfRule>
    <cfRule type="expression" dxfId="5893" priority="142">
      <formula>AND(B$9&gt;=14/24,B$9&lt;20/24)</formula>
    </cfRule>
    <cfRule type="expression" dxfId="5892" priority="143">
      <formula>AND(B$9&gt;=8/24,B$9&lt;14/24)</formula>
    </cfRule>
    <cfRule type="expression" dxfId="5891" priority="144">
      <formula>B$9&lt;8/24</formula>
    </cfRule>
  </conditionalFormatting>
  <conditionalFormatting sqref="B171:AF171">
    <cfRule type="expression" dxfId="5890" priority="137">
      <formula>B$9&gt;=20/24</formula>
    </cfRule>
    <cfRule type="expression" dxfId="5889" priority="138">
      <formula>AND(B$9&gt;=14/24,B$9&lt;20/24)</formula>
    </cfRule>
    <cfRule type="expression" dxfId="5888" priority="139">
      <formula>AND(B$9&gt;=8/24,B$9&lt;14/24)</formula>
    </cfRule>
    <cfRule type="expression" dxfId="5887" priority="140">
      <formula>B$9&lt;8/24</formula>
    </cfRule>
  </conditionalFormatting>
  <conditionalFormatting sqref="AL4:AL6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5886" priority="132">
      <formula>L$9&gt;=20/24</formula>
    </cfRule>
    <cfRule type="expression" dxfId="5885" priority="133">
      <formula>AND(L$9&gt;=14/24,L$9&lt;20/24)</formula>
    </cfRule>
    <cfRule type="expression" dxfId="5884" priority="134">
      <formula>AND(L$9&gt;=8/24,L$9&lt;14/24)</formula>
    </cfRule>
    <cfRule type="expression" dxfId="5883" priority="135">
      <formula>L$9&lt;8/24</formula>
    </cfRule>
  </conditionalFormatting>
  <conditionalFormatting sqref="L35:M35">
    <cfRule type="expression" dxfId="5882" priority="128">
      <formula>L$9&gt;=20/24</formula>
    </cfRule>
    <cfRule type="expression" dxfId="5881" priority="129">
      <formula>AND(L$9&gt;=14/24,L$9&lt;20/24)</formula>
    </cfRule>
    <cfRule type="expression" dxfId="5880" priority="130">
      <formula>AND(L$9&gt;=8/24,L$9&lt;14/24)</formula>
    </cfRule>
    <cfRule type="expression" dxfId="5879" priority="131">
      <formula>L$9&lt;8/24</formula>
    </cfRule>
  </conditionalFormatting>
  <conditionalFormatting sqref="U13:Z13">
    <cfRule type="expression" dxfId="5878" priority="124">
      <formula>U$9&gt;=20/24</formula>
    </cfRule>
    <cfRule type="expression" dxfId="5877" priority="125">
      <formula>AND(U$9&gt;=14/24,U$9&lt;20/24)</formula>
    </cfRule>
    <cfRule type="expression" dxfId="5876" priority="126">
      <formula>AND(U$9&gt;=8/24,U$9&lt;14/24)</formula>
    </cfRule>
    <cfRule type="expression" dxfId="5875" priority="127">
      <formula>U$9&lt;8/24</formula>
    </cfRule>
  </conditionalFormatting>
  <conditionalFormatting sqref="R31:Z31">
    <cfRule type="expression" dxfId="5874" priority="120">
      <formula>R$9&gt;=20/24</formula>
    </cfRule>
    <cfRule type="expression" dxfId="5873" priority="121">
      <formula>AND(R$9&gt;=14/24,R$9&lt;20/24)</formula>
    </cfRule>
    <cfRule type="expression" dxfId="5872" priority="122">
      <formula>AND(R$9&gt;=8/24,R$9&lt;14/24)</formula>
    </cfRule>
    <cfRule type="expression" dxfId="5871" priority="123">
      <formula>R$9&lt;8/24</formula>
    </cfRule>
  </conditionalFormatting>
  <conditionalFormatting sqref="R48:Z48">
    <cfRule type="expression" dxfId="5870" priority="116">
      <formula>R$9&gt;=20/24</formula>
    </cfRule>
    <cfRule type="expression" dxfId="5869" priority="117">
      <formula>AND(R$9&gt;=14/24,R$9&lt;20/24)</formula>
    </cfRule>
    <cfRule type="expression" dxfId="5868" priority="118">
      <formula>AND(R$9&gt;=8/24,R$9&lt;14/24)</formula>
    </cfRule>
    <cfRule type="expression" dxfId="5867" priority="119">
      <formula>R$9&lt;8/24</formula>
    </cfRule>
  </conditionalFormatting>
  <conditionalFormatting sqref="R70:Z70">
    <cfRule type="expression" dxfId="5866" priority="112">
      <formula>R$9&gt;=20/24</formula>
    </cfRule>
    <cfRule type="expression" dxfId="5865" priority="113">
      <formula>AND(R$9&gt;=14/24,R$9&lt;20/24)</formula>
    </cfRule>
    <cfRule type="expression" dxfId="5864" priority="114">
      <formula>AND(R$9&gt;=8/24,R$9&lt;14/24)</formula>
    </cfRule>
    <cfRule type="expression" dxfId="5863" priority="115">
      <formula>R$9&lt;8/24</formula>
    </cfRule>
  </conditionalFormatting>
  <conditionalFormatting sqref="R72:Z72">
    <cfRule type="expression" dxfId="5862" priority="108">
      <formula>R$9&gt;=20/24</formula>
    </cfRule>
    <cfRule type="expression" dxfId="5861" priority="109">
      <formula>AND(R$9&gt;=14/24,R$9&lt;20/24)</formula>
    </cfRule>
    <cfRule type="expression" dxfId="5860" priority="110">
      <formula>AND(R$9&gt;=8/24,R$9&lt;14/24)</formula>
    </cfRule>
    <cfRule type="expression" dxfId="5859" priority="111">
      <formula>R$9&lt;8/24</formula>
    </cfRule>
  </conditionalFormatting>
  <conditionalFormatting sqref="L11:Z27 AA14:AF27">
    <cfRule type="expression" dxfId="5858" priority="104">
      <formula>L$9&gt;=20/24</formula>
    </cfRule>
    <cfRule type="expression" dxfId="5857" priority="105">
      <formula>AND(L$9&gt;=14/24,L$9&lt;20/24)</formula>
    </cfRule>
    <cfRule type="expression" dxfId="5856" priority="106">
      <formula>AND(L$9&gt;=8/24,L$9&lt;14/24)</formula>
    </cfRule>
    <cfRule type="expression" dxfId="5855" priority="107">
      <formula>L$9&lt;8/24</formula>
    </cfRule>
  </conditionalFormatting>
  <conditionalFormatting sqref="L40:Z40">
    <cfRule type="expression" dxfId="5854" priority="100">
      <formula>L$9&gt;=20/24</formula>
    </cfRule>
    <cfRule type="expression" dxfId="5853" priority="101">
      <formula>AND(L$9&gt;=14/24,L$9&lt;20/24)</formula>
    </cfRule>
    <cfRule type="expression" dxfId="5852" priority="102">
      <formula>AND(L$9&gt;=8/24,L$9&lt;14/24)</formula>
    </cfRule>
    <cfRule type="expression" dxfId="5851" priority="103">
      <formula>L$9&lt;8/24</formula>
    </cfRule>
  </conditionalFormatting>
  <conditionalFormatting sqref="L41:Z41">
    <cfRule type="expression" dxfId="5850" priority="96">
      <formula>L$9&gt;=20/24</formula>
    </cfRule>
    <cfRule type="expression" dxfId="5849" priority="97">
      <formula>AND(L$9&gt;=14/24,L$9&lt;20/24)</formula>
    </cfRule>
    <cfRule type="expression" dxfId="5848" priority="98">
      <formula>AND(L$9&gt;=8/24,L$9&lt;14/24)</formula>
    </cfRule>
    <cfRule type="expression" dxfId="5847" priority="99">
      <formula>L$9&lt;8/24</formula>
    </cfRule>
  </conditionalFormatting>
  <conditionalFormatting sqref="L36:L39">
    <cfRule type="expression" dxfId="5846" priority="92">
      <formula>L$9&gt;=20/24</formula>
    </cfRule>
    <cfRule type="expression" dxfId="5845" priority="93">
      <formula>AND(L$9&gt;=14/24,L$9&lt;20/24)</formula>
    </cfRule>
    <cfRule type="expression" dxfId="5844" priority="94">
      <formula>AND(L$9&gt;=8/24,L$9&lt;14/24)</formula>
    </cfRule>
    <cfRule type="expression" dxfId="5843" priority="95">
      <formula>L$9&lt;8/24</formula>
    </cfRule>
  </conditionalFormatting>
  <conditionalFormatting sqref="R29:AF29">
    <cfRule type="expression" dxfId="5842" priority="88">
      <formula>R$9&gt;=20/24</formula>
    </cfRule>
    <cfRule type="expression" dxfId="5841" priority="89">
      <formula>AND(R$9&gt;=14/24,R$9&lt;20/24)</formula>
    </cfRule>
    <cfRule type="expression" dxfId="5840" priority="90">
      <formula>AND(R$9&gt;=8/24,R$9&lt;14/24)</formula>
    </cfRule>
    <cfRule type="expression" dxfId="5839" priority="91">
      <formula>R$9&lt;8/24</formula>
    </cfRule>
  </conditionalFormatting>
  <conditionalFormatting sqref="R12:T27 U14:AF27">
    <cfRule type="expression" dxfId="5838" priority="84">
      <formula>R$9&gt;=20/24</formula>
    </cfRule>
    <cfRule type="expression" dxfId="5837" priority="85">
      <formula>AND(R$9&gt;=14/24,R$9&lt;20/24)</formula>
    </cfRule>
    <cfRule type="expression" dxfId="5836" priority="86">
      <formula>AND(R$9&gt;=8/24,R$9&lt;14/24)</formula>
    </cfRule>
    <cfRule type="expression" dxfId="5835" priority="87">
      <formula>R$9&lt;8/24</formula>
    </cfRule>
  </conditionalFormatting>
  <conditionalFormatting sqref="R34:R39 S35:U39 V36:Z39">
    <cfRule type="expression" dxfId="5834" priority="80">
      <formula>R$9&gt;=20/24</formula>
    </cfRule>
    <cfRule type="expression" dxfId="5833" priority="81">
      <formula>AND(R$9&gt;=14/24,R$9&lt;20/24)</formula>
    </cfRule>
    <cfRule type="expression" dxfId="5832" priority="82">
      <formula>AND(R$9&gt;=8/24,R$9&lt;14/24)</formula>
    </cfRule>
    <cfRule type="expression" dxfId="5831" priority="83">
      <formula>R$9&lt;8/24</formula>
    </cfRule>
  </conditionalFormatting>
  <conditionalFormatting sqref="R40:Z40">
    <cfRule type="expression" dxfId="5830" priority="76">
      <formula>R$9&gt;=20/24</formula>
    </cfRule>
    <cfRule type="expression" dxfId="5829" priority="77">
      <formula>AND(R$9&gt;=14/24,R$9&lt;20/24)</formula>
    </cfRule>
    <cfRule type="expression" dxfId="5828" priority="78">
      <formula>AND(R$9&gt;=8/24,R$9&lt;14/24)</formula>
    </cfRule>
    <cfRule type="expression" dxfId="5827" priority="79">
      <formula>R$9&lt;8/24</formula>
    </cfRule>
  </conditionalFormatting>
  <conditionalFormatting sqref="R41:Z41">
    <cfRule type="expression" dxfId="5826" priority="72">
      <formula>R$9&gt;=20/24</formula>
    </cfRule>
    <cfRule type="expression" dxfId="5825" priority="73">
      <formula>AND(R$9&gt;=14/24,R$9&lt;20/24)</formula>
    </cfRule>
    <cfRule type="expression" dxfId="5824" priority="74">
      <formula>AND(R$9&gt;=8/24,R$9&lt;14/24)</formula>
    </cfRule>
    <cfRule type="expression" dxfId="5823" priority="75">
      <formula>R$9&lt;8/24</formula>
    </cfRule>
  </conditionalFormatting>
  <conditionalFormatting sqref="AA52:AB52 R51:Z51 AD52:AF58">
    <cfRule type="expression" dxfId="5822" priority="68">
      <formula>R$9&gt;=20/24</formula>
    </cfRule>
    <cfRule type="expression" dxfId="5821" priority="69">
      <formula>AND(R$9&gt;=14/24,R$9&lt;20/24)</formula>
    </cfRule>
    <cfRule type="expression" dxfId="5820" priority="70">
      <formula>AND(R$9&gt;=8/24,R$9&lt;14/24)</formula>
    </cfRule>
    <cfRule type="expression" dxfId="5819" priority="71">
      <formula>R$9&lt;8/24</formula>
    </cfRule>
  </conditionalFormatting>
  <conditionalFormatting sqref="AA83:AB86 AD83:AF83 AD85:AF86 AE84:AF84">
    <cfRule type="expression" dxfId="5818" priority="64">
      <formula>AA$9&gt;=20/24</formula>
    </cfRule>
    <cfRule type="expression" dxfId="5817" priority="65">
      <formula>AND(AA$9&gt;=14/24,AA$9&lt;20/24)</formula>
    </cfRule>
    <cfRule type="expression" dxfId="5816" priority="66">
      <formula>AND(AA$9&gt;=8/24,AA$9&lt;14/24)</formula>
    </cfRule>
    <cfRule type="expression" dxfId="5815" priority="67">
      <formula>AA$9&lt;8/24</formula>
    </cfRule>
  </conditionalFormatting>
  <conditionalFormatting sqref="B83:K86">
    <cfRule type="expression" dxfId="5814" priority="56">
      <formula>B$9&gt;=20/24</formula>
    </cfRule>
    <cfRule type="expression" dxfId="5813" priority="57">
      <formula>AND(B$9&gt;=14/24,B$9&lt;20/24)</formula>
    </cfRule>
    <cfRule type="expression" dxfId="5812" priority="58">
      <formula>AND(B$9&gt;=8/24,B$9&lt;14/24)</formula>
    </cfRule>
    <cfRule type="expression" dxfId="5811" priority="59">
      <formula>B$9&lt;8/24</formula>
    </cfRule>
  </conditionalFormatting>
  <conditionalFormatting sqref="L83:Q86">
    <cfRule type="expression" dxfId="5810" priority="52">
      <formula>L$9&gt;=20/24</formula>
    </cfRule>
    <cfRule type="expression" dxfId="5809" priority="53">
      <formula>AND(L$9&gt;=14/24,L$9&lt;20/24)</formula>
    </cfRule>
    <cfRule type="expression" dxfId="5808" priority="54">
      <formula>AND(L$9&gt;=8/24,L$9&lt;14/24)</formula>
    </cfRule>
    <cfRule type="expression" dxfId="5807" priority="55">
      <formula>L$9&lt;8/24</formula>
    </cfRule>
  </conditionalFormatting>
  <conditionalFormatting sqref="R83:Z86">
    <cfRule type="expression" dxfId="5806" priority="48">
      <formula>R$9&gt;=20/24</formula>
    </cfRule>
    <cfRule type="expression" dxfId="5805" priority="49">
      <formula>AND(R$9&gt;=14/24,R$9&lt;20/24)</formula>
    </cfRule>
    <cfRule type="expression" dxfId="5804" priority="50">
      <formula>AND(R$9&gt;=8/24,R$9&lt;14/24)</formula>
    </cfRule>
    <cfRule type="expression" dxfId="5803" priority="51">
      <formula>R$9&lt;8/24</formula>
    </cfRule>
  </conditionalFormatting>
  <conditionalFormatting sqref="AG42 B11:AF47">
    <cfRule type="expression" dxfId="5802" priority="47">
      <formula>B11&gt;$AG11</formula>
    </cfRule>
  </conditionalFormatting>
  <conditionalFormatting sqref="T192:AX192">
    <cfRule type="expression" dxfId="5801" priority="43">
      <formula>T$9&gt;=20/24</formula>
    </cfRule>
    <cfRule type="expression" dxfId="5800" priority="44">
      <formula>AND(T$9&gt;=14/24,T$9&lt;20/24)</formula>
    </cfRule>
    <cfRule type="expression" dxfId="5799" priority="45">
      <formula>AND(T$9&gt;=8/24,T$9&lt;14/24)</formula>
    </cfRule>
    <cfRule type="expression" dxfId="5798" priority="46">
      <formula>T$9&lt;8/24</formula>
    </cfRule>
  </conditionalFormatting>
  <conditionalFormatting sqref="A11:A86 A88:A180">
    <cfRule type="expression" dxfId="5797" priority="42">
      <formula>$AH11=0</formula>
    </cfRule>
  </conditionalFormatting>
  <conditionalFormatting sqref="AA87:AB87 AD87:AF87">
    <cfRule type="expression" dxfId="5796" priority="38">
      <formula>AA$9&gt;=20/24</formula>
    </cfRule>
    <cfRule type="expression" dxfId="5795" priority="39">
      <formula>AND(AA$9&gt;=14/24,AA$9&lt;20/24)</formula>
    </cfRule>
    <cfRule type="expression" dxfId="5794" priority="40">
      <formula>AND(AA$9&gt;=8/24,AA$9&lt;14/24)</formula>
    </cfRule>
    <cfRule type="expression" dxfId="5793" priority="41">
      <formula>AA$9&lt;8/24</formula>
    </cfRule>
  </conditionalFormatting>
  <conditionalFormatting sqref="B87:K87">
    <cfRule type="expression" dxfId="5792" priority="34">
      <formula>B$9&gt;=20/24</formula>
    </cfRule>
    <cfRule type="expression" dxfId="5791" priority="35">
      <formula>AND(B$9&gt;=14/24,B$9&lt;20/24)</formula>
    </cfRule>
    <cfRule type="expression" dxfId="5790" priority="36">
      <formula>AND(B$9&gt;=8/24,B$9&lt;14/24)</formula>
    </cfRule>
    <cfRule type="expression" dxfId="5789" priority="37">
      <formula>B$9&lt;8/24</formula>
    </cfRule>
  </conditionalFormatting>
  <conditionalFormatting sqref="L87:Q87">
    <cfRule type="expression" dxfId="5788" priority="30">
      <formula>L$9&gt;=20/24</formula>
    </cfRule>
    <cfRule type="expression" dxfId="5787" priority="31">
      <formula>AND(L$9&gt;=14/24,L$9&lt;20/24)</formula>
    </cfRule>
    <cfRule type="expression" dxfId="5786" priority="32">
      <formula>AND(L$9&gt;=8/24,L$9&lt;14/24)</formula>
    </cfRule>
    <cfRule type="expression" dxfId="5785" priority="33">
      <formula>L$9&lt;8/24</formula>
    </cfRule>
  </conditionalFormatting>
  <conditionalFormatting sqref="R87:Z87">
    <cfRule type="expression" dxfId="5784" priority="26">
      <formula>R$9&gt;=20/24</formula>
    </cfRule>
    <cfRule type="expression" dxfId="5783" priority="27">
      <formula>AND(R$9&gt;=14/24,R$9&lt;20/24)</formula>
    </cfRule>
    <cfRule type="expression" dxfId="5782" priority="28">
      <formula>AND(R$9&gt;=8/24,R$9&lt;14/24)</formula>
    </cfRule>
    <cfRule type="expression" dxfId="5781" priority="29">
      <formula>R$9&lt;8/24</formula>
    </cfRule>
  </conditionalFormatting>
  <conditionalFormatting sqref="A87">
    <cfRule type="expression" dxfId="5780" priority="25">
      <formula>$AH87=0</formula>
    </cfRule>
  </conditionalFormatting>
  <conditionalFormatting sqref="B28:AF28">
    <cfRule type="expression" dxfId="5779" priority="21">
      <formula>B$9&gt;=20/24</formula>
    </cfRule>
    <cfRule type="expression" dxfId="5778" priority="22">
      <formula>AND(B$9&gt;=14/24,B$9&lt;20/24)</formula>
    </cfRule>
    <cfRule type="expression" dxfId="5777" priority="23">
      <formula>AND(B$9&gt;=8/24,B$9&lt;14/24)</formula>
    </cfRule>
    <cfRule type="expression" dxfId="5776" priority="24">
      <formula>B$9&lt;8/24</formula>
    </cfRule>
  </conditionalFormatting>
  <conditionalFormatting sqref="R28:AF28">
    <cfRule type="expression" dxfId="5775" priority="17">
      <formula>R$9&gt;=20/24</formula>
    </cfRule>
    <cfRule type="expression" dxfId="5774" priority="18">
      <formula>AND(R$9&gt;=14/24,R$9&lt;20/24)</formula>
    </cfRule>
    <cfRule type="expression" dxfId="5773" priority="19">
      <formula>AND(R$9&gt;=8/24,R$9&lt;14/24)</formula>
    </cfRule>
    <cfRule type="expression" dxfId="5772" priority="20">
      <formula>R$9&lt;8/24</formula>
    </cfRule>
  </conditionalFormatting>
  <conditionalFormatting sqref="AC48:AC51 AC53:AC58">
    <cfRule type="expression" dxfId="5771" priority="13">
      <formula>AC$9&gt;=20/24</formula>
    </cfRule>
    <cfRule type="expression" dxfId="5770" priority="14">
      <formula>AND(AC$9&gt;=14/24,AC$9&lt;20/24)</formula>
    </cfRule>
    <cfRule type="expression" dxfId="5769" priority="15">
      <formula>AND(AC$9&gt;=8/24,AC$9&lt;14/24)</formula>
    </cfRule>
    <cfRule type="expression" dxfId="5768" priority="16">
      <formula>AC$9&lt;8/24</formula>
    </cfRule>
  </conditionalFormatting>
  <conditionalFormatting sqref="AC52">
    <cfRule type="expression" dxfId="5767" priority="9">
      <formula>AC$9&gt;=20/24</formula>
    </cfRule>
    <cfRule type="expression" dxfId="5766" priority="10">
      <formula>AND(AC$9&gt;=14/24,AC$9&lt;20/24)</formula>
    </cfRule>
    <cfRule type="expression" dxfId="5765" priority="11">
      <formula>AND(AC$9&gt;=8/24,AC$9&lt;14/24)</formula>
    </cfRule>
    <cfRule type="expression" dxfId="5764" priority="12">
      <formula>AC$9&lt;8/24</formula>
    </cfRule>
  </conditionalFormatting>
  <conditionalFormatting sqref="AC83:AC86 AD84">
    <cfRule type="expression" dxfId="5763" priority="5">
      <formula>AC$9&gt;=20/24</formula>
    </cfRule>
    <cfRule type="expression" dxfId="5762" priority="6">
      <formula>AND(AC$9&gt;=14/24,AC$9&lt;20/24)</formula>
    </cfRule>
    <cfRule type="expression" dxfId="5761" priority="7">
      <formula>AND(AC$9&gt;=8/24,AC$9&lt;14/24)</formula>
    </cfRule>
    <cfRule type="expression" dxfId="5760" priority="8">
      <formula>AC$9&lt;8/24</formula>
    </cfRule>
  </conditionalFormatting>
  <conditionalFormatting sqref="AC87">
    <cfRule type="expression" dxfId="5759" priority="1">
      <formula>AC$9&gt;=20/24</formula>
    </cfRule>
    <cfRule type="expression" dxfId="5758" priority="2">
      <formula>AND(AC$9&gt;=14/24,AC$9&lt;20/24)</formula>
    </cfRule>
    <cfRule type="expression" dxfId="5757" priority="3">
      <formula>AND(AC$9&gt;=8/24,AC$9&lt;14/24)</formula>
    </cfRule>
    <cfRule type="expression" dxfId="5756" priority="4">
      <formula>AC$9&lt;8/24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L9" sqref="L9:L1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</v>
      </c>
      <c r="D4" s="324">
        <f ca="1">IFERROR(DATE(2021,5,14)+C4,"")</f>
        <v>44332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425.47</v>
      </c>
      <c r="C5" s="32">
        <f t="shared" ref="C5:AF5" si="0">C59</f>
        <v>427.2</v>
      </c>
      <c r="D5" s="32">
        <f t="shared" si="0"/>
        <v>432.3</v>
      </c>
      <c r="E5" s="32">
        <f t="shared" si="0"/>
        <v>416</v>
      </c>
      <c r="F5" s="32">
        <f t="shared" si="0"/>
        <v>421.2</v>
      </c>
      <c r="G5" s="32">
        <f t="shared" si="0"/>
        <v>418.6</v>
      </c>
      <c r="H5" s="32">
        <f t="shared" si="0"/>
        <v>438.5</v>
      </c>
      <c r="I5" s="32">
        <f t="shared" si="0"/>
        <v>498.46</v>
      </c>
      <c r="J5" s="32">
        <f t="shared" si="0"/>
        <v>542.05999999999995</v>
      </c>
      <c r="K5" s="32">
        <f t="shared" si="0"/>
        <v>553.78</v>
      </c>
      <c r="L5" s="32">
        <f t="shared" si="0"/>
        <v>570.4</v>
      </c>
      <c r="M5" s="32">
        <f t="shared" si="0"/>
        <v>573.5</v>
      </c>
      <c r="N5" s="32">
        <f t="shared" si="0"/>
        <v>581.70000000000005</v>
      </c>
      <c r="O5" s="32">
        <f t="shared" si="0"/>
        <v>512</v>
      </c>
      <c r="P5" s="32">
        <f t="shared" si="0"/>
        <v>482.78999999999996</v>
      </c>
      <c r="Q5" s="32">
        <f t="shared" si="0"/>
        <v>513.6</v>
      </c>
      <c r="R5" s="32">
        <f t="shared" si="0"/>
        <v>495.8</v>
      </c>
      <c r="S5" s="32">
        <f t="shared" si="0"/>
        <v>537.79999999999995</v>
      </c>
      <c r="T5" s="32">
        <f t="shared" si="0"/>
        <v>514</v>
      </c>
      <c r="U5" s="32">
        <f t="shared" si="0"/>
        <v>504.59999999999997</v>
      </c>
      <c r="V5" s="32">
        <f t="shared" si="0"/>
        <v>511.09</v>
      </c>
      <c r="W5" s="32">
        <f t="shared" si="0"/>
        <v>488.96</v>
      </c>
      <c r="X5" s="32">
        <f t="shared" si="0"/>
        <v>567.42999999999995</v>
      </c>
      <c r="Y5" s="32">
        <f t="shared" si="0"/>
        <v>569.4</v>
      </c>
      <c r="Z5" s="32">
        <f t="shared" si="0"/>
        <v>621</v>
      </c>
      <c r="AA5" s="32">
        <f t="shared" si="0"/>
        <v>609.29999999999995</v>
      </c>
      <c r="AB5" s="32">
        <f t="shared" si="0"/>
        <v>613.20000000000005</v>
      </c>
      <c r="AC5" s="32">
        <f t="shared" si="0"/>
        <v>591.29999999999995</v>
      </c>
      <c r="AD5" s="32">
        <f t="shared" si="0"/>
        <v>554.5</v>
      </c>
      <c r="AE5" s="32">
        <f t="shared" si="0"/>
        <v>475</v>
      </c>
      <c r="AF5" s="32">
        <f t="shared" si="0"/>
        <v>458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33"/>
      <c r="E6" s="33"/>
      <c r="F6" s="33"/>
      <c r="G6" s="33"/>
      <c r="H6" s="33"/>
      <c r="I6" s="3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1033MW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Load=828</v>
      </c>
      <c r="B7" s="36">
        <f t="shared" ref="B7:AF7" si="1">B65</f>
        <v>889.21</v>
      </c>
      <c r="C7" s="36">
        <f t="shared" si="1"/>
        <v>860.54</v>
      </c>
      <c r="D7" s="36">
        <f t="shared" si="1"/>
        <v>852.74</v>
      </c>
      <c r="E7" s="36">
        <f t="shared" si="1"/>
        <v>828.24</v>
      </c>
      <c r="F7" s="36">
        <f t="shared" si="1"/>
        <v>835.14</v>
      </c>
      <c r="G7" s="36">
        <f t="shared" si="1"/>
        <v>830.74</v>
      </c>
      <c r="H7" s="36">
        <f t="shared" si="1"/>
        <v>877.94</v>
      </c>
      <c r="I7" s="36">
        <f t="shared" si="1"/>
        <v>910.9</v>
      </c>
      <c r="J7" s="36">
        <f t="shared" si="1"/>
        <v>950.59999999999991</v>
      </c>
      <c r="K7" s="36">
        <f t="shared" si="1"/>
        <v>976.81999999999994</v>
      </c>
      <c r="L7" s="36">
        <f>L65</f>
        <v>1016.12</v>
      </c>
      <c r="M7" s="36">
        <f t="shared" si="1"/>
        <v>1033.3399999999999</v>
      </c>
      <c r="N7" s="36">
        <f t="shared" si="1"/>
        <v>1071.44</v>
      </c>
      <c r="O7" s="36">
        <f t="shared" si="1"/>
        <v>1071.3400000000001</v>
      </c>
      <c r="P7" s="36">
        <f t="shared" si="1"/>
        <v>1046.03</v>
      </c>
      <c r="Q7" s="36">
        <f t="shared" si="1"/>
        <v>1059.74</v>
      </c>
      <c r="R7" s="36">
        <f t="shared" si="1"/>
        <v>1042.04</v>
      </c>
      <c r="S7" s="36">
        <f t="shared" si="1"/>
        <v>1055.3400000000001</v>
      </c>
      <c r="T7" s="36">
        <f t="shared" si="1"/>
        <v>1020.74</v>
      </c>
      <c r="U7" s="36">
        <f t="shared" si="1"/>
        <v>1012.14</v>
      </c>
      <c r="V7" s="36">
        <f t="shared" si="1"/>
        <v>996.7299999999999</v>
      </c>
      <c r="W7" s="36">
        <f t="shared" si="1"/>
        <v>981.7</v>
      </c>
      <c r="X7" s="36">
        <f t="shared" si="1"/>
        <v>1057.67</v>
      </c>
      <c r="Y7" s="36">
        <f t="shared" si="1"/>
        <v>1132.1399999999999</v>
      </c>
      <c r="Z7" s="36">
        <f t="shared" si="1"/>
        <v>1259.6399999999999</v>
      </c>
      <c r="AA7" s="36">
        <f t="shared" si="1"/>
        <v>1246.54</v>
      </c>
      <c r="AB7" s="36">
        <f t="shared" si="1"/>
        <v>1235.74</v>
      </c>
      <c r="AC7" s="36">
        <f t="shared" si="1"/>
        <v>1188.04</v>
      </c>
      <c r="AD7" s="36">
        <f t="shared" si="1"/>
        <v>1097.44</v>
      </c>
      <c r="AE7" s="36">
        <f t="shared" si="1"/>
        <v>1001.1400000000001</v>
      </c>
      <c r="AF7" s="36">
        <f t="shared" si="1"/>
        <v>963.94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24.3</v>
      </c>
      <c r="C11" s="48">
        <v>24</v>
      </c>
      <c r="D11" s="48">
        <v>24</v>
      </c>
      <c r="E11" s="48">
        <v>24</v>
      </c>
      <c r="F11" s="48">
        <v>24</v>
      </c>
      <c r="G11" s="48">
        <v>25.7</v>
      </c>
      <c r="H11" s="48">
        <v>25.1</v>
      </c>
      <c r="I11" s="48">
        <v>24.9</v>
      </c>
      <c r="J11" s="48">
        <v>25.4</v>
      </c>
      <c r="K11" s="48">
        <v>25.9</v>
      </c>
      <c r="L11" s="49">
        <v>26.58</v>
      </c>
      <c r="M11" s="49">
        <v>25.1</v>
      </c>
      <c r="N11" s="49">
        <v>26.2</v>
      </c>
      <c r="O11" s="49">
        <v>25.1</v>
      </c>
      <c r="P11" s="49">
        <v>26.2</v>
      </c>
      <c r="Q11" s="49">
        <v>25.2</v>
      </c>
      <c r="R11" s="50">
        <v>23.6</v>
      </c>
      <c r="S11" s="50">
        <v>24.3</v>
      </c>
      <c r="T11" s="50">
        <v>23.6</v>
      </c>
      <c r="U11" s="50">
        <v>25.2</v>
      </c>
      <c r="V11" s="50">
        <v>24.6</v>
      </c>
      <c r="W11" s="50">
        <v>24.3</v>
      </c>
      <c r="X11" s="50">
        <v>22.9</v>
      </c>
      <c r="Y11" s="50">
        <v>22.3</v>
      </c>
      <c r="Z11" s="50">
        <v>24.1</v>
      </c>
      <c r="AA11" s="48">
        <v>21</v>
      </c>
      <c r="AB11" s="48">
        <v>21.8</v>
      </c>
      <c r="AC11" s="48">
        <v>24.6</v>
      </c>
      <c r="AD11" s="48">
        <v>25.2</v>
      </c>
      <c r="AE11" s="48">
        <v>24.1</v>
      </c>
      <c r="AF11" s="48">
        <v>23.2</v>
      </c>
      <c r="AG11" s="51">
        <v>60</v>
      </c>
      <c r="AH11" s="52">
        <f>MAX(B11:AF11)</f>
        <v>26.58</v>
      </c>
      <c r="AI11" s="53">
        <f>MIN(B11:AF11)</f>
        <v>21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33.6</v>
      </c>
      <c r="C12" s="56">
        <v>34</v>
      </c>
      <c r="D12" s="56">
        <v>36</v>
      </c>
      <c r="E12" s="56">
        <v>38</v>
      </c>
      <c r="F12" s="56">
        <v>37.799999999999997</v>
      </c>
      <c r="G12" s="56">
        <v>37.799999999999997</v>
      </c>
      <c r="H12" s="56">
        <v>37.9</v>
      </c>
      <c r="I12" s="56">
        <v>38.5</v>
      </c>
      <c r="J12" s="56">
        <v>37.700000000000003</v>
      </c>
      <c r="K12" s="56">
        <v>39</v>
      </c>
      <c r="L12" s="49">
        <v>38.9</v>
      </c>
      <c r="M12" s="49">
        <v>40</v>
      </c>
      <c r="N12" s="49">
        <v>40.6</v>
      </c>
      <c r="O12" s="49">
        <v>40.1</v>
      </c>
      <c r="P12" s="49">
        <v>39.700000000000003</v>
      </c>
      <c r="Q12" s="49">
        <v>38.700000000000003</v>
      </c>
      <c r="R12" s="49">
        <v>39</v>
      </c>
      <c r="S12" s="49">
        <v>38.700000000000003</v>
      </c>
      <c r="T12" s="49">
        <v>39</v>
      </c>
      <c r="U12" s="49">
        <v>38.6</v>
      </c>
      <c r="V12" s="49">
        <v>34.1</v>
      </c>
      <c r="W12" s="49">
        <v>34.5</v>
      </c>
      <c r="X12" s="49">
        <v>34.299999999999997</v>
      </c>
      <c r="Y12" s="49">
        <v>34.5</v>
      </c>
      <c r="Z12" s="49">
        <v>34.700000000000003</v>
      </c>
      <c r="AA12" s="56">
        <v>34.5</v>
      </c>
      <c r="AB12" s="56">
        <v>34.700000000000003</v>
      </c>
      <c r="AC12" s="56">
        <v>34.6</v>
      </c>
      <c r="AD12" s="56">
        <v>34.700000000000003</v>
      </c>
      <c r="AE12" s="56">
        <v>35</v>
      </c>
      <c r="AF12" s="56">
        <v>34.700000000000003</v>
      </c>
      <c r="AG12" s="57">
        <v>50</v>
      </c>
      <c r="AH12" s="52">
        <f t="shared" ref="AH12:AH77" si="2">MAX(B12:AF12)</f>
        <v>40.6</v>
      </c>
      <c r="AI12" s="53">
        <f t="shared" ref="AI12:AI77" si="3">MIN(B12:AF12)</f>
        <v>33.6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17.100000000000001</v>
      </c>
      <c r="C13" s="56">
        <v>18.600000000000001</v>
      </c>
      <c r="D13" s="56">
        <v>16.600000000000001</v>
      </c>
      <c r="E13" s="56">
        <v>17</v>
      </c>
      <c r="F13" s="56">
        <v>17</v>
      </c>
      <c r="G13" s="56">
        <v>17.100000000000001</v>
      </c>
      <c r="H13" s="56">
        <v>17</v>
      </c>
      <c r="I13" s="56">
        <v>17.100000000000001</v>
      </c>
      <c r="J13" s="56">
        <v>17.100000000000001</v>
      </c>
      <c r="K13" s="56">
        <v>17.100000000000001</v>
      </c>
      <c r="L13" s="49">
        <v>17.100000000000001</v>
      </c>
      <c r="M13" s="49">
        <v>17</v>
      </c>
      <c r="N13" s="49">
        <v>17.100000000000001</v>
      </c>
      <c r="O13" s="49">
        <v>17.100000000000001</v>
      </c>
      <c r="P13" s="49">
        <v>17.100000000000001</v>
      </c>
      <c r="Q13" s="49">
        <v>17</v>
      </c>
      <c r="R13" s="49">
        <v>16.3</v>
      </c>
      <c r="S13" s="49">
        <v>16.3</v>
      </c>
      <c r="T13" s="49">
        <v>16.3</v>
      </c>
      <c r="U13" s="49">
        <v>17.2</v>
      </c>
      <c r="V13" s="49">
        <v>17</v>
      </c>
      <c r="W13" s="49">
        <v>17</v>
      </c>
      <c r="X13" s="49">
        <v>17</v>
      </c>
      <c r="Y13" s="49">
        <v>17</v>
      </c>
      <c r="Z13" s="49">
        <v>16.899999999999999</v>
      </c>
      <c r="AA13" s="56">
        <v>16.2</v>
      </c>
      <c r="AB13" s="56">
        <v>16.2</v>
      </c>
      <c r="AC13" s="56">
        <v>18</v>
      </c>
      <c r="AD13" s="56">
        <v>18</v>
      </c>
      <c r="AE13" s="56">
        <v>17.600000000000001</v>
      </c>
      <c r="AF13" s="56">
        <v>19.3</v>
      </c>
      <c r="AG13" s="59">
        <v>45</v>
      </c>
      <c r="AH13" s="52">
        <f t="shared" si="2"/>
        <v>19.3</v>
      </c>
      <c r="AI13" s="53">
        <f t="shared" si="3"/>
        <v>16.2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49">
        <v>14</v>
      </c>
      <c r="C14" s="49">
        <v>14</v>
      </c>
      <c r="D14" s="49">
        <v>14</v>
      </c>
      <c r="E14" s="49">
        <v>14</v>
      </c>
      <c r="F14" s="49">
        <v>14</v>
      </c>
      <c r="G14" s="49">
        <v>14</v>
      </c>
      <c r="H14" s="49">
        <v>14</v>
      </c>
      <c r="I14" s="49">
        <v>14</v>
      </c>
      <c r="J14" s="49">
        <v>14</v>
      </c>
      <c r="K14" s="49">
        <v>14</v>
      </c>
      <c r="L14" s="49">
        <v>14</v>
      </c>
      <c r="M14" s="49">
        <v>14</v>
      </c>
      <c r="N14" s="49">
        <v>14</v>
      </c>
      <c r="O14" s="49">
        <v>14</v>
      </c>
      <c r="P14" s="49">
        <v>14</v>
      </c>
      <c r="Q14" s="49">
        <v>14</v>
      </c>
      <c r="R14" s="49">
        <v>14</v>
      </c>
      <c r="S14" s="49">
        <v>14</v>
      </c>
      <c r="T14" s="49">
        <v>14</v>
      </c>
      <c r="U14" s="49">
        <v>14</v>
      </c>
      <c r="V14" s="49">
        <v>14</v>
      </c>
      <c r="W14" s="49">
        <v>14</v>
      </c>
      <c r="X14" s="49">
        <v>14</v>
      </c>
      <c r="Y14" s="49">
        <v>14</v>
      </c>
      <c r="Z14" s="49">
        <v>14</v>
      </c>
      <c r="AA14" s="49">
        <v>14</v>
      </c>
      <c r="AB14" s="49">
        <v>14</v>
      </c>
      <c r="AC14" s="49">
        <v>14</v>
      </c>
      <c r="AD14" s="49">
        <v>14</v>
      </c>
      <c r="AE14" s="49">
        <v>14</v>
      </c>
      <c r="AF14" s="49">
        <v>14</v>
      </c>
      <c r="AG14" s="59">
        <v>25</v>
      </c>
      <c r="AH14" s="52">
        <f t="shared" si="2"/>
        <v>14</v>
      </c>
      <c r="AI14" s="53">
        <f t="shared" si="3"/>
        <v>14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49">
        <v>11.4</v>
      </c>
      <c r="C15" s="49">
        <v>11</v>
      </c>
      <c r="D15" s="49">
        <v>10.3</v>
      </c>
      <c r="E15" s="49">
        <v>11.7</v>
      </c>
      <c r="F15" s="49">
        <v>10.8</v>
      </c>
      <c r="G15" s="49">
        <v>10.6</v>
      </c>
      <c r="H15" s="49">
        <v>10.5</v>
      </c>
      <c r="I15" s="49">
        <v>10.6</v>
      </c>
      <c r="J15" s="49">
        <v>10.3</v>
      </c>
      <c r="K15" s="49">
        <v>10.3</v>
      </c>
      <c r="L15" s="49">
        <v>10.3</v>
      </c>
      <c r="M15" s="49">
        <v>10.7</v>
      </c>
      <c r="N15" s="49">
        <v>12</v>
      </c>
      <c r="O15" s="49">
        <v>10.4</v>
      </c>
      <c r="P15" s="49">
        <v>10.5</v>
      </c>
      <c r="Q15" s="49">
        <v>10.5</v>
      </c>
      <c r="R15" s="49">
        <v>10.4</v>
      </c>
      <c r="S15" s="49">
        <v>10.5</v>
      </c>
      <c r="T15" s="49">
        <v>9.8000000000000007</v>
      </c>
      <c r="U15" s="49">
        <v>10.9</v>
      </c>
      <c r="V15" s="49">
        <v>10.8</v>
      </c>
      <c r="W15" s="49">
        <v>10.9</v>
      </c>
      <c r="X15" s="49">
        <v>10.8</v>
      </c>
      <c r="Y15" s="49">
        <v>10.9</v>
      </c>
      <c r="Z15" s="49">
        <v>10.8</v>
      </c>
      <c r="AA15" s="49">
        <v>10.8</v>
      </c>
      <c r="AB15" s="49">
        <v>10.8</v>
      </c>
      <c r="AC15" s="49">
        <v>10.8</v>
      </c>
      <c r="AD15" s="49">
        <v>10.8</v>
      </c>
      <c r="AE15" s="49">
        <v>10.8</v>
      </c>
      <c r="AF15" s="49">
        <v>10.8</v>
      </c>
      <c r="AG15" s="59">
        <v>25</v>
      </c>
      <c r="AH15" s="52">
        <f t="shared" si="2"/>
        <v>12</v>
      </c>
      <c r="AI15" s="53">
        <f t="shared" si="3"/>
        <v>9.8000000000000007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49">
        <v>6.2</v>
      </c>
      <c r="E16" s="49">
        <v>6.2</v>
      </c>
      <c r="F16" s="49">
        <v>6.2</v>
      </c>
      <c r="G16" s="49">
        <v>6.2</v>
      </c>
      <c r="H16" s="49">
        <v>6.2</v>
      </c>
      <c r="I16" s="49">
        <v>6.2</v>
      </c>
      <c r="J16" s="49">
        <v>6.2</v>
      </c>
      <c r="K16" s="49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13.9</v>
      </c>
      <c r="C17" s="49">
        <v>14</v>
      </c>
      <c r="D17" s="49">
        <v>13.9</v>
      </c>
      <c r="E17" s="49">
        <v>13.7</v>
      </c>
      <c r="F17" s="49">
        <v>15</v>
      </c>
      <c r="G17" s="49">
        <v>14.9</v>
      </c>
      <c r="H17" s="49">
        <v>15</v>
      </c>
      <c r="I17" s="49">
        <v>15</v>
      </c>
      <c r="J17" s="49">
        <v>14.9</v>
      </c>
      <c r="K17" s="49">
        <v>15</v>
      </c>
      <c r="L17" s="49">
        <v>15</v>
      </c>
      <c r="M17" s="49">
        <v>15</v>
      </c>
      <c r="N17" s="49">
        <v>15</v>
      </c>
      <c r="O17" s="49">
        <v>15</v>
      </c>
      <c r="P17" s="49">
        <v>14.9</v>
      </c>
      <c r="Q17" s="49">
        <v>15.3</v>
      </c>
      <c r="R17" s="49">
        <v>12.7</v>
      </c>
      <c r="S17" s="49">
        <v>12.6</v>
      </c>
      <c r="T17" s="49">
        <v>12.5</v>
      </c>
      <c r="U17" s="49">
        <v>12.5</v>
      </c>
      <c r="V17" s="49">
        <v>12.6</v>
      </c>
      <c r="W17" s="49">
        <v>12.6</v>
      </c>
      <c r="X17" s="49">
        <v>14.9</v>
      </c>
      <c r="Y17" s="49">
        <v>14.8</v>
      </c>
      <c r="Z17" s="49">
        <v>14.9</v>
      </c>
      <c r="AA17" s="49">
        <v>14.9</v>
      </c>
      <c r="AB17" s="49">
        <v>15</v>
      </c>
      <c r="AC17" s="49">
        <v>15</v>
      </c>
      <c r="AD17" s="49">
        <v>16.2</v>
      </c>
      <c r="AE17" s="49">
        <v>16.5</v>
      </c>
      <c r="AF17" s="49">
        <v>15.3</v>
      </c>
      <c r="AG17" s="59">
        <v>22.1</v>
      </c>
      <c r="AH17" s="52">
        <f t="shared" si="2"/>
        <v>16.5</v>
      </c>
      <c r="AI17" s="53">
        <f t="shared" si="3"/>
        <v>12.5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49">
        <v>5</v>
      </c>
      <c r="D18" s="49">
        <v>5</v>
      </c>
      <c r="E18" s="49">
        <v>5</v>
      </c>
      <c r="F18" s="49">
        <v>5</v>
      </c>
      <c r="G18" s="49">
        <v>5</v>
      </c>
      <c r="H18" s="49">
        <v>5</v>
      </c>
      <c r="I18" s="49">
        <v>5</v>
      </c>
      <c r="J18" s="49">
        <v>5</v>
      </c>
      <c r="K18" s="49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10.5</v>
      </c>
      <c r="C19" s="49">
        <v>10.199999999999999</v>
      </c>
      <c r="D19" s="49">
        <v>10.5</v>
      </c>
      <c r="E19" s="49">
        <v>11.4</v>
      </c>
      <c r="F19" s="49">
        <v>11.7</v>
      </c>
      <c r="G19" s="49">
        <v>11.4</v>
      </c>
      <c r="H19" s="49">
        <v>11.3</v>
      </c>
      <c r="I19" s="49">
        <v>11.3</v>
      </c>
      <c r="J19" s="49">
        <v>11.3</v>
      </c>
      <c r="K19" s="49">
        <v>11.3</v>
      </c>
      <c r="L19" s="49">
        <v>10.9</v>
      </c>
      <c r="M19" s="49">
        <v>10.5</v>
      </c>
      <c r="N19" s="49">
        <v>9.4</v>
      </c>
      <c r="O19" s="49">
        <v>9.5</v>
      </c>
      <c r="P19" s="49">
        <v>8.3000000000000007</v>
      </c>
      <c r="Q19" s="49">
        <v>8.3000000000000007</v>
      </c>
      <c r="R19" s="49">
        <v>8.4</v>
      </c>
      <c r="S19" s="49">
        <v>8</v>
      </c>
      <c r="T19" s="49">
        <v>7.9</v>
      </c>
      <c r="U19" s="49">
        <v>7.9</v>
      </c>
      <c r="V19" s="49">
        <v>8.6999999999999993</v>
      </c>
      <c r="W19" s="49">
        <v>9.1</v>
      </c>
      <c r="X19" s="49">
        <v>9.5</v>
      </c>
      <c r="Y19" s="49">
        <v>9.9</v>
      </c>
      <c r="Z19" s="49">
        <v>9.9</v>
      </c>
      <c r="AA19" s="49">
        <v>11.3</v>
      </c>
      <c r="AB19" s="49">
        <v>11.8</v>
      </c>
      <c r="AC19" s="49">
        <v>11.3</v>
      </c>
      <c r="AD19" s="49">
        <v>11.3</v>
      </c>
      <c r="AE19" s="49">
        <v>11.3</v>
      </c>
      <c r="AF19" s="49">
        <v>11.3</v>
      </c>
      <c r="AG19" s="59">
        <v>22</v>
      </c>
      <c r="AH19" s="52">
        <f t="shared" si="2"/>
        <v>11.8</v>
      </c>
      <c r="AI19" s="53">
        <f t="shared" si="3"/>
        <v>7.9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9</v>
      </c>
      <c r="C20" s="49">
        <v>9</v>
      </c>
      <c r="D20" s="49">
        <v>9</v>
      </c>
      <c r="E20" s="49">
        <v>9</v>
      </c>
      <c r="F20" s="49">
        <v>9</v>
      </c>
      <c r="G20" s="49">
        <v>9</v>
      </c>
      <c r="H20" s="49">
        <v>9</v>
      </c>
      <c r="I20" s="49">
        <v>9</v>
      </c>
      <c r="J20" s="49">
        <v>9</v>
      </c>
      <c r="K20" s="49">
        <v>9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9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3.5</v>
      </c>
      <c r="C21" s="49">
        <v>3.5</v>
      </c>
      <c r="D21" s="49">
        <v>3.5</v>
      </c>
      <c r="E21" s="49">
        <v>3.5</v>
      </c>
      <c r="F21" s="49">
        <v>3.5</v>
      </c>
      <c r="G21" s="49">
        <v>3.5</v>
      </c>
      <c r="H21" s="49">
        <v>3.5</v>
      </c>
      <c r="I21" s="49">
        <v>3.5</v>
      </c>
      <c r="J21" s="49">
        <v>3.5</v>
      </c>
      <c r="K21" s="49">
        <v>3.5</v>
      </c>
      <c r="L21" s="49">
        <v>3.5</v>
      </c>
      <c r="M21" s="49">
        <v>3.5</v>
      </c>
      <c r="N21" s="49">
        <v>3.5</v>
      </c>
      <c r="O21" s="49">
        <v>3.5</v>
      </c>
      <c r="P21" s="49">
        <v>3.5</v>
      </c>
      <c r="Q21" s="49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5.5</v>
      </c>
      <c r="C23" s="56">
        <v>5.5</v>
      </c>
      <c r="D23" s="56">
        <v>5.5</v>
      </c>
      <c r="E23" s="56">
        <v>5.5</v>
      </c>
      <c r="F23" s="56">
        <v>5.5</v>
      </c>
      <c r="G23" s="56">
        <v>5.5</v>
      </c>
      <c r="H23" s="56">
        <v>5.5</v>
      </c>
      <c r="I23" s="56">
        <v>5.5</v>
      </c>
      <c r="J23" s="56">
        <v>5.5</v>
      </c>
      <c r="K23" s="56">
        <v>5.5</v>
      </c>
      <c r="L23" s="56">
        <v>5.5</v>
      </c>
      <c r="M23" s="56">
        <v>5.5</v>
      </c>
      <c r="N23" s="56">
        <v>5.5</v>
      </c>
      <c r="O23" s="56">
        <v>5.5</v>
      </c>
      <c r="P23" s="56">
        <v>5.5</v>
      </c>
      <c r="Q23" s="56">
        <v>5.5</v>
      </c>
      <c r="R23" s="56">
        <v>5.5</v>
      </c>
      <c r="S23" s="56">
        <v>5.5</v>
      </c>
      <c r="T23" s="56">
        <v>5.5</v>
      </c>
      <c r="U23" s="56">
        <v>5.5</v>
      </c>
      <c r="V23" s="56">
        <v>5.5</v>
      </c>
      <c r="W23" s="56">
        <v>5.5</v>
      </c>
      <c r="X23" s="56">
        <v>5.5</v>
      </c>
      <c r="Y23" s="56">
        <v>5.5</v>
      </c>
      <c r="Z23" s="56">
        <v>5.5</v>
      </c>
      <c r="AA23" s="56">
        <v>5.5</v>
      </c>
      <c r="AB23" s="56">
        <v>5.5</v>
      </c>
      <c r="AC23" s="56">
        <v>5.5</v>
      </c>
      <c r="AD23" s="56">
        <v>5.5</v>
      </c>
      <c r="AE23" s="56">
        <v>5.5</v>
      </c>
      <c r="AF23" s="56">
        <v>5.5</v>
      </c>
      <c r="AG23" s="59">
        <v>13</v>
      </c>
      <c r="AH23" s="52">
        <f t="shared" si="2"/>
        <v>5.5</v>
      </c>
      <c r="AI23" s="53">
        <f t="shared" si="3"/>
        <v>5.5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8</v>
      </c>
      <c r="C24" s="56">
        <v>8</v>
      </c>
      <c r="D24" s="56">
        <v>8</v>
      </c>
      <c r="E24" s="56">
        <v>8</v>
      </c>
      <c r="F24" s="56">
        <v>8</v>
      </c>
      <c r="G24" s="56">
        <v>8</v>
      </c>
      <c r="H24" s="56">
        <v>8</v>
      </c>
      <c r="I24" s="56">
        <v>8</v>
      </c>
      <c r="J24" s="56">
        <v>8</v>
      </c>
      <c r="K24" s="56">
        <v>8</v>
      </c>
      <c r="L24" s="56">
        <v>8</v>
      </c>
      <c r="M24" s="56">
        <v>8</v>
      </c>
      <c r="N24" s="56">
        <v>8</v>
      </c>
      <c r="O24" s="56">
        <v>8</v>
      </c>
      <c r="P24" s="56">
        <v>8</v>
      </c>
      <c r="Q24" s="56">
        <v>8</v>
      </c>
      <c r="R24" s="56">
        <v>8</v>
      </c>
      <c r="S24" s="56">
        <v>8</v>
      </c>
      <c r="T24" s="56">
        <v>8</v>
      </c>
      <c r="U24" s="56">
        <v>8</v>
      </c>
      <c r="V24" s="56">
        <v>8</v>
      </c>
      <c r="W24" s="56">
        <v>8</v>
      </c>
      <c r="X24" s="56">
        <v>8</v>
      </c>
      <c r="Y24" s="56">
        <v>8</v>
      </c>
      <c r="Z24" s="56">
        <v>8</v>
      </c>
      <c r="AA24" s="56">
        <v>8</v>
      </c>
      <c r="AB24" s="56">
        <v>8</v>
      </c>
      <c r="AC24" s="56">
        <v>8</v>
      </c>
      <c r="AD24" s="56">
        <v>8</v>
      </c>
      <c r="AE24" s="56">
        <v>8</v>
      </c>
      <c r="AF24" s="56">
        <v>8</v>
      </c>
      <c r="AG24" s="59">
        <v>12</v>
      </c>
      <c r="AH24" s="52">
        <f t="shared" si="2"/>
        <v>8</v>
      </c>
      <c r="AI24" s="53">
        <f t="shared" si="3"/>
        <v>8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5.5</v>
      </c>
      <c r="C26" s="56">
        <v>5.5</v>
      </c>
      <c r="D26" s="56">
        <v>5.5</v>
      </c>
      <c r="E26" s="56">
        <v>5.5</v>
      </c>
      <c r="F26" s="56">
        <v>5.5</v>
      </c>
      <c r="G26" s="56">
        <v>5.5</v>
      </c>
      <c r="H26" s="56">
        <v>5.5</v>
      </c>
      <c r="I26" s="56">
        <v>5.5</v>
      </c>
      <c r="J26" s="56">
        <v>5.5</v>
      </c>
      <c r="K26" s="56">
        <v>5.5</v>
      </c>
      <c r="L26" s="56">
        <v>5.5</v>
      </c>
      <c r="M26" s="56">
        <v>5.5</v>
      </c>
      <c r="N26" s="56">
        <v>5.5</v>
      </c>
      <c r="O26" s="56">
        <v>5.5</v>
      </c>
      <c r="P26" s="56">
        <v>5.5</v>
      </c>
      <c r="Q26" s="56">
        <v>5.5</v>
      </c>
      <c r="R26" s="56">
        <v>5.5</v>
      </c>
      <c r="S26" s="56">
        <v>5.5</v>
      </c>
      <c r="T26" s="56">
        <v>5.5</v>
      </c>
      <c r="U26" s="56">
        <v>5.5</v>
      </c>
      <c r="V26" s="56">
        <v>5.5</v>
      </c>
      <c r="W26" s="56">
        <v>5.5</v>
      </c>
      <c r="X26" s="56">
        <v>5.5</v>
      </c>
      <c r="Y26" s="56">
        <v>5.5</v>
      </c>
      <c r="Z26" s="56">
        <v>5.5</v>
      </c>
      <c r="AA26" s="56">
        <v>5.5</v>
      </c>
      <c r="AB26" s="56">
        <v>5.5</v>
      </c>
      <c r="AC26" s="56">
        <v>5.5</v>
      </c>
      <c r="AD26" s="56">
        <v>5.5</v>
      </c>
      <c r="AE26" s="56">
        <v>5.5</v>
      </c>
      <c r="AF26" s="56">
        <v>5.5</v>
      </c>
      <c r="AG26" s="59">
        <v>12</v>
      </c>
      <c r="AH26" s="52">
        <f>MAX(B26:AF26)</f>
        <v>5.5</v>
      </c>
      <c r="AI26" s="53">
        <f>MIN(B26:AF26)</f>
        <v>5.5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85</v>
      </c>
      <c r="C28" s="56">
        <v>85</v>
      </c>
      <c r="D28" s="56">
        <v>85</v>
      </c>
      <c r="E28" s="56">
        <v>85</v>
      </c>
      <c r="F28" s="56">
        <v>85</v>
      </c>
      <c r="G28" s="56">
        <v>85</v>
      </c>
      <c r="H28" s="56">
        <v>85</v>
      </c>
      <c r="I28" s="56">
        <v>85</v>
      </c>
      <c r="J28" s="56">
        <v>85</v>
      </c>
      <c r="K28" s="56">
        <v>85</v>
      </c>
      <c r="L28" s="56">
        <v>85</v>
      </c>
      <c r="M28" s="56">
        <v>85</v>
      </c>
      <c r="N28" s="56">
        <v>85</v>
      </c>
      <c r="O28" s="56">
        <v>85</v>
      </c>
      <c r="P28" s="56">
        <v>85</v>
      </c>
      <c r="Q28" s="56">
        <v>85</v>
      </c>
      <c r="R28" s="56">
        <v>85</v>
      </c>
      <c r="S28" s="56">
        <v>85</v>
      </c>
      <c r="T28" s="56">
        <v>85</v>
      </c>
      <c r="U28" s="56">
        <v>85</v>
      </c>
      <c r="V28" s="56">
        <v>85</v>
      </c>
      <c r="W28" s="56">
        <v>85</v>
      </c>
      <c r="X28" s="56">
        <v>85</v>
      </c>
      <c r="Y28" s="56">
        <v>85</v>
      </c>
      <c r="Z28" s="56">
        <v>85</v>
      </c>
      <c r="AA28" s="56">
        <v>85</v>
      </c>
      <c r="AB28" s="56">
        <v>85</v>
      </c>
      <c r="AC28" s="56">
        <v>85</v>
      </c>
      <c r="AD28" s="56">
        <v>85</v>
      </c>
      <c r="AE28" s="56">
        <v>85</v>
      </c>
      <c r="AF28" s="56">
        <v>85</v>
      </c>
      <c r="AG28" s="59">
        <v>85</v>
      </c>
      <c r="AH28" s="52">
        <f t="shared" si="2"/>
        <v>85</v>
      </c>
      <c r="AI28" s="53">
        <f t="shared" si="3"/>
        <v>85</v>
      </c>
      <c r="AK28" s="54"/>
    </row>
    <row r="29" spans="1:88" ht="15.75" thickBot="1" x14ac:dyDescent="0.3">
      <c r="A29" s="66" t="s">
        <v>36</v>
      </c>
      <c r="B29" s="67">
        <v>47</v>
      </c>
      <c r="C29" s="56">
        <v>43.3</v>
      </c>
      <c r="D29" s="56">
        <v>43.2</v>
      </c>
      <c r="E29" s="56">
        <v>43.6</v>
      </c>
      <c r="F29" s="56">
        <v>41.7</v>
      </c>
      <c r="G29" s="56">
        <v>47</v>
      </c>
      <c r="H29" s="56">
        <v>45.2</v>
      </c>
      <c r="I29" s="56">
        <v>46.4</v>
      </c>
      <c r="J29" s="56">
        <v>45.1</v>
      </c>
      <c r="K29" s="56">
        <v>44.8</v>
      </c>
      <c r="L29" s="67">
        <v>45.2</v>
      </c>
      <c r="M29" s="67">
        <v>43.5</v>
      </c>
      <c r="N29" s="67">
        <v>42.5</v>
      </c>
      <c r="O29" s="67">
        <v>40.5</v>
      </c>
      <c r="P29" s="67">
        <v>42.1</v>
      </c>
      <c r="Q29" s="67">
        <v>41.9</v>
      </c>
      <c r="R29" s="67">
        <v>43.9</v>
      </c>
      <c r="S29" s="67">
        <v>42.1</v>
      </c>
      <c r="T29" s="67">
        <v>41.3</v>
      </c>
      <c r="U29" s="67">
        <v>40.200000000000003</v>
      </c>
      <c r="V29" s="67">
        <v>37.4</v>
      </c>
      <c r="W29" s="67">
        <v>37.4</v>
      </c>
      <c r="X29" s="67">
        <v>38.1</v>
      </c>
      <c r="Y29" s="67">
        <v>37.200000000000003</v>
      </c>
      <c r="Z29" s="67">
        <v>36.6</v>
      </c>
      <c r="AA29" s="67">
        <v>34.9</v>
      </c>
      <c r="AB29" s="67">
        <v>36</v>
      </c>
      <c r="AC29" s="67">
        <v>40.299999999999997</v>
      </c>
      <c r="AD29" s="67">
        <v>40.9</v>
      </c>
      <c r="AE29" s="56">
        <v>43</v>
      </c>
      <c r="AF29" s="56">
        <v>47.8</v>
      </c>
      <c r="AG29" s="59">
        <v>240</v>
      </c>
      <c r="AH29" s="52">
        <f t="shared" si="2"/>
        <v>47.8</v>
      </c>
      <c r="AI29" s="53">
        <f t="shared" si="3"/>
        <v>34.9</v>
      </c>
      <c r="AK29" s="54"/>
    </row>
    <row r="30" spans="1:88" ht="15.75" thickBot="1" x14ac:dyDescent="0.3">
      <c r="A30" s="68" t="s">
        <v>37</v>
      </c>
      <c r="B30" s="69">
        <f>SUM(B11:B28)</f>
        <v>261.5</v>
      </c>
      <c r="C30" s="69">
        <f t="shared" ref="C30:AF30" si="4">SUM(C11:C28)</f>
        <v>262.5</v>
      </c>
      <c r="D30" s="69">
        <f t="shared" si="4"/>
        <v>262</v>
      </c>
      <c r="E30" s="69">
        <f t="shared" si="4"/>
        <v>266.5</v>
      </c>
      <c r="F30" s="69">
        <f t="shared" si="4"/>
        <v>267</v>
      </c>
      <c r="G30" s="69">
        <f t="shared" si="4"/>
        <v>268.20000000000005</v>
      </c>
      <c r="H30" s="69">
        <f t="shared" si="4"/>
        <v>267.5</v>
      </c>
      <c r="I30" s="69">
        <f t="shared" si="4"/>
        <v>268.10000000000002</v>
      </c>
      <c r="J30" s="69">
        <f t="shared" si="4"/>
        <v>267.40000000000003</v>
      </c>
      <c r="K30" s="69">
        <f t="shared" si="4"/>
        <v>269.3</v>
      </c>
      <c r="L30" s="69">
        <f t="shared" si="4"/>
        <v>267.48</v>
      </c>
      <c r="M30" s="69">
        <f t="shared" si="4"/>
        <v>267</v>
      </c>
      <c r="N30" s="69">
        <f t="shared" si="4"/>
        <v>269</v>
      </c>
      <c r="O30" s="69">
        <f t="shared" si="4"/>
        <v>265.90000000000003</v>
      </c>
      <c r="P30" s="69">
        <f t="shared" si="4"/>
        <v>265.39999999999998</v>
      </c>
      <c r="Q30" s="69">
        <f t="shared" si="4"/>
        <v>263.70000000000005</v>
      </c>
      <c r="R30" s="69">
        <f t="shared" si="4"/>
        <v>259.10000000000002</v>
      </c>
      <c r="S30" s="69">
        <f t="shared" si="4"/>
        <v>259.10000000000002</v>
      </c>
      <c r="T30" s="69">
        <f t="shared" si="4"/>
        <v>257.8</v>
      </c>
      <c r="U30" s="69">
        <f t="shared" si="4"/>
        <v>261</v>
      </c>
      <c r="V30" s="69">
        <f>SUM(V11:V28)</f>
        <v>256.5</v>
      </c>
      <c r="W30" s="69">
        <f t="shared" si="4"/>
        <v>257.10000000000002</v>
      </c>
      <c r="X30" s="69">
        <f t="shared" si="4"/>
        <v>258.10000000000002</v>
      </c>
      <c r="Y30" s="69">
        <f t="shared" si="4"/>
        <v>258.10000000000002</v>
      </c>
      <c r="Z30" s="69">
        <f t="shared" si="4"/>
        <v>260</v>
      </c>
      <c r="AA30" s="69">
        <f t="shared" si="4"/>
        <v>257.39999999999998</v>
      </c>
      <c r="AB30" s="69">
        <f t="shared" si="4"/>
        <v>259</v>
      </c>
      <c r="AC30" s="69">
        <f t="shared" si="4"/>
        <v>263</v>
      </c>
      <c r="AD30" s="69">
        <f t="shared" si="4"/>
        <v>264.90000000000003</v>
      </c>
      <c r="AE30" s="69">
        <f t="shared" si="4"/>
        <v>264</v>
      </c>
      <c r="AF30" s="69">
        <f t="shared" si="4"/>
        <v>263.3</v>
      </c>
      <c r="AG30" s="59">
        <f>SUM(AG11:AG29)</f>
        <v>729.2</v>
      </c>
      <c r="AH30" s="52">
        <f t="shared" si="2"/>
        <v>269.3</v>
      </c>
      <c r="AI30" s="53">
        <f t="shared" si="3"/>
        <v>256.5</v>
      </c>
      <c r="AK30" s="54"/>
    </row>
    <row r="31" spans="1:88" x14ac:dyDescent="0.25">
      <c r="A31" s="55" t="s">
        <v>38</v>
      </c>
      <c r="B31" s="48">
        <v>60.2</v>
      </c>
      <c r="C31" s="56">
        <v>61</v>
      </c>
      <c r="D31" s="56">
        <v>60</v>
      </c>
      <c r="E31" s="56">
        <v>60</v>
      </c>
      <c r="F31" s="56">
        <v>61</v>
      </c>
      <c r="G31" s="56">
        <v>30.6</v>
      </c>
      <c r="H31" s="56">
        <v>31</v>
      </c>
      <c r="I31" s="56">
        <v>0</v>
      </c>
      <c r="J31" s="56">
        <v>0</v>
      </c>
      <c r="K31" s="56">
        <v>0</v>
      </c>
      <c r="L31" s="49">
        <v>30.2</v>
      </c>
      <c r="M31" s="49">
        <v>44.4</v>
      </c>
      <c r="N31" s="49">
        <v>65.900000000000006</v>
      </c>
      <c r="O31" s="49">
        <v>81</v>
      </c>
      <c r="P31" s="49">
        <v>81</v>
      </c>
      <c r="Q31" s="49">
        <v>80.900000000000006</v>
      </c>
      <c r="R31" s="49">
        <v>80.8</v>
      </c>
      <c r="S31" s="49">
        <v>81.099999999999994</v>
      </c>
      <c r="T31" s="49">
        <v>80.900000000000006</v>
      </c>
      <c r="U31" s="49">
        <v>80.900000000000006</v>
      </c>
      <c r="V31" s="49">
        <v>70.8</v>
      </c>
      <c r="W31" s="49">
        <v>70.8</v>
      </c>
      <c r="X31" s="49">
        <v>71</v>
      </c>
      <c r="Y31" s="49">
        <v>96.7</v>
      </c>
      <c r="Z31" s="49">
        <v>97.1</v>
      </c>
      <c r="AA31" s="48">
        <v>97</v>
      </c>
      <c r="AB31" s="48">
        <v>97</v>
      </c>
      <c r="AC31" s="48">
        <v>97</v>
      </c>
      <c r="AD31" s="48">
        <v>90</v>
      </c>
      <c r="AE31" s="48">
        <v>97.2</v>
      </c>
      <c r="AF31" s="48">
        <v>86</v>
      </c>
      <c r="AG31" s="57">
        <v>144</v>
      </c>
      <c r="AH31" s="52">
        <f t="shared" si="2"/>
        <v>97.2</v>
      </c>
      <c r="AI31" s="53">
        <f t="shared" si="3"/>
        <v>0</v>
      </c>
      <c r="AK31" s="54"/>
    </row>
    <row r="32" spans="1:88" x14ac:dyDescent="0.25">
      <c r="A32" s="58" t="s">
        <v>39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6">
        <v>27.8</v>
      </c>
      <c r="H32" s="56">
        <v>24.8</v>
      </c>
      <c r="I32" s="56">
        <v>33.6</v>
      </c>
      <c r="J32" s="56">
        <v>34.9</v>
      </c>
      <c r="K32" s="56">
        <v>34.9</v>
      </c>
      <c r="L32" s="70">
        <v>34.799999999999997</v>
      </c>
      <c r="M32" s="70">
        <v>34.799999999999997</v>
      </c>
      <c r="N32" s="70">
        <v>34.799999999999997</v>
      </c>
      <c r="O32" s="70">
        <v>51</v>
      </c>
      <c r="P32" s="70">
        <v>60.3</v>
      </c>
      <c r="Q32" s="70">
        <v>59.8</v>
      </c>
      <c r="R32" s="70">
        <v>61.1</v>
      </c>
      <c r="S32" s="70">
        <v>40.799999999999997</v>
      </c>
      <c r="T32" s="70">
        <v>39.4</v>
      </c>
      <c r="U32" s="70">
        <v>34.299999999999997</v>
      </c>
      <c r="V32" s="70">
        <v>25.7</v>
      </c>
      <c r="W32" s="70">
        <v>29.6</v>
      </c>
      <c r="X32" s="70">
        <v>35</v>
      </c>
      <c r="Y32" s="70">
        <v>61.7</v>
      </c>
      <c r="Z32" s="70">
        <v>70.3</v>
      </c>
      <c r="AA32" s="56">
        <v>70</v>
      </c>
      <c r="AB32" s="56">
        <v>69.400000000000006</v>
      </c>
      <c r="AC32" s="56">
        <v>59.7</v>
      </c>
      <c r="AD32" s="56">
        <v>45</v>
      </c>
      <c r="AE32" s="56">
        <v>20</v>
      </c>
      <c r="AF32" s="56">
        <v>20</v>
      </c>
      <c r="AG32" s="59">
        <v>70</v>
      </c>
      <c r="AH32" s="52">
        <f t="shared" si="2"/>
        <v>70.3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32.5</v>
      </c>
      <c r="C33" s="56">
        <v>33.200000000000003</v>
      </c>
      <c r="D33" s="56">
        <v>32.6</v>
      </c>
      <c r="E33" s="56">
        <v>20.3</v>
      </c>
      <c r="F33" s="56">
        <v>20.3</v>
      </c>
      <c r="G33" s="56">
        <v>19.899999999999999</v>
      </c>
      <c r="H33" s="56">
        <v>20</v>
      </c>
      <c r="I33" s="56">
        <v>19.8</v>
      </c>
      <c r="J33" s="56">
        <v>19.7</v>
      </c>
      <c r="K33" s="56">
        <v>22.4</v>
      </c>
      <c r="L33" s="70">
        <v>22.3</v>
      </c>
      <c r="M33" s="70">
        <v>22.2</v>
      </c>
      <c r="N33" s="70">
        <v>17.2</v>
      </c>
      <c r="O33" s="70">
        <v>47.1</v>
      </c>
      <c r="P33" s="70">
        <v>46.8</v>
      </c>
      <c r="Q33" s="70">
        <v>32</v>
      </c>
      <c r="R33" s="70">
        <v>32</v>
      </c>
      <c r="S33" s="70">
        <v>32.4</v>
      </c>
      <c r="T33" s="70">
        <v>31.8</v>
      </c>
      <c r="U33" s="70">
        <v>32.1</v>
      </c>
      <c r="V33" s="70">
        <v>32.200000000000003</v>
      </c>
      <c r="W33" s="70">
        <v>34.4</v>
      </c>
      <c r="X33" s="70">
        <v>20.3</v>
      </c>
      <c r="Y33" s="70">
        <v>42.1</v>
      </c>
      <c r="Z33" s="70">
        <v>65.7</v>
      </c>
      <c r="AA33" s="56">
        <v>65</v>
      </c>
      <c r="AB33" s="56">
        <v>65.5</v>
      </c>
      <c r="AC33" s="56">
        <v>65</v>
      </c>
      <c r="AD33" s="56">
        <v>51</v>
      </c>
      <c r="AE33" s="56">
        <v>65</v>
      </c>
      <c r="AF33" s="56">
        <v>60</v>
      </c>
      <c r="AG33" s="59">
        <v>69</v>
      </c>
      <c r="AH33" s="52">
        <f t="shared" si="2"/>
        <v>65.7</v>
      </c>
      <c r="AI33" s="53">
        <f t="shared" si="3"/>
        <v>17.2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28.5</v>
      </c>
      <c r="F34" s="56">
        <v>28.7</v>
      </c>
      <c r="G34" s="56">
        <v>28.7</v>
      </c>
      <c r="H34" s="56">
        <v>28.7</v>
      </c>
      <c r="I34" s="56">
        <v>28.7</v>
      </c>
      <c r="J34" s="56">
        <v>28.5</v>
      </c>
      <c r="K34" s="56">
        <v>28.5</v>
      </c>
      <c r="L34" s="70">
        <v>28.5</v>
      </c>
      <c r="M34" s="70">
        <v>28.5</v>
      </c>
      <c r="N34" s="70">
        <v>28.5</v>
      </c>
      <c r="O34" s="70">
        <v>28.5</v>
      </c>
      <c r="P34" s="70">
        <v>28.5</v>
      </c>
      <c r="Q34" s="70">
        <v>28.7</v>
      </c>
      <c r="R34" s="70">
        <v>28.5</v>
      </c>
      <c r="S34" s="70">
        <v>28.2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70">
        <v>28.5</v>
      </c>
      <c r="AB34" s="70">
        <v>28.5</v>
      </c>
      <c r="AC34" s="70">
        <v>28.5</v>
      </c>
      <c r="AD34" s="70">
        <v>28.5</v>
      </c>
      <c r="AE34" s="70">
        <v>28.5</v>
      </c>
      <c r="AF34" s="70">
        <v>28.5</v>
      </c>
      <c r="AG34" s="59">
        <v>60</v>
      </c>
      <c r="AH34" s="52">
        <f t="shared" si="2"/>
        <v>28.7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10</v>
      </c>
      <c r="C35" s="56">
        <v>10</v>
      </c>
      <c r="D35" s="56">
        <v>0</v>
      </c>
      <c r="E35" s="56">
        <v>0</v>
      </c>
      <c r="F35" s="56">
        <v>0</v>
      </c>
      <c r="G35" s="56">
        <v>0</v>
      </c>
      <c r="H35" s="56">
        <v>30.4</v>
      </c>
      <c r="I35" s="56">
        <v>25</v>
      </c>
      <c r="J35" s="56">
        <v>20</v>
      </c>
      <c r="K35" s="56">
        <v>30</v>
      </c>
      <c r="L35" s="49">
        <v>24.6</v>
      </c>
      <c r="M35" s="49">
        <v>25</v>
      </c>
      <c r="N35" s="49">
        <v>22</v>
      </c>
      <c r="O35" s="49">
        <v>24.8</v>
      </c>
      <c r="P35" s="49">
        <v>20</v>
      </c>
      <c r="Q35" s="49">
        <v>15.1</v>
      </c>
      <c r="R35" s="49">
        <v>13.2</v>
      </c>
      <c r="S35" s="49">
        <v>13.2</v>
      </c>
      <c r="T35" s="49">
        <v>10</v>
      </c>
      <c r="U35" s="49">
        <v>10.199999999999999</v>
      </c>
      <c r="V35" s="70">
        <v>10.6</v>
      </c>
      <c r="W35" s="70">
        <v>10.6</v>
      </c>
      <c r="X35" s="70">
        <v>15</v>
      </c>
      <c r="Y35" s="70">
        <v>15</v>
      </c>
      <c r="Z35" s="70">
        <v>29.6</v>
      </c>
      <c r="AA35" s="56">
        <v>29.4</v>
      </c>
      <c r="AB35" s="56">
        <v>29.2</v>
      </c>
      <c r="AC35" s="56">
        <v>29</v>
      </c>
      <c r="AD35" s="56">
        <v>20</v>
      </c>
      <c r="AE35" s="56">
        <v>13.3</v>
      </c>
      <c r="AF35" s="56">
        <v>10</v>
      </c>
      <c r="AG35" s="59">
        <v>30</v>
      </c>
      <c r="AH35" s="52">
        <f t="shared" si="2"/>
        <v>30.4</v>
      </c>
      <c r="AI35" s="53">
        <f t="shared" si="3"/>
        <v>0</v>
      </c>
      <c r="AK35" s="54"/>
    </row>
    <row r="36" spans="1:41" x14ac:dyDescent="0.25">
      <c r="A36" s="58" t="s">
        <v>43</v>
      </c>
      <c r="B36" s="56">
        <v>14.1</v>
      </c>
      <c r="C36" s="71">
        <v>14</v>
      </c>
      <c r="D36" s="71">
        <v>13.2</v>
      </c>
      <c r="E36" s="71">
        <v>13</v>
      </c>
      <c r="F36" s="71">
        <v>13</v>
      </c>
      <c r="G36" s="71">
        <v>13</v>
      </c>
      <c r="H36" s="71">
        <v>13</v>
      </c>
      <c r="I36" s="71">
        <v>13.2</v>
      </c>
      <c r="J36" s="71">
        <v>14</v>
      </c>
      <c r="K36" s="71">
        <v>14</v>
      </c>
      <c r="L36" s="49">
        <v>13.9</v>
      </c>
      <c r="M36" s="49">
        <v>14</v>
      </c>
      <c r="N36" s="49">
        <v>14</v>
      </c>
      <c r="O36" s="49">
        <v>13.2</v>
      </c>
      <c r="P36" s="49">
        <v>14.1</v>
      </c>
      <c r="Q36" s="49">
        <v>14.4</v>
      </c>
      <c r="R36" s="49">
        <v>14.2</v>
      </c>
      <c r="S36" s="49">
        <v>17.100000000000001</v>
      </c>
      <c r="T36" s="49">
        <v>13.2</v>
      </c>
      <c r="U36" s="49">
        <v>15.3</v>
      </c>
      <c r="V36" s="49">
        <v>15.3</v>
      </c>
      <c r="W36" s="49">
        <v>16.3</v>
      </c>
      <c r="X36" s="49">
        <v>16.2</v>
      </c>
      <c r="Y36" s="49">
        <v>15.2</v>
      </c>
      <c r="Z36" s="49">
        <v>14.4</v>
      </c>
      <c r="AA36" s="56">
        <v>14.4</v>
      </c>
      <c r="AB36" s="56">
        <v>14.4</v>
      </c>
      <c r="AC36" s="56">
        <v>14.4</v>
      </c>
      <c r="AD36" s="56">
        <v>14.4</v>
      </c>
      <c r="AE36" s="56">
        <v>14.4</v>
      </c>
      <c r="AF36" s="56">
        <v>14.4</v>
      </c>
      <c r="AG36" s="59">
        <v>24</v>
      </c>
      <c r="AH36" s="52">
        <f t="shared" si="2"/>
        <v>17.100000000000001</v>
      </c>
      <c r="AI36" s="53">
        <f t="shared" si="3"/>
        <v>13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49">
        <v>10</v>
      </c>
      <c r="AD38" s="49">
        <v>10</v>
      </c>
      <c r="AE38" s="49">
        <v>10</v>
      </c>
      <c r="AF38" s="49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3.9</v>
      </c>
      <c r="C39" s="71">
        <v>4</v>
      </c>
      <c r="D39" s="71">
        <v>4</v>
      </c>
      <c r="E39" s="71">
        <v>4</v>
      </c>
      <c r="F39" s="71">
        <v>4</v>
      </c>
      <c r="G39" s="71">
        <v>4</v>
      </c>
      <c r="H39" s="71">
        <v>4</v>
      </c>
      <c r="I39" s="71">
        <v>4</v>
      </c>
      <c r="J39" s="71">
        <v>4</v>
      </c>
      <c r="K39" s="71">
        <v>4</v>
      </c>
      <c r="L39" s="71">
        <v>4</v>
      </c>
      <c r="M39" s="71">
        <v>4</v>
      </c>
      <c r="N39" s="71">
        <v>4</v>
      </c>
      <c r="O39" s="71">
        <v>4</v>
      </c>
      <c r="P39" s="71">
        <v>4</v>
      </c>
      <c r="Q39" s="71">
        <v>4</v>
      </c>
      <c r="R39" s="71">
        <v>4</v>
      </c>
      <c r="S39" s="71">
        <v>4</v>
      </c>
      <c r="T39" s="71">
        <v>4</v>
      </c>
      <c r="U39" s="71">
        <v>4</v>
      </c>
      <c r="V39" s="71">
        <v>4</v>
      </c>
      <c r="W39" s="71">
        <v>4</v>
      </c>
      <c r="X39" s="71">
        <v>4</v>
      </c>
      <c r="Y39" s="71">
        <v>4</v>
      </c>
      <c r="Z39" s="71">
        <v>4</v>
      </c>
      <c r="AA39" s="71">
        <v>4</v>
      </c>
      <c r="AB39" s="71">
        <v>4</v>
      </c>
      <c r="AC39" s="71">
        <v>4</v>
      </c>
      <c r="AD39" s="71">
        <v>4</v>
      </c>
      <c r="AE39" s="71">
        <v>4</v>
      </c>
      <c r="AF39" s="71">
        <v>4</v>
      </c>
      <c r="AG39" s="59">
        <v>14</v>
      </c>
      <c r="AH39" s="52">
        <f t="shared" si="2"/>
        <v>4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3.9</v>
      </c>
      <c r="C40" s="56">
        <v>3.9</v>
      </c>
      <c r="D40" s="56">
        <v>3.9</v>
      </c>
      <c r="E40" s="56">
        <v>3.9</v>
      </c>
      <c r="F40" s="56">
        <v>3.9</v>
      </c>
      <c r="G40" s="56">
        <v>3.9</v>
      </c>
      <c r="H40" s="56">
        <v>3.9</v>
      </c>
      <c r="I40" s="56">
        <v>3.9</v>
      </c>
      <c r="J40" s="56">
        <v>3.9</v>
      </c>
      <c r="K40" s="56">
        <v>3.9</v>
      </c>
      <c r="L40" s="56">
        <v>3.9</v>
      </c>
      <c r="M40" s="56">
        <v>3.9</v>
      </c>
      <c r="N40" s="56">
        <v>3.9</v>
      </c>
      <c r="O40" s="56">
        <v>3.9</v>
      </c>
      <c r="P40" s="56">
        <v>3.9</v>
      </c>
      <c r="Q40" s="56">
        <v>3.9</v>
      </c>
      <c r="R40" s="56">
        <v>3.9</v>
      </c>
      <c r="S40" s="56">
        <v>3.9</v>
      </c>
      <c r="T40" s="56">
        <v>3.9</v>
      </c>
      <c r="U40" s="56">
        <v>3.9</v>
      </c>
      <c r="V40" s="56">
        <v>3.9</v>
      </c>
      <c r="W40" s="56">
        <v>3.9</v>
      </c>
      <c r="X40" s="56">
        <v>3.9</v>
      </c>
      <c r="Y40" s="56">
        <v>3.9</v>
      </c>
      <c r="Z40" s="56">
        <v>3.7</v>
      </c>
      <c r="AA40" s="56">
        <v>3.7</v>
      </c>
      <c r="AB40" s="56">
        <v>3.7</v>
      </c>
      <c r="AC40" s="56">
        <v>3.7</v>
      </c>
      <c r="AD40" s="56">
        <v>3.7</v>
      </c>
      <c r="AE40" s="56">
        <v>3.7</v>
      </c>
      <c r="AF40" s="56">
        <v>3.7</v>
      </c>
      <c r="AG40" s="59">
        <v>10.050000000000001</v>
      </c>
      <c r="AH40" s="52">
        <f t="shared" si="2"/>
        <v>3.9</v>
      </c>
      <c r="AI40" s="53">
        <f t="shared" si="3"/>
        <v>3.7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56">
        <v>2.5</v>
      </c>
      <c r="M41" s="56">
        <v>2.5</v>
      </c>
      <c r="N41" s="56">
        <v>2.5</v>
      </c>
      <c r="O41" s="56">
        <v>2.5</v>
      </c>
      <c r="P41" s="56">
        <v>2.5</v>
      </c>
      <c r="Q41" s="56">
        <v>2.5</v>
      </c>
      <c r="R41" s="56">
        <v>2.5</v>
      </c>
      <c r="S41" s="56">
        <v>2.5</v>
      </c>
      <c r="T41" s="56">
        <v>2.5</v>
      </c>
      <c r="U41" s="56">
        <v>2.5</v>
      </c>
      <c r="V41" s="56">
        <v>2.5</v>
      </c>
      <c r="W41" s="56">
        <v>2.5</v>
      </c>
      <c r="X41" s="56">
        <v>2.5</v>
      </c>
      <c r="Y41" s="56">
        <v>2.5</v>
      </c>
      <c r="Z41" s="56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169.34</v>
      </c>
      <c r="C43" s="69">
        <f t="shared" ref="C43:AF43" si="6">SUM(C31:C42)</f>
        <v>170.84</v>
      </c>
      <c r="D43" s="69">
        <f t="shared" si="6"/>
        <v>158.44</v>
      </c>
      <c r="E43" s="69">
        <f t="shared" si="6"/>
        <v>145.74</v>
      </c>
      <c r="F43" s="69">
        <f t="shared" si="6"/>
        <v>146.94</v>
      </c>
      <c r="G43" s="69">
        <f t="shared" si="6"/>
        <v>143.94</v>
      </c>
      <c r="H43" s="69">
        <f t="shared" si="6"/>
        <v>171.84</v>
      </c>
      <c r="I43" s="69">
        <f t="shared" si="6"/>
        <v>144.24</v>
      </c>
      <c r="J43" s="69">
        <f t="shared" si="6"/>
        <v>141.04</v>
      </c>
      <c r="K43" s="69">
        <f t="shared" si="6"/>
        <v>153.74</v>
      </c>
      <c r="L43" s="69">
        <f t="shared" si="6"/>
        <v>178.24</v>
      </c>
      <c r="M43" s="69">
        <f t="shared" si="6"/>
        <v>192.83999999999997</v>
      </c>
      <c r="N43" s="69">
        <f t="shared" si="6"/>
        <v>206.34</v>
      </c>
      <c r="O43" s="69">
        <f t="shared" si="6"/>
        <v>269.54000000000002</v>
      </c>
      <c r="P43" s="69">
        <f t="shared" si="6"/>
        <v>274.64000000000004</v>
      </c>
      <c r="Q43" s="69">
        <f t="shared" si="6"/>
        <v>254.83999999999997</v>
      </c>
      <c r="R43" s="69">
        <f t="shared" si="6"/>
        <v>253.73999999999998</v>
      </c>
      <c r="S43" s="69">
        <f t="shared" si="6"/>
        <v>236.73999999999995</v>
      </c>
      <c r="T43" s="69">
        <f t="shared" si="6"/>
        <v>227.74</v>
      </c>
      <c r="U43" s="69">
        <f t="shared" si="6"/>
        <v>225.24</v>
      </c>
      <c r="V43" s="69">
        <f t="shared" si="6"/>
        <v>207.04</v>
      </c>
      <c r="W43" s="69">
        <f t="shared" si="6"/>
        <v>214.14000000000001</v>
      </c>
      <c r="X43" s="69">
        <f t="shared" si="6"/>
        <v>209.94</v>
      </c>
      <c r="Y43" s="69">
        <f t="shared" si="6"/>
        <v>283.14</v>
      </c>
      <c r="Z43" s="69">
        <f t="shared" si="6"/>
        <v>329.34</v>
      </c>
      <c r="AA43" s="69">
        <f t="shared" si="6"/>
        <v>328.03999999999996</v>
      </c>
      <c r="AB43" s="69">
        <f t="shared" si="6"/>
        <v>327.73999999999995</v>
      </c>
      <c r="AC43" s="69">
        <f t="shared" si="6"/>
        <v>317.33999999999997</v>
      </c>
      <c r="AD43" s="69">
        <f t="shared" si="6"/>
        <v>272.64</v>
      </c>
      <c r="AE43" s="69">
        <f t="shared" si="6"/>
        <v>262.14000000000004</v>
      </c>
      <c r="AF43" s="69">
        <f t="shared" si="6"/>
        <v>242.64</v>
      </c>
      <c r="AG43" s="74">
        <f>SUM(AG31:AG42)</f>
        <v>464.91</v>
      </c>
      <c r="AH43" s="52">
        <f t="shared" si="2"/>
        <v>329.34</v>
      </c>
      <c r="AI43" s="53">
        <f t="shared" si="3"/>
        <v>141.04</v>
      </c>
      <c r="AK43" s="54"/>
    </row>
    <row r="44" spans="1:41" x14ac:dyDescent="0.25">
      <c r="A44" s="55" t="s">
        <v>51</v>
      </c>
      <c r="B44" s="49">
        <v>19.600000000000001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0.1</v>
      </c>
      <c r="I44" s="56">
        <v>0.1</v>
      </c>
      <c r="J44" s="56">
        <v>0.1</v>
      </c>
      <c r="K44" s="56">
        <v>0</v>
      </c>
      <c r="L44" s="75">
        <v>0</v>
      </c>
      <c r="M44" s="75">
        <v>0</v>
      </c>
      <c r="N44" s="75">
        <v>14.1</v>
      </c>
      <c r="O44" s="75">
        <v>14.1</v>
      </c>
      <c r="P44" s="49">
        <v>13.7</v>
      </c>
      <c r="Q44" s="49">
        <v>14</v>
      </c>
      <c r="R44" s="49">
        <v>19.899999999999999</v>
      </c>
      <c r="S44" s="49">
        <v>13.6</v>
      </c>
      <c r="T44" s="49">
        <v>13.3</v>
      </c>
      <c r="U44" s="49">
        <v>13.3</v>
      </c>
      <c r="V44" s="49">
        <v>13.7</v>
      </c>
      <c r="W44" s="49">
        <v>13.8</v>
      </c>
      <c r="X44" s="49">
        <v>13.7</v>
      </c>
      <c r="Y44" s="49">
        <v>13.7</v>
      </c>
      <c r="Z44" s="49">
        <v>29.8</v>
      </c>
      <c r="AA44" s="49">
        <v>30.2</v>
      </c>
      <c r="AB44" s="49">
        <v>14.2</v>
      </c>
      <c r="AC44" s="49">
        <v>10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30.2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9.6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0</v>
      </c>
      <c r="M45" s="75">
        <v>0</v>
      </c>
      <c r="N45" s="75">
        <v>0</v>
      </c>
      <c r="O45" s="75">
        <v>7.2</v>
      </c>
      <c r="P45" s="70">
        <v>7</v>
      </c>
      <c r="Q45" s="70">
        <v>10</v>
      </c>
      <c r="R45" s="49">
        <v>9.9</v>
      </c>
      <c r="S45" s="49">
        <v>5.9</v>
      </c>
      <c r="T45" s="49">
        <v>5.8</v>
      </c>
      <c r="U45" s="70">
        <v>5.9</v>
      </c>
      <c r="V45" s="70">
        <v>6.2</v>
      </c>
      <c r="W45" s="70">
        <v>5.6</v>
      </c>
      <c r="X45" s="70">
        <v>6.2</v>
      </c>
      <c r="Y45" s="70">
        <v>5.7</v>
      </c>
      <c r="Z45" s="70">
        <v>14.3</v>
      </c>
      <c r="AA45" s="70">
        <v>15.8</v>
      </c>
      <c r="AB45" s="70">
        <v>15.8</v>
      </c>
      <c r="AC45" s="70">
        <v>4.7</v>
      </c>
      <c r="AD45" s="70">
        <v>4</v>
      </c>
      <c r="AE45" s="70">
        <v>0</v>
      </c>
      <c r="AF45" s="70">
        <v>0</v>
      </c>
      <c r="AG45" s="59">
        <v>32</v>
      </c>
      <c r="AH45" s="52">
        <f t="shared" si="2"/>
        <v>15.8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3.7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56">
        <v>0</v>
      </c>
      <c r="L46" s="76">
        <v>0</v>
      </c>
      <c r="M46" s="76">
        <v>0</v>
      </c>
      <c r="N46" s="76">
        <v>0.3</v>
      </c>
      <c r="O46" s="76">
        <v>2.6</v>
      </c>
      <c r="P46" s="77">
        <v>2.5</v>
      </c>
      <c r="Q46" s="77">
        <v>3.6</v>
      </c>
      <c r="R46" s="49">
        <v>3.6</v>
      </c>
      <c r="S46" s="49">
        <v>2.2000000000000002</v>
      </c>
      <c r="T46" s="49">
        <v>2.1</v>
      </c>
      <c r="U46" s="77">
        <v>2.1</v>
      </c>
      <c r="V46" s="77">
        <v>2.2000000000000002</v>
      </c>
      <c r="W46" s="77">
        <v>2.1</v>
      </c>
      <c r="X46" s="77">
        <v>2.2999999999999998</v>
      </c>
      <c r="Y46" s="77">
        <v>2.1</v>
      </c>
      <c r="Z46" s="77">
        <v>5.2</v>
      </c>
      <c r="AA46" s="77">
        <v>5.8</v>
      </c>
      <c r="AB46" s="77">
        <v>5.8</v>
      </c>
      <c r="AC46" s="77">
        <v>1.7</v>
      </c>
      <c r="AD46" s="77">
        <v>1.4</v>
      </c>
      <c r="AE46" s="77">
        <v>0</v>
      </c>
      <c r="AF46" s="77">
        <v>0</v>
      </c>
      <c r="AG46" s="78">
        <v>14</v>
      </c>
      <c r="AH46" s="52">
        <f t="shared" si="2"/>
        <v>5.8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32.900000000000006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0.1</v>
      </c>
      <c r="I47" s="69">
        <f t="shared" si="7"/>
        <v>0.1</v>
      </c>
      <c r="J47" s="69">
        <f t="shared" si="7"/>
        <v>0.1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14.4</v>
      </c>
      <c r="O47" s="69">
        <f t="shared" si="7"/>
        <v>23.900000000000002</v>
      </c>
      <c r="P47" s="69">
        <f t="shared" si="7"/>
        <v>23.2</v>
      </c>
      <c r="Q47" s="69">
        <f t="shared" si="7"/>
        <v>27.6</v>
      </c>
      <c r="R47" s="69">
        <f t="shared" si="7"/>
        <v>33.4</v>
      </c>
      <c r="S47" s="69">
        <f t="shared" si="7"/>
        <v>21.7</v>
      </c>
      <c r="T47" s="69">
        <f t="shared" si="7"/>
        <v>21.200000000000003</v>
      </c>
      <c r="U47" s="69">
        <f t="shared" si="7"/>
        <v>21.300000000000004</v>
      </c>
      <c r="V47" s="69">
        <f t="shared" si="7"/>
        <v>22.099999999999998</v>
      </c>
      <c r="W47" s="69">
        <f t="shared" si="7"/>
        <v>21.5</v>
      </c>
      <c r="X47" s="69">
        <f t="shared" si="7"/>
        <v>22.2</v>
      </c>
      <c r="Y47" s="69">
        <f t="shared" si="7"/>
        <v>21.5</v>
      </c>
      <c r="Z47" s="69">
        <f t="shared" si="7"/>
        <v>49.300000000000004</v>
      </c>
      <c r="AA47" s="69">
        <f t="shared" si="7"/>
        <v>51.8</v>
      </c>
      <c r="AB47" s="69">
        <f t="shared" si="7"/>
        <v>35.799999999999997</v>
      </c>
      <c r="AC47" s="69">
        <f t="shared" si="7"/>
        <v>16.399999999999999</v>
      </c>
      <c r="AD47" s="69">
        <f t="shared" si="7"/>
        <v>5.4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51.8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66.47</v>
      </c>
      <c r="C48" s="49">
        <v>65</v>
      </c>
      <c r="D48" s="49">
        <v>70</v>
      </c>
      <c r="E48" s="49">
        <v>66</v>
      </c>
      <c r="F48" s="49">
        <v>64</v>
      </c>
      <c r="G48" s="49">
        <v>61</v>
      </c>
      <c r="H48" s="49">
        <v>34.9</v>
      </c>
      <c r="I48" s="49">
        <v>67.16</v>
      </c>
      <c r="J48" s="49">
        <v>75.260000000000005</v>
      </c>
      <c r="K48" s="49">
        <v>67.680000000000007</v>
      </c>
      <c r="L48" s="49">
        <v>77.400000000000006</v>
      </c>
      <c r="M48" s="49">
        <v>67</v>
      </c>
      <c r="N48" s="49">
        <v>73</v>
      </c>
      <c r="O48" s="49">
        <v>72.400000000000006</v>
      </c>
      <c r="P48" s="49">
        <v>59.39</v>
      </c>
      <c r="Q48" s="49">
        <v>64.8</v>
      </c>
      <c r="R48" s="49">
        <v>69</v>
      </c>
      <c r="S48" s="49">
        <v>73.5</v>
      </c>
      <c r="T48" s="49">
        <v>63.5</v>
      </c>
      <c r="U48" s="49">
        <v>68.2</v>
      </c>
      <c r="V48" s="49">
        <v>62.29</v>
      </c>
      <c r="W48" s="49">
        <v>65.959999999999994</v>
      </c>
      <c r="X48" s="49">
        <v>62.93</v>
      </c>
      <c r="Y48" s="49">
        <v>54</v>
      </c>
      <c r="Z48" s="49">
        <v>62.3</v>
      </c>
      <c r="AA48" s="49">
        <v>72</v>
      </c>
      <c r="AB48" s="49">
        <v>70.5</v>
      </c>
      <c r="AC48" s="49">
        <v>73</v>
      </c>
      <c r="AD48" s="49">
        <v>71</v>
      </c>
      <c r="AE48" s="49">
        <v>70</v>
      </c>
      <c r="AF48" s="49">
        <v>70</v>
      </c>
      <c r="AG48" s="57"/>
      <c r="AH48" s="52">
        <f t="shared" si="2"/>
        <v>77.400000000000006</v>
      </c>
      <c r="AI48" s="53">
        <f t="shared" si="3"/>
        <v>34.9</v>
      </c>
      <c r="AK48" s="54"/>
    </row>
    <row r="49" spans="1:37" x14ac:dyDescent="0.25">
      <c r="A49" s="58" t="s">
        <v>56</v>
      </c>
      <c r="B49" s="70">
        <v>138</v>
      </c>
      <c r="C49" s="70">
        <v>165</v>
      </c>
      <c r="D49" s="70">
        <v>162</v>
      </c>
      <c r="E49" s="70">
        <v>156</v>
      </c>
      <c r="F49" s="70">
        <v>151</v>
      </c>
      <c r="G49" s="70">
        <f>57.2+95.4</f>
        <v>152.60000000000002</v>
      </c>
      <c r="H49" s="70">
        <f>60.5+93.6</f>
        <v>154.1</v>
      </c>
      <c r="I49" s="70">
        <f>54.5+10+95.2</f>
        <v>159.69999999999999</v>
      </c>
      <c r="J49" s="70">
        <f>67.7+98.6</f>
        <v>166.3</v>
      </c>
      <c r="K49" s="70">
        <f>72.1+105</f>
        <v>177.1</v>
      </c>
      <c r="L49" s="49">
        <v>180</v>
      </c>
      <c r="M49" s="49">
        <f>95.5+48</f>
        <v>143.5</v>
      </c>
      <c r="N49" s="49">
        <f>94.7+42</f>
        <v>136.69999999999999</v>
      </c>
      <c r="O49" s="49">
        <v>102</v>
      </c>
      <c r="P49" s="49">
        <v>101</v>
      </c>
      <c r="Q49" s="49">
        <v>124</v>
      </c>
      <c r="R49" s="49">
        <f>18.6+90.4</f>
        <v>109</v>
      </c>
      <c r="S49" s="49">
        <v>138</v>
      </c>
      <c r="T49" s="49">
        <f>38+97</f>
        <v>135</v>
      </c>
      <c r="U49" s="79">
        <v>133</v>
      </c>
      <c r="V49" s="79">
        <f>39+93</f>
        <v>132</v>
      </c>
      <c r="W49" s="79">
        <f>36.4+89.8</f>
        <v>126.19999999999999</v>
      </c>
      <c r="X49" s="79">
        <f>29.4+97.7</f>
        <v>127.1</v>
      </c>
      <c r="Y49" s="79">
        <f>24.6+101</f>
        <v>125.6</v>
      </c>
      <c r="Z49" s="79">
        <v>141</v>
      </c>
      <c r="AA49" s="70">
        <v>145</v>
      </c>
      <c r="AB49" s="70">
        <v>142</v>
      </c>
      <c r="AC49" s="70">
        <v>135</v>
      </c>
      <c r="AD49" s="70">
        <v>115</v>
      </c>
      <c r="AE49" s="70">
        <v>100</v>
      </c>
      <c r="AF49" s="70">
        <v>115</v>
      </c>
      <c r="AG49" s="59"/>
      <c r="AH49" s="52">
        <f t="shared" si="2"/>
        <v>180</v>
      </c>
      <c r="AI49" s="53">
        <f t="shared" si="3"/>
        <v>100</v>
      </c>
      <c r="AK49" s="54"/>
    </row>
    <row r="50" spans="1:37" x14ac:dyDescent="0.25">
      <c r="A50" s="58" t="s">
        <v>57</v>
      </c>
      <c r="B50" s="70">
        <v>160</v>
      </c>
      <c r="C50" s="70">
        <v>140</v>
      </c>
      <c r="D50" s="70">
        <v>142</v>
      </c>
      <c r="E50" s="70">
        <v>135</v>
      </c>
      <c r="F50" s="70">
        <v>150</v>
      </c>
      <c r="G50" s="49">
        <f>72.1+70.7</f>
        <v>142.80000000000001</v>
      </c>
      <c r="H50" s="49">
        <f>80+77.9</f>
        <v>157.9</v>
      </c>
      <c r="I50" s="49">
        <f>89.3+89.2</f>
        <v>178.5</v>
      </c>
      <c r="J50" s="49">
        <f>101.4+101.1</f>
        <v>202.5</v>
      </c>
      <c r="K50" s="49">
        <f>106+106</f>
        <v>212</v>
      </c>
      <c r="L50" s="70">
        <v>212</v>
      </c>
      <c r="M50" s="70">
        <v>260</v>
      </c>
      <c r="N50" s="70">
        <v>260</v>
      </c>
      <c r="O50" s="70">
        <v>264</v>
      </c>
      <c r="P50" s="70">
        <v>256</v>
      </c>
      <c r="Q50" s="70">
        <v>257</v>
      </c>
      <c r="R50" s="70">
        <v>251</v>
      </c>
      <c r="S50" s="70">
        <v>260</v>
      </c>
      <c r="T50" s="70">
        <v>252</v>
      </c>
      <c r="U50" s="80">
        <v>242</v>
      </c>
      <c r="V50" s="80">
        <v>260</v>
      </c>
      <c r="W50" s="80">
        <v>240</v>
      </c>
      <c r="X50" s="80">
        <v>320</v>
      </c>
      <c r="Y50" s="80">
        <v>332</v>
      </c>
      <c r="Z50" s="80">
        <v>356</v>
      </c>
      <c r="AA50" s="70">
        <v>331</v>
      </c>
      <c r="AB50" s="70">
        <v>340</v>
      </c>
      <c r="AC50" s="70">
        <v>330</v>
      </c>
      <c r="AD50" s="70">
        <v>294</v>
      </c>
      <c r="AE50" s="70">
        <v>246</v>
      </c>
      <c r="AF50" s="70">
        <v>210</v>
      </c>
      <c r="AG50" s="81"/>
      <c r="AH50" s="52">
        <f t="shared" si="2"/>
        <v>356</v>
      </c>
      <c r="AI50" s="53">
        <f t="shared" si="3"/>
        <v>135</v>
      </c>
      <c r="AK50" s="54"/>
    </row>
    <row r="51" spans="1:37" x14ac:dyDescent="0.25">
      <c r="A51" s="58" t="s">
        <v>58</v>
      </c>
      <c r="B51" s="82">
        <v>10</v>
      </c>
      <c r="C51" s="82">
        <v>10</v>
      </c>
      <c r="D51" s="82">
        <v>12</v>
      </c>
      <c r="E51" s="82">
        <v>12</v>
      </c>
      <c r="F51" s="82">
        <v>12</v>
      </c>
      <c r="G51" s="82">
        <v>21</v>
      </c>
      <c r="H51" s="82">
        <v>51</v>
      </c>
      <c r="I51" s="82">
        <v>51.2</v>
      </c>
      <c r="J51" s="82">
        <v>56</v>
      </c>
      <c r="K51" s="82">
        <v>56</v>
      </c>
      <c r="L51" s="70">
        <v>56</v>
      </c>
      <c r="M51" s="70">
        <v>52</v>
      </c>
      <c r="N51" s="70">
        <v>56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14</v>
      </c>
      <c r="AE51" s="82">
        <v>0</v>
      </c>
      <c r="AF51" s="82">
        <v>0</v>
      </c>
      <c r="AG51" s="81"/>
      <c r="AH51" s="52">
        <f t="shared" si="2"/>
        <v>56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51</v>
      </c>
      <c r="C52" s="82">
        <v>47.2</v>
      </c>
      <c r="D52" s="82">
        <v>46.3</v>
      </c>
      <c r="E52" s="82">
        <v>47</v>
      </c>
      <c r="F52" s="82">
        <v>44.2</v>
      </c>
      <c r="G52" s="82">
        <v>41.2</v>
      </c>
      <c r="H52" s="82">
        <v>40.6</v>
      </c>
      <c r="I52" s="82">
        <v>41.9</v>
      </c>
      <c r="J52" s="82">
        <v>42</v>
      </c>
      <c r="K52" s="82">
        <v>41</v>
      </c>
      <c r="L52" s="49">
        <v>45</v>
      </c>
      <c r="M52" s="49">
        <v>45</v>
      </c>
      <c r="N52" s="49">
        <v>50</v>
      </c>
      <c r="O52" s="49">
        <v>57.6</v>
      </c>
      <c r="P52" s="49">
        <v>55.4</v>
      </c>
      <c r="Q52" s="49">
        <v>56.8</v>
      </c>
      <c r="R52" s="49">
        <v>55.8</v>
      </c>
      <c r="S52" s="49">
        <v>55.3</v>
      </c>
      <c r="T52" s="49">
        <v>52.5</v>
      </c>
      <c r="U52" s="49">
        <v>50.4</v>
      </c>
      <c r="V52" s="49">
        <v>45.8</v>
      </c>
      <c r="W52" s="49">
        <v>45.8</v>
      </c>
      <c r="X52" s="49">
        <v>46.4</v>
      </c>
      <c r="Y52" s="49">
        <v>46.8</v>
      </c>
      <c r="Z52" s="49">
        <v>51.7</v>
      </c>
      <c r="AA52" s="49">
        <v>53.3</v>
      </c>
      <c r="AB52" s="49">
        <v>53.7</v>
      </c>
      <c r="AC52" s="49">
        <v>46.3</v>
      </c>
      <c r="AD52" s="49">
        <v>53.5</v>
      </c>
      <c r="AE52" s="49">
        <v>52</v>
      </c>
      <c r="AF52" s="49">
        <v>56</v>
      </c>
      <c r="AG52" s="81"/>
      <c r="AH52" s="52">
        <f t="shared" si="2"/>
        <v>57.6</v>
      </c>
      <c r="AI52" s="53">
        <f t="shared" si="3"/>
        <v>40.6</v>
      </c>
      <c r="AK52" s="54"/>
    </row>
    <row r="53" spans="1:37" x14ac:dyDescent="0.25">
      <c r="A53" s="58" t="s">
        <v>60</v>
      </c>
      <c r="B53" s="83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83">
        <v>0</v>
      </c>
      <c r="M53" s="83">
        <v>6</v>
      </c>
      <c r="N53" s="83">
        <v>6</v>
      </c>
      <c r="O53" s="83">
        <v>6</v>
      </c>
      <c r="P53" s="83">
        <v>6</v>
      </c>
      <c r="Q53" s="83">
        <v>6</v>
      </c>
      <c r="R53" s="83">
        <v>6</v>
      </c>
      <c r="S53" s="83">
        <v>6</v>
      </c>
      <c r="T53" s="83">
        <v>6</v>
      </c>
      <c r="U53" s="83">
        <v>6</v>
      </c>
      <c r="V53" s="83">
        <v>6</v>
      </c>
      <c r="W53" s="83">
        <v>6</v>
      </c>
      <c r="X53" s="83">
        <v>6</v>
      </c>
      <c r="Y53" s="83">
        <v>6</v>
      </c>
      <c r="Z53" s="83">
        <v>10</v>
      </c>
      <c r="AA53" s="83">
        <v>8</v>
      </c>
      <c r="AB53" s="83">
        <v>7</v>
      </c>
      <c r="AC53" s="83">
        <v>7</v>
      </c>
      <c r="AD53" s="83">
        <v>7</v>
      </c>
      <c r="AE53" s="83">
        <v>7</v>
      </c>
      <c r="AF53" s="83">
        <v>7</v>
      </c>
      <c r="AG53" s="81"/>
      <c r="AH53" s="52">
        <f t="shared" si="2"/>
        <v>10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82">
        <v>0</v>
      </c>
      <c r="M55" s="82">
        <v>0</v>
      </c>
      <c r="N55" s="82">
        <v>0</v>
      </c>
      <c r="O55" s="82">
        <v>5</v>
      </c>
      <c r="P55" s="82">
        <v>5</v>
      </c>
      <c r="Q55" s="82">
        <v>5</v>
      </c>
      <c r="R55" s="82">
        <v>5</v>
      </c>
      <c r="S55" s="82">
        <v>5</v>
      </c>
      <c r="T55" s="82">
        <v>5</v>
      </c>
      <c r="U55" s="82">
        <v>5</v>
      </c>
      <c r="V55" s="82">
        <v>5</v>
      </c>
      <c r="W55" s="82">
        <v>5</v>
      </c>
      <c r="X55" s="82">
        <v>5</v>
      </c>
      <c r="Y55" s="82">
        <v>5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5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82">
        <v>0</v>
      </c>
      <c r="M56" s="82">
        <v>0</v>
      </c>
      <c r="N56" s="82">
        <v>0</v>
      </c>
      <c r="O56" s="82">
        <v>5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5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425.47</v>
      </c>
      <c r="C59" s="69">
        <f t="shared" ref="C59:AF59" si="8">SUM(C48:C58)</f>
        <v>427.2</v>
      </c>
      <c r="D59" s="69">
        <f t="shared" si="8"/>
        <v>432.3</v>
      </c>
      <c r="E59" s="69">
        <f t="shared" si="8"/>
        <v>416</v>
      </c>
      <c r="F59" s="69">
        <f t="shared" si="8"/>
        <v>421.2</v>
      </c>
      <c r="G59" s="69">
        <f t="shared" si="8"/>
        <v>418.6</v>
      </c>
      <c r="H59" s="69">
        <f t="shared" si="8"/>
        <v>438.5</v>
      </c>
      <c r="I59" s="69">
        <f t="shared" si="8"/>
        <v>498.46</v>
      </c>
      <c r="J59" s="69">
        <f t="shared" si="8"/>
        <v>542.05999999999995</v>
      </c>
      <c r="K59" s="69">
        <f t="shared" si="8"/>
        <v>553.78</v>
      </c>
      <c r="L59" s="69">
        <f t="shared" si="8"/>
        <v>570.4</v>
      </c>
      <c r="M59" s="69">
        <f t="shared" si="8"/>
        <v>573.5</v>
      </c>
      <c r="N59" s="69">
        <f t="shared" si="8"/>
        <v>581.70000000000005</v>
      </c>
      <c r="O59" s="69">
        <f t="shared" si="8"/>
        <v>512</v>
      </c>
      <c r="P59" s="69">
        <f t="shared" si="8"/>
        <v>482.78999999999996</v>
      </c>
      <c r="Q59" s="69">
        <f t="shared" si="8"/>
        <v>513.6</v>
      </c>
      <c r="R59" s="69">
        <f t="shared" si="8"/>
        <v>495.8</v>
      </c>
      <c r="S59" s="69">
        <f t="shared" si="8"/>
        <v>537.79999999999995</v>
      </c>
      <c r="T59" s="69">
        <f t="shared" si="8"/>
        <v>514</v>
      </c>
      <c r="U59" s="69">
        <f t="shared" si="8"/>
        <v>504.59999999999997</v>
      </c>
      <c r="V59" s="69">
        <f t="shared" si="8"/>
        <v>511.09</v>
      </c>
      <c r="W59" s="69">
        <f t="shared" si="8"/>
        <v>488.96</v>
      </c>
      <c r="X59" s="69">
        <f t="shared" si="8"/>
        <v>567.42999999999995</v>
      </c>
      <c r="Y59" s="69">
        <f t="shared" si="8"/>
        <v>569.4</v>
      </c>
      <c r="Z59" s="69">
        <f t="shared" si="8"/>
        <v>621</v>
      </c>
      <c r="AA59" s="69">
        <f t="shared" si="8"/>
        <v>609.29999999999995</v>
      </c>
      <c r="AB59" s="69">
        <f t="shared" si="8"/>
        <v>613.20000000000005</v>
      </c>
      <c r="AC59" s="69">
        <f t="shared" si="8"/>
        <v>591.29999999999995</v>
      </c>
      <c r="AD59" s="69">
        <f t="shared" si="8"/>
        <v>554.5</v>
      </c>
      <c r="AE59" s="69">
        <f t="shared" si="8"/>
        <v>475</v>
      </c>
      <c r="AF59" s="69">
        <f t="shared" si="8"/>
        <v>458</v>
      </c>
      <c r="AG59" s="74">
        <f>SUM(AG48:AG58)</f>
        <v>0</v>
      </c>
      <c r="AH59" s="52">
        <f t="shared" si="2"/>
        <v>621</v>
      </c>
      <c r="AI59" s="53">
        <f t="shared" si="3"/>
        <v>416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889.21</v>
      </c>
      <c r="C65" s="91">
        <f t="shared" ref="C65:AF65" si="10">C63+C59+C47+C43+C30+C64</f>
        <v>860.54</v>
      </c>
      <c r="D65" s="91">
        <f t="shared" si="10"/>
        <v>852.74</v>
      </c>
      <c r="E65" s="91">
        <f t="shared" si="10"/>
        <v>828.24</v>
      </c>
      <c r="F65" s="91">
        <f t="shared" si="10"/>
        <v>835.14</v>
      </c>
      <c r="G65" s="91">
        <f t="shared" si="10"/>
        <v>830.74</v>
      </c>
      <c r="H65" s="91">
        <f t="shared" si="10"/>
        <v>877.94</v>
      </c>
      <c r="I65" s="91">
        <f t="shared" si="10"/>
        <v>910.9</v>
      </c>
      <c r="J65" s="91">
        <f t="shared" si="10"/>
        <v>950.59999999999991</v>
      </c>
      <c r="K65" s="91">
        <f t="shared" si="10"/>
        <v>976.81999999999994</v>
      </c>
      <c r="L65" s="91">
        <f t="shared" si="10"/>
        <v>1016.12</v>
      </c>
      <c r="M65" s="91">
        <f t="shared" si="10"/>
        <v>1033.3399999999999</v>
      </c>
      <c r="N65" s="91">
        <f t="shared" si="10"/>
        <v>1071.44</v>
      </c>
      <c r="O65" s="91">
        <f t="shared" si="10"/>
        <v>1071.3400000000001</v>
      </c>
      <c r="P65" s="91">
        <f t="shared" si="10"/>
        <v>1046.03</v>
      </c>
      <c r="Q65" s="91">
        <f t="shared" si="10"/>
        <v>1059.74</v>
      </c>
      <c r="R65" s="91">
        <f t="shared" si="10"/>
        <v>1042.04</v>
      </c>
      <c r="S65" s="91">
        <f t="shared" si="10"/>
        <v>1055.3400000000001</v>
      </c>
      <c r="T65" s="91">
        <f t="shared" si="10"/>
        <v>1020.74</v>
      </c>
      <c r="U65" s="91">
        <f t="shared" si="10"/>
        <v>1012.14</v>
      </c>
      <c r="V65" s="91">
        <f t="shared" si="10"/>
        <v>996.7299999999999</v>
      </c>
      <c r="W65" s="91">
        <f t="shared" si="10"/>
        <v>981.7</v>
      </c>
      <c r="X65" s="91">
        <f t="shared" si="10"/>
        <v>1057.67</v>
      </c>
      <c r="Y65" s="91">
        <f t="shared" si="10"/>
        <v>1132.1399999999999</v>
      </c>
      <c r="Z65" s="91">
        <f t="shared" si="10"/>
        <v>1259.6399999999999</v>
      </c>
      <c r="AA65" s="91">
        <f t="shared" si="10"/>
        <v>1246.54</v>
      </c>
      <c r="AB65" s="91">
        <f t="shared" si="10"/>
        <v>1235.74</v>
      </c>
      <c r="AC65" s="91">
        <f t="shared" si="10"/>
        <v>1188.04</v>
      </c>
      <c r="AD65" s="91">
        <f t="shared" si="10"/>
        <v>1097.44</v>
      </c>
      <c r="AE65" s="91">
        <f t="shared" si="10"/>
        <v>1001.1400000000001</v>
      </c>
      <c r="AF65" s="91">
        <f t="shared" si="10"/>
        <v>963.94</v>
      </c>
      <c r="AG65" s="74">
        <f>AG63+AG59+AG47+AG43+AG30+AG64</f>
        <v>1355.5100000000002</v>
      </c>
      <c r="AH65" s="52">
        <f t="shared" si="2"/>
        <v>1259.6399999999999</v>
      </c>
      <c r="AI65" s="53">
        <f t="shared" si="3"/>
        <v>828.24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50.03</v>
      </c>
      <c r="C72" s="94">
        <v>49.98</v>
      </c>
      <c r="D72" s="94">
        <v>50.030999999999999</v>
      </c>
      <c r="E72" s="94">
        <v>50.048999999999999</v>
      </c>
      <c r="F72" s="94">
        <v>49.968000000000004</v>
      </c>
      <c r="G72" s="94">
        <v>49.948</v>
      </c>
      <c r="H72" s="94">
        <v>50.043999999999997</v>
      </c>
      <c r="I72" s="94">
        <v>50.064999999999998</v>
      </c>
      <c r="J72" s="94">
        <v>50.098999999999997</v>
      </c>
      <c r="K72" s="94">
        <v>50.055</v>
      </c>
      <c r="L72" s="94">
        <v>50.091999999999999</v>
      </c>
      <c r="M72" s="94">
        <v>50.029000000000003</v>
      </c>
      <c r="N72" s="94">
        <v>50.1</v>
      </c>
      <c r="O72" s="94">
        <v>50.033999999999999</v>
      </c>
      <c r="P72" s="94">
        <v>49.948999999999998</v>
      </c>
      <c r="Q72" s="95">
        <v>49.911000000000001</v>
      </c>
      <c r="R72" s="94">
        <v>49.81</v>
      </c>
      <c r="S72" s="94">
        <v>49.84</v>
      </c>
      <c r="T72" s="94">
        <v>50.03</v>
      </c>
      <c r="U72" s="94">
        <v>50.03</v>
      </c>
      <c r="V72" s="94">
        <v>49.98</v>
      </c>
      <c r="W72" s="94">
        <v>50.015000000000001</v>
      </c>
      <c r="X72" s="94">
        <v>49.99</v>
      </c>
      <c r="Y72" s="94">
        <v>49.88</v>
      </c>
      <c r="Z72" s="94">
        <v>49.94</v>
      </c>
      <c r="AA72" s="94">
        <v>50.005000000000003</v>
      </c>
      <c r="AB72" s="94">
        <v>50.02</v>
      </c>
      <c r="AC72" s="94">
        <v>50.006999999999998</v>
      </c>
      <c r="AD72" s="94">
        <v>50.024000000000001</v>
      </c>
      <c r="AE72" s="94">
        <v>50.005000000000003</v>
      </c>
      <c r="AF72" s="96">
        <v>49.973999999999997</v>
      </c>
      <c r="AG72" s="97"/>
      <c r="AH72" s="52">
        <f t="shared" si="2"/>
        <v>50.1</v>
      </c>
      <c r="AI72" s="53">
        <f t="shared" si="3"/>
        <v>49.81</v>
      </c>
    </row>
    <row r="73" spans="1:35" x14ac:dyDescent="0.25">
      <c r="A73" s="98" t="s">
        <v>80</v>
      </c>
      <c r="B73" s="100">
        <v>130.6</v>
      </c>
      <c r="C73" s="70">
        <v>130</v>
      </c>
      <c r="D73" s="70">
        <v>130.19999999999999</v>
      </c>
      <c r="E73" s="70">
        <v>130.6</v>
      </c>
      <c r="F73" s="70">
        <v>130.9</v>
      </c>
      <c r="G73" s="70">
        <v>130.1</v>
      </c>
      <c r="H73" s="70">
        <v>128.6</v>
      </c>
      <c r="I73" s="70">
        <v>126.8</v>
      </c>
      <c r="J73" s="70">
        <v>127.1</v>
      </c>
      <c r="K73" s="70">
        <v>125.6</v>
      </c>
      <c r="L73" s="70">
        <v>125</v>
      </c>
      <c r="M73" s="70">
        <v>124.3</v>
      </c>
      <c r="N73" s="70">
        <v>125.2</v>
      </c>
      <c r="O73" s="70">
        <v>127.1</v>
      </c>
      <c r="P73" s="70">
        <v>126.7</v>
      </c>
      <c r="Q73" s="99">
        <v>126.7</v>
      </c>
      <c r="R73" s="99">
        <v>127.5</v>
      </c>
      <c r="S73" s="99">
        <v>127.1</v>
      </c>
      <c r="T73" s="99">
        <v>127.1</v>
      </c>
      <c r="U73" s="99">
        <v>127.8</v>
      </c>
      <c r="V73" s="99">
        <v>127.3</v>
      </c>
      <c r="W73" s="99">
        <v>127.5</v>
      </c>
      <c r="X73" s="99">
        <v>127.1</v>
      </c>
      <c r="Y73" s="99">
        <v>126.9</v>
      </c>
      <c r="Z73" s="99">
        <v>124.8</v>
      </c>
      <c r="AA73" s="70">
        <v>126.6</v>
      </c>
      <c r="AB73" s="70">
        <v>126.6</v>
      </c>
      <c r="AC73" s="70">
        <v>127.1</v>
      </c>
      <c r="AD73" s="70">
        <v>127</v>
      </c>
      <c r="AE73" s="70">
        <v>128.19999999999999</v>
      </c>
      <c r="AF73" s="100">
        <v>128.6</v>
      </c>
      <c r="AG73" s="101"/>
      <c r="AH73" s="52">
        <f t="shared" si="2"/>
        <v>130.9</v>
      </c>
      <c r="AI73" s="53">
        <f t="shared" si="3"/>
        <v>124.3</v>
      </c>
    </row>
    <row r="74" spans="1:35" x14ac:dyDescent="0.25">
      <c r="A74" s="98" t="s">
        <v>81</v>
      </c>
      <c r="B74" s="100">
        <v>133.30000000000001</v>
      </c>
      <c r="C74" s="70">
        <v>132.80000000000001</v>
      </c>
      <c r="D74" s="70">
        <v>132.80000000000001</v>
      </c>
      <c r="E74" s="70">
        <v>133.1</v>
      </c>
      <c r="F74" s="70">
        <v>133.1</v>
      </c>
      <c r="G74" s="70">
        <v>132.19999999999999</v>
      </c>
      <c r="H74" s="70">
        <v>130.6</v>
      </c>
      <c r="I74" s="70">
        <v>128.69999999999999</v>
      </c>
      <c r="J74" s="70">
        <v>129.4</v>
      </c>
      <c r="K74" s="70">
        <v>128</v>
      </c>
      <c r="L74" s="70">
        <v>127.6</v>
      </c>
      <c r="M74" s="70">
        <v>127.3</v>
      </c>
      <c r="N74" s="70">
        <v>128.6</v>
      </c>
      <c r="O74" s="70">
        <v>130.4</v>
      </c>
      <c r="P74" s="70">
        <v>130.1</v>
      </c>
      <c r="Q74" s="99">
        <v>130</v>
      </c>
      <c r="R74" s="99">
        <v>130.5</v>
      </c>
      <c r="S74" s="99">
        <v>130.30000000000001</v>
      </c>
      <c r="T74" s="99">
        <v>130.4</v>
      </c>
      <c r="U74" s="99">
        <v>131</v>
      </c>
      <c r="V74" s="99">
        <v>130.4</v>
      </c>
      <c r="W74" s="99">
        <v>130.4</v>
      </c>
      <c r="X74" s="99">
        <v>130</v>
      </c>
      <c r="Y74" s="99">
        <v>129.5</v>
      </c>
      <c r="Z74" s="99">
        <v>127.5</v>
      </c>
      <c r="AA74" s="70">
        <v>129.5</v>
      </c>
      <c r="AB74" s="70">
        <v>129.5</v>
      </c>
      <c r="AC74" s="70">
        <v>130.5</v>
      </c>
      <c r="AD74" s="70">
        <v>130.19999999999999</v>
      </c>
      <c r="AE74" s="70">
        <v>131.4</v>
      </c>
      <c r="AF74" s="100">
        <v>131.80000000000001</v>
      </c>
      <c r="AG74" s="101"/>
      <c r="AH74" s="52">
        <f t="shared" si="2"/>
        <v>133.30000000000001</v>
      </c>
      <c r="AI74" s="53">
        <f t="shared" si="3"/>
        <v>127.3</v>
      </c>
    </row>
    <row r="75" spans="1:35" x14ac:dyDescent="0.25">
      <c r="A75" s="98" t="s">
        <v>82</v>
      </c>
      <c r="B75" s="100">
        <v>130.1</v>
      </c>
      <c r="C75" s="70">
        <v>127.3</v>
      </c>
      <c r="D75" s="70">
        <v>127.7</v>
      </c>
      <c r="E75" s="70">
        <v>129.30000000000001</v>
      </c>
      <c r="F75" s="70">
        <v>130.1</v>
      </c>
      <c r="G75" s="70">
        <v>130.6</v>
      </c>
      <c r="H75" s="70">
        <v>130.30000000000001</v>
      </c>
      <c r="I75" s="70">
        <v>129.19999999999999</v>
      </c>
      <c r="J75" s="70">
        <v>128.1</v>
      </c>
      <c r="K75" s="70">
        <v>129.5</v>
      </c>
      <c r="L75" s="70">
        <v>127.9</v>
      </c>
      <c r="M75" s="70">
        <v>129.6</v>
      </c>
      <c r="N75" s="70">
        <v>130.4</v>
      </c>
      <c r="O75" s="70">
        <v>129.1</v>
      </c>
      <c r="P75" s="70">
        <v>129.9</v>
      </c>
      <c r="Q75" s="70">
        <v>130.69999999999999</v>
      </c>
      <c r="R75" s="70">
        <v>129.80000000000001</v>
      </c>
      <c r="S75" s="70">
        <v>129.69999999999999</v>
      </c>
      <c r="T75" s="99">
        <v>130</v>
      </c>
      <c r="U75" s="99">
        <v>130</v>
      </c>
      <c r="V75" s="99">
        <v>129.9</v>
      </c>
      <c r="W75" s="99">
        <v>129.9</v>
      </c>
      <c r="X75" s="99">
        <v>130.69999999999999</v>
      </c>
      <c r="Y75" s="99">
        <v>128.69999999999999</v>
      </c>
      <c r="Z75" s="99">
        <v>126.9</v>
      </c>
      <c r="AA75" s="70">
        <v>126.1</v>
      </c>
      <c r="AB75" s="70">
        <v>126.1</v>
      </c>
      <c r="AC75" s="70">
        <v>127.6</v>
      </c>
      <c r="AD75" s="70">
        <v>127.1</v>
      </c>
      <c r="AE75" s="70">
        <v>129.19999999999999</v>
      </c>
      <c r="AF75" s="100">
        <v>128.1</v>
      </c>
      <c r="AG75" s="101"/>
      <c r="AH75" s="52">
        <f t="shared" si="2"/>
        <v>130.69999999999999</v>
      </c>
      <c r="AI75" s="53">
        <f t="shared" si="3"/>
        <v>126.1</v>
      </c>
    </row>
    <row r="76" spans="1:35" x14ac:dyDescent="0.25">
      <c r="A76" s="102" t="s">
        <v>83</v>
      </c>
      <c r="B76" s="100">
        <v>131.80000000000001</v>
      </c>
      <c r="C76" s="70">
        <v>128.9</v>
      </c>
      <c r="D76" s="70">
        <v>130.4</v>
      </c>
      <c r="E76" s="70">
        <v>132</v>
      </c>
      <c r="F76" s="70">
        <v>132.6</v>
      </c>
      <c r="G76" s="70">
        <v>132.30000000000001</v>
      </c>
      <c r="H76" s="70">
        <v>131.4</v>
      </c>
      <c r="I76" s="70">
        <v>129.69999999999999</v>
      </c>
      <c r="J76" s="70">
        <v>128.69999999999999</v>
      </c>
      <c r="K76" s="70">
        <v>129.4</v>
      </c>
      <c r="L76" s="70">
        <v>127.3</v>
      </c>
      <c r="M76" s="70">
        <v>129.4</v>
      </c>
      <c r="N76" s="70">
        <v>132.80000000000001</v>
      </c>
      <c r="O76" s="70">
        <v>132.30000000000001</v>
      </c>
      <c r="P76" s="70">
        <v>132.9</v>
      </c>
      <c r="Q76" s="70">
        <v>133.6</v>
      </c>
      <c r="R76" s="70">
        <v>133</v>
      </c>
      <c r="S76" s="70">
        <v>132.4</v>
      </c>
      <c r="T76" s="99">
        <v>130.80000000000001</v>
      </c>
      <c r="U76" s="99">
        <v>131</v>
      </c>
      <c r="V76" s="99">
        <v>130.1</v>
      </c>
      <c r="W76" s="99">
        <v>130.19999999999999</v>
      </c>
      <c r="X76" s="99">
        <v>131.19999999999999</v>
      </c>
      <c r="Y76" s="99">
        <v>129.6</v>
      </c>
      <c r="Z76" s="99">
        <v>127.6</v>
      </c>
      <c r="AA76" s="70">
        <v>129.5</v>
      </c>
      <c r="AB76" s="70">
        <v>129.5</v>
      </c>
      <c r="AC76" s="70">
        <v>131.80000000000001</v>
      </c>
      <c r="AD76" s="70">
        <v>130.4</v>
      </c>
      <c r="AE76" s="70">
        <v>133.1</v>
      </c>
      <c r="AF76" s="100">
        <v>130.19999999999999</v>
      </c>
      <c r="AG76" s="101"/>
      <c r="AH76" s="52">
        <f t="shared" si="2"/>
        <v>133.6</v>
      </c>
      <c r="AI76" s="53">
        <f t="shared" si="3"/>
        <v>127.3</v>
      </c>
    </row>
    <row r="77" spans="1:35" x14ac:dyDescent="0.25">
      <c r="A77" s="102" t="s">
        <v>84</v>
      </c>
      <c r="B77" s="104">
        <v>132.4</v>
      </c>
      <c r="C77" s="103">
        <v>134</v>
      </c>
      <c r="D77" s="103">
        <v>133.6</v>
      </c>
      <c r="E77" s="103">
        <v>134.1</v>
      </c>
      <c r="F77" s="103">
        <v>134.9</v>
      </c>
      <c r="G77" s="103">
        <v>132.5</v>
      </c>
      <c r="H77" s="103">
        <v>133.5</v>
      </c>
      <c r="I77" s="103">
        <v>131.30000000000001</v>
      </c>
      <c r="J77" s="103">
        <v>130.30000000000001</v>
      </c>
      <c r="K77" s="103">
        <v>131.5</v>
      </c>
      <c r="L77" s="103">
        <v>127.1</v>
      </c>
      <c r="M77" s="103">
        <v>130.19999999999999</v>
      </c>
      <c r="N77" s="103">
        <v>134.30000000000001</v>
      </c>
      <c r="O77" s="103">
        <v>133.69999999999999</v>
      </c>
      <c r="P77" s="103">
        <v>132</v>
      </c>
      <c r="Q77" s="103">
        <v>133.9</v>
      </c>
      <c r="R77" s="103">
        <v>94.2</v>
      </c>
      <c r="S77" s="103">
        <v>83.2</v>
      </c>
      <c r="T77" s="99">
        <v>81.099999999999994</v>
      </c>
      <c r="U77" s="99">
        <v>81</v>
      </c>
      <c r="V77" s="99">
        <v>71.099999999999994</v>
      </c>
      <c r="W77" s="99">
        <v>70.8</v>
      </c>
      <c r="X77" s="99">
        <v>92.7</v>
      </c>
      <c r="Y77" s="99">
        <v>134.4</v>
      </c>
      <c r="Z77" s="99">
        <v>129</v>
      </c>
      <c r="AA77" s="103">
        <v>132.19999999999999</v>
      </c>
      <c r="AB77" s="103">
        <v>132.19999999999999</v>
      </c>
      <c r="AC77" s="103">
        <v>134.80000000000001</v>
      </c>
      <c r="AD77" s="103">
        <v>133.5</v>
      </c>
      <c r="AE77" s="103">
        <v>134.4</v>
      </c>
      <c r="AF77" s="104">
        <v>134.4</v>
      </c>
      <c r="AG77" s="105"/>
      <c r="AH77" s="52">
        <f t="shared" si="2"/>
        <v>134.9</v>
      </c>
      <c r="AI77" s="53">
        <f t="shared" si="3"/>
        <v>70.8</v>
      </c>
    </row>
    <row r="78" spans="1:35" x14ac:dyDescent="0.25">
      <c r="A78" s="98" t="s">
        <v>85</v>
      </c>
      <c r="B78" s="100">
        <v>133.5</v>
      </c>
      <c r="C78" s="70">
        <v>135.19999999999999</v>
      </c>
      <c r="D78" s="70">
        <v>134.80000000000001</v>
      </c>
      <c r="E78" s="70">
        <v>135.80000000000001</v>
      </c>
      <c r="F78" s="70">
        <v>135.80000000000001</v>
      </c>
      <c r="G78" s="70">
        <v>136.80000000000001</v>
      </c>
      <c r="H78" s="70">
        <v>133.30000000000001</v>
      </c>
      <c r="I78" s="70">
        <v>129.4</v>
      </c>
      <c r="J78" s="70">
        <v>127</v>
      </c>
      <c r="K78" s="70">
        <v>127.9</v>
      </c>
      <c r="L78" s="70">
        <v>129.69999999999999</v>
      </c>
      <c r="M78" s="70">
        <v>132.9</v>
      </c>
      <c r="N78" s="70">
        <v>129</v>
      </c>
      <c r="O78" s="70">
        <v>132</v>
      </c>
      <c r="P78" s="70">
        <v>131.80000000000001</v>
      </c>
      <c r="Q78" s="70">
        <v>129.19999999999999</v>
      </c>
      <c r="R78" s="70">
        <v>132</v>
      </c>
      <c r="S78" s="70">
        <v>131.5</v>
      </c>
      <c r="T78" s="99">
        <v>135.30000000000001</v>
      </c>
      <c r="U78" s="99">
        <v>132.69999999999999</v>
      </c>
      <c r="V78" s="99">
        <v>133</v>
      </c>
      <c r="W78" s="99">
        <v>132.19999999999999</v>
      </c>
      <c r="X78" s="99">
        <v>134.69999999999999</v>
      </c>
      <c r="Y78" s="99">
        <v>129.19999999999999</v>
      </c>
      <c r="Z78" s="99">
        <v>127.6</v>
      </c>
      <c r="AA78" s="70">
        <v>125.6</v>
      </c>
      <c r="AB78" s="70">
        <v>125.6</v>
      </c>
      <c r="AC78" s="70">
        <v>126.3</v>
      </c>
      <c r="AD78" s="70">
        <v>127.4</v>
      </c>
      <c r="AE78" s="70">
        <v>128.4</v>
      </c>
      <c r="AF78" s="100">
        <v>130.19999999999999</v>
      </c>
      <c r="AG78" s="101"/>
      <c r="AH78" s="52">
        <f>MAX(B78:AF78)</f>
        <v>136.80000000000001</v>
      </c>
      <c r="AI78" s="53">
        <f>MIN(B78:AF78)</f>
        <v>125.6</v>
      </c>
    </row>
    <row r="79" spans="1:35" ht="15.75" thickBot="1" x14ac:dyDescent="0.3">
      <c r="A79" s="98" t="s">
        <v>86</v>
      </c>
      <c r="B79" s="107">
        <v>68</v>
      </c>
      <c r="C79" s="106">
        <v>67.8</v>
      </c>
      <c r="D79" s="106">
        <v>67.900000000000006</v>
      </c>
      <c r="E79" s="106">
        <v>67.2</v>
      </c>
      <c r="F79" s="106">
        <v>68</v>
      </c>
      <c r="G79" s="106">
        <v>67.400000000000006</v>
      </c>
      <c r="H79" s="106">
        <v>66.599999999999994</v>
      </c>
      <c r="I79" s="106">
        <v>65.8</v>
      </c>
      <c r="J79" s="106">
        <v>66.3</v>
      </c>
      <c r="K79" s="106">
        <v>135.1</v>
      </c>
      <c r="L79" s="106">
        <v>124.9</v>
      </c>
      <c r="M79" s="106">
        <v>65.3</v>
      </c>
      <c r="N79" s="106">
        <v>65.900000000000006</v>
      </c>
      <c r="O79" s="106">
        <v>66.7</v>
      </c>
      <c r="P79" s="106">
        <v>66.7</v>
      </c>
      <c r="Q79" s="106">
        <v>66.7</v>
      </c>
      <c r="R79" s="106">
        <v>66.8</v>
      </c>
      <c r="S79" s="106">
        <v>66.8</v>
      </c>
      <c r="T79" s="106">
        <v>66.8</v>
      </c>
      <c r="U79" s="106">
        <v>67.2</v>
      </c>
      <c r="V79" s="106">
        <v>66.900000000000006</v>
      </c>
      <c r="W79" s="106">
        <v>66.599999999999994</v>
      </c>
      <c r="X79" s="106">
        <v>66.400000000000006</v>
      </c>
      <c r="Y79" s="106">
        <v>66</v>
      </c>
      <c r="Z79" s="106">
        <v>65.2</v>
      </c>
      <c r="AA79" s="106">
        <v>71</v>
      </c>
      <c r="AB79" s="106">
        <v>71</v>
      </c>
      <c r="AC79" s="106">
        <v>76</v>
      </c>
      <c r="AD79" s="106">
        <v>66.5</v>
      </c>
      <c r="AE79" s="106">
        <v>67.099999999999994</v>
      </c>
      <c r="AF79" s="107">
        <v>67.400000000000006</v>
      </c>
      <c r="AG79" s="108"/>
      <c r="AH79" s="52">
        <f>MAX(B79:AF79)</f>
        <v>135.1</v>
      </c>
      <c r="AI79" s="53">
        <f>MIN(B79:AF79)</f>
        <v>65.2</v>
      </c>
    </row>
    <row r="80" spans="1:35" x14ac:dyDescent="0.25">
      <c r="A80" s="109" t="s">
        <v>87</v>
      </c>
      <c r="B80" s="110">
        <f>SUMIF(B48:B57,"&gt;0")</f>
        <v>425.47</v>
      </c>
      <c r="C80" s="110">
        <f t="shared" ref="C80:AF80" si="19">SUMIF(C48:C57,"&gt;0")</f>
        <v>427.2</v>
      </c>
      <c r="D80" s="110">
        <f t="shared" si="19"/>
        <v>432.3</v>
      </c>
      <c r="E80" s="110">
        <f t="shared" si="19"/>
        <v>416</v>
      </c>
      <c r="F80" s="110">
        <f t="shared" si="19"/>
        <v>421.2</v>
      </c>
      <c r="G80" s="110">
        <f t="shared" si="19"/>
        <v>418.6</v>
      </c>
      <c r="H80" s="110">
        <f t="shared" si="19"/>
        <v>438.5</v>
      </c>
      <c r="I80" s="110">
        <f t="shared" si="19"/>
        <v>498.46</v>
      </c>
      <c r="J80" s="110">
        <f t="shared" si="19"/>
        <v>542.05999999999995</v>
      </c>
      <c r="K80" s="110">
        <f t="shared" si="19"/>
        <v>553.78</v>
      </c>
      <c r="L80" s="110">
        <f t="shared" si="19"/>
        <v>570.4</v>
      </c>
      <c r="M80" s="110">
        <f t="shared" si="19"/>
        <v>573.5</v>
      </c>
      <c r="N80" s="110">
        <f t="shared" si="19"/>
        <v>581.70000000000005</v>
      </c>
      <c r="O80" s="110">
        <f t="shared" si="19"/>
        <v>512</v>
      </c>
      <c r="P80" s="110">
        <f t="shared" si="19"/>
        <v>482.78999999999996</v>
      </c>
      <c r="Q80" s="110">
        <f t="shared" si="19"/>
        <v>513.6</v>
      </c>
      <c r="R80" s="110">
        <f t="shared" si="19"/>
        <v>495.8</v>
      </c>
      <c r="S80" s="110">
        <f t="shared" si="19"/>
        <v>537.79999999999995</v>
      </c>
      <c r="T80" s="110">
        <f t="shared" si="19"/>
        <v>514</v>
      </c>
      <c r="U80" s="110">
        <f t="shared" si="19"/>
        <v>504.59999999999997</v>
      </c>
      <c r="V80" s="110">
        <f t="shared" si="19"/>
        <v>511.09</v>
      </c>
      <c r="W80" s="110">
        <f t="shared" si="19"/>
        <v>488.96</v>
      </c>
      <c r="X80" s="110">
        <f t="shared" si="19"/>
        <v>567.42999999999995</v>
      </c>
      <c r="Y80" s="110">
        <f t="shared" si="19"/>
        <v>569.4</v>
      </c>
      <c r="Z80" s="110">
        <f t="shared" si="19"/>
        <v>621</v>
      </c>
      <c r="AA80" s="110">
        <f t="shared" si="19"/>
        <v>609.29999999999995</v>
      </c>
      <c r="AB80" s="110">
        <f t="shared" si="19"/>
        <v>613.20000000000005</v>
      </c>
      <c r="AC80" s="110">
        <f t="shared" si="19"/>
        <v>591.29999999999995</v>
      </c>
      <c r="AD80" s="110">
        <f t="shared" si="19"/>
        <v>554.5</v>
      </c>
      <c r="AE80" s="110">
        <f t="shared" si="19"/>
        <v>475</v>
      </c>
      <c r="AF80" s="110">
        <f t="shared" si="19"/>
        <v>458</v>
      </c>
      <c r="AG80" s="111"/>
      <c r="AH80" s="52">
        <f>MAX(B80:AF80)</f>
        <v>621</v>
      </c>
      <c r="AI80" s="53">
        <f>MIN(B80:AF80)</f>
        <v>416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138.21999999999997</v>
      </c>
      <c r="C82" s="115">
        <f t="shared" ref="C82:AF82" si="20">C11+C13+C17+C34+C36+C38+C40+C94+C108+C110+C121+C127+C130+C139+C143+C144+C147+C154+C159+C162+C163+C164+C172+C177+C83+C84+C85+C86+C99</f>
        <v>133.12</v>
      </c>
      <c r="D82" s="115">
        <f t="shared" si="20"/>
        <v>130.71999999999997</v>
      </c>
      <c r="E82" s="115">
        <f t="shared" si="20"/>
        <v>135.02000000000001</v>
      </c>
      <c r="F82" s="115">
        <f t="shared" si="20"/>
        <v>149.82000000000002</v>
      </c>
      <c r="G82" s="115">
        <f t="shared" si="20"/>
        <v>672.22</v>
      </c>
      <c r="H82" s="115">
        <f t="shared" si="20"/>
        <v>204.72000000000003</v>
      </c>
      <c r="I82" s="115">
        <f t="shared" si="20"/>
        <v>211.62</v>
      </c>
      <c r="J82" s="115">
        <f t="shared" si="20"/>
        <v>232.42</v>
      </c>
      <c r="K82" s="115">
        <f t="shared" si="20"/>
        <v>243.62</v>
      </c>
      <c r="L82" s="115">
        <f t="shared" si="20"/>
        <v>253.6</v>
      </c>
      <c r="M82" s="115">
        <f t="shared" si="20"/>
        <v>259.91999999999996</v>
      </c>
      <c r="N82" s="115">
        <f t="shared" si="20"/>
        <v>242.72000000000003</v>
      </c>
      <c r="O82" s="115">
        <f t="shared" si="20"/>
        <v>221.22</v>
      </c>
      <c r="P82" s="115">
        <f t="shared" si="20"/>
        <v>214.72</v>
      </c>
      <c r="Q82" s="115">
        <f t="shared" si="20"/>
        <v>215.12000000000003</v>
      </c>
      <c r="R82" s="115">
        <f t="shared" si="20"/>
        <v>214.42000000000004</v>
      </c>
      <c r="S82" s="115">
        <f t="shared" si="20"/>
        <v>216.02</v>
      </c>
      <c r="T82" s="115">
        <f t="shared" si="20"/>
        <v>209.52</v>
      </c>
      <c r="U82" s="115">
        <f t="shared" si="20"/>
        <v>243.62</v>
      </c>
      <c r="V82" s="115">
        <f t="shared" si="20"/>
        <v>220.61999999999998</v>
      </c>
      <c r="W82" s="115">
        <f t="shared" si="20"/>
        <v>223.32000000000002</v>
      </c>
      <c r="X82" s="115">
        <f t="shared" si="20"/>
        <v>241.51999999999998</v>
      </c>
      <c r="Y82" s="115">
        <f t="shared" si="20"/>
        <v>291.91999999999996</v>
      </c>
      <c r="Z82" s="115">
        <f t="shared" si="20"/>
        <v>315.82</v>
      </c>
      <c r="AA82" s="115">
        <f t="shared" si="20"/>
        <v>278.41999999999996</v>
      </c>
      <c r="AB82" s="115">
        <f t="shared" si="20"/>
        <v>260.02</v>
      </c>
      <c r="AC82" s="115">
        <f t="shared" si="20"/>
        <v>246.12</v>
      </c>
      <c r="AD82" s="115">
        <f t="shared" si="20"/>
        <v>187.82</v>
      </c>
      <c r="AE82" s="115">
        <f t="shared" si="20"/>
        <v>160.41999999999999</v>
      </c>
      <c r="AF82" s="115">
        <f t="shared" si="20"/>
        <v>144.21999999999997</v>
      </c>
      <c r="AG82" s="116"/>
      <c r="AH82" s="52">
        <f>MAX(B82:AF82)</f>
        <v>672.22</v>
      </c>
      <c r="AI82" s="53">
        <f>MIN(B82:AF82)</f>
        <v>130.71999999999997</v>
      </c>
    </row>
    <row r="83" spans="1:37" ht="15.75" thickBot="1" x14ac:dyDescent="0.3">
      <c r="A83" s="117" t="s">
        <v>89</v>
      </c>
      <c r="B83" s="119">
        <v>-12.2</v>
      </c>
      <c r="C83" s="118">
        <v>-7.2</v>
      </c>
      <c r="D83" s="118">
        <v>-8.5</v>
      </c>
      <c r="E83" s="118">
        <v>-11.8</v>
      </c>
      <c r="F83" s="118">
        <v>-11.1</v>
      </c>
      <c r="G83" s="118">
        <v>2.9</v>
      </c>
      <c r="H83" s="118">
        <v>8.8000000000000007</v>
      </c>
      <c r="I83" s="118">
        <v>6.3</v>
      </c>
      <c r="J83" s="118">
        <v>5.5</v>
      </c>
      <c r="K83" s="118">
        <v>11.8</v>
      </c>
      <c r="L83" s="118">
        <v>16.7</v>
      </c>
      <c r="M83" s="118">
        <v>17.8</v>
      </c>
      <c r="N83" s="118">
        <v>18.3</v>
      </c>
      <c r="O83" s="118">
        <v>21.3</v>
      </c>
      <c r="P83" s="118">
        <v>19.399999999999999</v>
      </c>
      <c r="Q83" s="118">
        <v>9.9</v>
      </c>
      <c r="R83" s="118">
        <v>22.1</v>
      </c>
      <c r="S83" s="178">
        <v>5.3</v>
      </c>
      <c r="T83" s="118">
        <v>1.5</v>
      </c>
      <c r="U83" s="118">
        <v>1.4</v>
      </c>
      <c r="V83" s="118">
        <v>-5.4</v>
      </c>
      <c r="W83" s="118">
        <v>-1</v>
      </c>
      <c r="X83" s="118">
        <v>-2.4</v>
      </c>
      <c r="Y83" s="118">
        <v>19.899999999999999</v>
      </c>
      <c r="Z83" s="118">
        <v>18.3</v>
      </c>
      <c r="AA83" s="50">
        <v>17.600000000000001</v>
      </c>
      <c r="AB83" s="50">
        <v>18</v>
      </c>
      <c r="AC83" s="50">
        <v>19</v>
      </c>
      <c r="AD83" s="50">
        <v>8</v>
      </c>
      <c r="AE83" s="50">
        <v>14</v>
      </c>
      <c r="AF83" s="119">
        <v>11</v>
      </c>
      <c r="AG83" s="120">
        <v>75</v>
      </c>
      <c r="AH83" s="52">
        <f>IF(ABS(MAX(B83:AF83))&gt;ABS(MIN(B83:AF83)),MAX(B83:AF83),MIN(B83:AF83))</f>
        <v>22.1</v>
      </c>
      <c r="AI83" s="121">
        <f>INDEX($B$9:$AF$9,1,MATCH(AH83,B83:AF83,0))</f>
        <v>0.58333333333333304</v>
      </c>
    </row>
    <row r="84" spans="1:37" x14ac:dyDescent="0.25">
      <c r="A84" s="122" t="s">
        <v>90</v>
      </c>
      <c r="B84" s="123">
        <v>2.2999999999999998</v>
      </c>
      <c r="C84" s="83">
        <v>2.9</v>
      </c>
      <c r="D84" s="83">
        <v>3.7</v>
      </c>
      <c r="E84" s="83">
        <v>9</v>
      </c>
      <c r="F84" s="83">
        <v>12</v>
      </c>
      <c r="G84" s="83">
        <f>4.5+501</f>
        <v>505.5</v>
      </c>
      <c r="H84" s="83">
        <f>8.4+8.1</f>
        <v>16.5</v>
      </c>
      <c r="I84" s="83">
        <f>10.2+11.9</f>
        <v>22.1</v>
      </c>
      <c r="J84" s="83">
        <f>14.8+16.8</f>
        <v>31.6</v>
      </c>
      <c r="K84" s="83">
        <f>14.5+16.2</f>
        <v>30.7</v>
      </c>
      <c r="L84" s="83">
        <v>32</v>
      </c>
      <c r="M84" s="83">
        <v>40</v>
      </c>
      <c r="N84" s="83">
        <v>24</v>
      </c>
      <c r="O84" s="83">
        <v>3.4</v>
      </c>
      <c r="P84" s="83">
        <v>4</v>
      </c>
      <c r="Q84" s="83">
        <v>13.4</v>
      </c>
      <c r="R84" s="83">
        <f>1.4-1.6</f>
        <v>-0.20000000000000018</v>
      </c>
      <c r="S84" s="118">
        <f>8.3+8.6</f>
        <v>16.899999999999999</v>
      </c>
      <c r="T84" s="83">
        <v>20</v>
      </c>
      <c r="U84" s="83">
        <v>19</v>
      </c>
      <c r="V84" s="83">
        <v>25.2</v>
      </c>
      <c r="W84" s="83">
        <v>20.9</v>
      </c>
      <c r="X84" s="83">
        <v>33</v>
      </c>
      <c r="Y84" s="83">
        <v>39.4</v>
      </c>
      <c r="Z84" s="83">
        <v>43</v>
      </c>
      <c r="AA84" s="70">
        <v>28.5</v>
      </c>
      <c r="AB84" s="70">
        <v>21</v>
      </c>
      <c r="AC84" s="70">
        <v>14</v>
      </c>
      <c r="AD84" s="70">
        <v>6</v>
      </c>
      <c r="AE84" s="70">
        <v>-7</v>
      </c>
      <c r="AF84" s="123">
        <v>-9.5</v>
      </c>
      <c r="AG84" s="120">
        <v>240</v>
      </c>
      <c r="AH84" s="52">
        <f>IF(ABS(MAX(B84:AF84))&gt;ABS(MIN(B84:AF84)),MAX(B84:AF84),MIN(B84:AF84))</f>
        <v>505.5</v>
      </c>
      <c r="AI84" s="121">
        <f>INDEX($B$9:$AF$9,1,MATCH(AH84,B84:AF84,0))</f>
        <v>0.22916666666666666</v>
      </c>
    </row>
    <row r="85" spans="1:37" x14ac:dyDescent="0.25">
      <c r="A85" s="122" t="s">
        <v>91</v>
      </c>
      <c r="B85" s="123">
        <v>18.2</v>
      </c>
      <c r="C85" s="83">
        <v>8.4</v>
      </c>
      <c r="D85" s="83">
        <v>8.1999999999999993</v>
      </c>
      <c r="E85" s="83">
        <v>9.8000000000000007</v>
      </c>
      <c r="F85" s="83">
        <v>10.8</v>
      </c>
      <c r="G85" s="83">
        <v>10.6</v>
      </c>
      <c r="H85" s="83">
        <v>13.3</v>
      </c>
      <c r="I85" s="83">
        <v>15.1</v>
      </c>
      <c r="J85" s="83">
        <v>16.899999999999999</v>
      </c>
      <c r="K85" s="83">
        <v>15.8</v>
      </c>
      <c r="L85" s="83">
        <v>16.100000000000001</v>
      </c>
      <c r="M85" s="83">
        <v>16.2</v>
      </c>
      <c r="N85" s="83">
        <v>21.4</v>
      </c>
      <c r="O85" s="83">
        <v>17.600000000000001</v>
      </c>
      <c r="P85" s="83">
        <v>15</v>
      </c>
      <c r="Q85" s="83">
        <v>17.8</v>
      </c>
      <c r="R85" s="83">
        <v>22.9</v>
      </c>
      <c r="S85" s="83">
        <v>19.5</v>
      </c>
      <c r="T85" s="83">
        <v>20.2</v>
      </c>
      <c r="U85" s="83">
        <v>18.2</v>
      </c>
      <c r="V85" s="83">
        <v>20.399999999999999</v>
      </c>
      <c r="W85" s="83">
        <v>20.6</v>
      </c>
      <c r="X85" s="83">
        <v>2.5</v>
      </c>
      <c r="Y85" s="83">
        <v>26.4</v>
      </c>
      <c r="Z85" s="83">
        <v>34.6</v>
      </c>
      <c r="AA85" s="70">
        <v>31</v>
      </c>
      <c r="AB85" s="70">
        <v>23</v>
      </c>
      <c r="AC85" s="70">
        <v>17</v>
      </c>
      <c r="AD85" s="70">
        <v>10</v>
      </c>
      <c r="AE85" s="70">
        <v>6</v>
      </c>
      <c r="AF85" s="123">
        <v>5.2</v>
      </c>
      <c r="AG85" s="120">
        <v>60</v>
      </c>
      <c r="AH85" s="52">
        <f>IF(ABS(MAX(B85:AF85))&gt;ABS(MIN(B85:AF85)),MAX(B85:AF85),MIN(B85:AF85))</f>
        <v>34.6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>
        <v>-13.1</v>
      </c>
      <c r="C86" s="85">
        <v>-15.2</v>
      </c>
      <c r="D86" s="85">
        <v>-14</v>
      </c>
      <c r="E86" s="85">
        <v>-13.1</v>
      </c>
      <c r="F86" s="85">
        <v>-4.5</v>
      </c>
      <c r="G86" s="85">
        <v>8.9</v>
      </c>
      <c r="H86" s="85">
        <v>22.4</v>
      </c>
      <c r="I86" s="85">
        <v>26.9</v>
      </c>
      <c r="J86" s="85">
        <v>36.200000000000003</v>
      </c>
      <c r="K86" s="85">
        <v>42.5</v>
      </c>
      <c r="L86" s="85">
        <v>45.4</v>
      </c>
      <c r="M86" s="85">
        <v>44</v>
      </c>
      <c r="N86" s="85">
        <v>35.9</v>
      </c>
      <c r="O86" s="85">
        <v>37.700000000000003</v>
      </c>
      <c r="P86" s="85">
        <v>33.200000000000003</v>
      </c>
      <c r="Q86" s="85">
        <v>31.1</v>
      </c>
      <c r="R86" s="85">
        <v>32</v>
      </c>
      <c r="S86" s="85">
        <v>33.5</v>
      </c>
      <c r="T86" s="85">
        <v>31.4</v>
      </c>
      <c r="U86" s="85">
        <v>64</v>
      </c>
      <c r="V86" s="85">
        <v>40.1</v>
      </c>
      <c r="W86" s="85">
        <v>41.8</v>
      </c>
      <c r="X86" s="85">
        <v>66.599999999999994</v>
      </c>
      <c r="Y86" s="85">
        <v>66.099999999999994</v>
      </c>
      <c r="Z86" s="85">
        <v>79</v>
      </c>
      <c r="AA86" s="125">
        <v>64.2</v>
      </c>
      <c r="AB86" s="125">
        <v>60</v>
      </c>
      <c r="AC86" s="125">
        <v>53.5</v>
      </c>
      <c r="AD86" s="125">
        <v>19.399999999999999</v>
      </c>
      <c r="AE86" s="125">
        <v>4.2</v>
      </c>
      <c r="AF86" s="126">
        <v>-5.3</v>
      </c>
      <c r="AG86" s="127">
        <v>120</v>
      </c>
      <c r="AH86" s="52">
        <f>IF(ABS(MAX(B86:AF86))&gt;ABS(MIN(B86:AF86)),MAX(B86:AF86),MIN(B86:AF86))</f>
        <v>79</v>
      </c>
      <c r="AI86" s="121">
        <f>INDEX($B$9:$AF$9,1,MATCH(AH86,B86:AF86,0))</f>
        <v>0.8125</v>
      </c>
    </row>
    <row r="87" spans="1:37" ht="15.75" thickBot="1" x14ac:dyDescent="0.3">
      <c r="A87" s="124" t="s">
        <v>93</v>
      </c>
      <c r="B87" s="126">
        <v>28.5</v>
      </c>
      <c r="C87" s="85">
        <v>74.3</v>
      </c>
      <c r="D87" s="85">
        <v>75.900000000000006</v>
      </c>
      <c r="E87" s="85">
        <v>78</v>
      </c>
      <c r="F87" s="85">
        <v>76</v>
      </c>
      <c r="G87" s="85">
        <v>66.900000000000006</v>
      </c>
      <c r="H87" s="85">
        <v>66.900000000000006</v>
      </c>
      <c r="I87" s="85">
        <v>74.400000000000006</v>
      </c>
      <c r="J87" s="85">
        <v>83</v>
      </c>
      <c r="K87" s="85">
        <v>79.400000000000006</v>
      </c>
      <c r="L87" s="85">
        <v>82.8</v>
      </c>
      <c r="M87" s="85">
        <v>85.6</v>
      </c>
      <c r="N87" s="85">
        <v>81.400000000000006</v>
      </c>
      <c r="O87" s="85">
        <v>65.900000000000006</v>
      </c>
      <c r="P87" s="85">
        <v>67.5</v>
      </c>
      <c r="Q87" s="85">
        <v>47.4</v>
      </c>
      <c r="R87" s="85">
        <v>53.5</v>
      </c>
      <c r="S87" s="85">
        <v>76.8</v>
      </c>
      <c r="T87" s="85">
        <v>85.2</v>
      </c>
      <c r="U87" s="85">
        <v>76.3</v>
      </c>
      <c r="V87" s="85">
        <v>84.9</v>
      </c>
      <c r="W87" s="85">
        <v>79.5</v>
      </c>
      <c r="X87" s="85">
        <v>89.3</v>
      </c>
      <c r="Y87" s="85">
        <v>89.4</v>
      </c>
      <c r="Z87" s="85">
        <v>87.1</v>
      </c>
      <c r="AA87" s="125">
        <v>73</v>
      </c>
      <c r="AB87" s="125">
        <v>74</v>
      </c>
      <c r="AC87" s="125">
        <v>74.5</v>
      </c>
      <c r="AD87" s="125">
        <v>75.400000000000006</v>
      </c>
      <c r="AE87" s="125">
        <v>62</v>
      </c>
      <c r="AF87" s="126">
        <v>64</v>
      </c>
      <c r="AG87" s="127"/>
      <c r="AH87" s="52">
        <f>IF(ABS(MAX(B87:AF87))&gt;ABS(MIN(B87:AF87)),MAX(B87:AF87),MIN(B87:AF87))</f>
        <v>89.4</v>
      </c>
      <c r="AI87" s="121">
        <f>INDEX($B$9:$AF$9,1,MATCH(AH87,B87:AF87,0))</f>
        <v>0.79166666666666663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1033.3399999999999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889.21</v>
      </c>
      <c r="U193" s="173">
        <f t="shared" si="37"/>
        <v>860.54</v>
      </c>
      <c r="V193" s="173">
        <f t="shared" si="37"/>
        <v>852.74</v>
      </c>
      <c r="W193" s="173">
        <f t="shared" si="37"/>
        <v>828.24</v>
      </c>
      <c r="X193" s="173">
        <f t="shared" si="37"/>
        <v>835.14</v>
      </c>
      <c r="Y193" s="173">
        <f t="shared" si="37"/>
        <v>830.74</v>
      </c>
      <c r="Z193" s="173">
        <f t="shared" si="37"/>
        <v>877.94</v>
      </c>
      <c r="AA193" s="173">
        <f t="shared" si="37"/>
        <v>910.9</v>
      </c>
      <c r="AB193" s="173">
        <f t="shared" si="37"/>
        <v>950.59999999999991</v>
      </c>
      <c r="AC193" s="173">
        <f t="shared" si="37"/>
        <v>976.81999999999994</v>
      </c>
      <c r="AD193" s="173">
        <f t="shared" si="37"/>
        <v>1016.12</v>
      </c>
      <c r="AE193" s="173">
        <f t="shared" si="37"/>
        <v>1033.3399999999999</v>
      </c>
      <c r="AF193" s="173">
        <f t="shared" si="37"/>
        <v>1071.44</v>
      </c>
      <c r="AG193" s="173">
        <f t="shared" si="37"/>
        <v>1071.3400000000001</v>
      </c>
      <c r="AH193" s="173">
        <f t="shared" si="37"/>
        <v>1046.03</v>
      </c>
      <c r="AI193" s="173">
        <f t="shared" si="37"/>
        <v>1059.74</v>
      </c>
      <c r="AJ193" s="173">
        <f t="shared" si="37"/>
        <v>1042.04</v>
      </c>
      <c r="AK193" s="173">
        <f t="shared" si="37"/>
        <v>1055.3400000000001</v>
      </c>
      <c r="AL193" s="173">
        <f t="shared" si="37"/>
        <v>1020.74</v>
      </c>
      <c r="AM193" s="173">
        <f t="shared" si="37"/>
        <v>1012.14</v>
      </c>
      <c r="AN193" s="173">
        <f t="shared" si="37"/>
        <v>996.7299999999999</v>
      </c>
      <c r="AO193" s="173">
        <f t="shared" si="37"/>
        <v>981.7</v>
      </c>
      <c r="AP193" s="173">
        <f t="shared" si="37"/>
        <v>1057.67</v>
      </c>
      <c r="AQ193" s="173">
        <f t="shared" si="37"/>
        <v>1132.1399999999999</v>
      </c>
      <c r="AR193" s="173">
        <f t="shared" si="37"/>
        <v>1259.6399999999999</v>
      </c>
      <c r="AS193" s="173">
        <f t="shared" si="37"/>
        <v>1246.54</v>
      </c>
      <c r="AT193" s="173">
        <f t="shared" si="37"/>
        <v>1235.74</v>
      </c>
      <c r="AU193" s="173">
        <f t="shared" si="37"/>
        <v>1188.04</v>
      </c>
      <c r="AV193" s="173">
        <f t="shared" si="37"/>
        <v>1097.44</v>
      </c>
      <c r="AW193" s="173">
        <f t="shared" si="37"/>
        <v>1001.1400000000001</v>
      </c>
      <c r="AX193" s="173">
        <f t="shared" si="37"/>
        <v>963.94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755" priority="184">
      <formula>S$9&gt;=20/24</formula>
    </cfRule>
    <cfRule type="expression" dxfId="5754" priority="185">
      <formula>AND(S$9&gt;=14/24,S$9&lt;20/24)</formula>
    </cfRule>
    <cfRule type="expression" dxfId="5753" priority="186">
      <formula>AND(S$9&gt;=8/24,S$9&lt;14/24)</formula>
    </cfRule>
    <cfRule type="expression" dxfId="5752" priority="187">
      <formula>S$9&lt;8/24</formula>
    </cfRule>
  </conditionalFormatting>
  <conditionalFormatting sqref="B8:AF10 AA70:AF70 C70:Q70 L32:Z33 L31:Q31 C47:AF47 C71:AF71 C48:K52 C72:Q72 C173:AF179 M36 N35:Q36 L29:Q29 L34:Q34 L49:T50 V35:W35 X34:Z35 C73:Z79 R11:T11 C59:AF69 U11:Z12 L51:Q54 M37:Q39 R53:Z54 T83:Z83 S84 R83 AA53 AA54:AF54 L55:AF58 S34:AF34 R39:AF39 AA48:AF51 AA72:AF79 L44:AF46">
    <cfRule type="expression" dxfId="5751" priority="180">
      <formula>B$9&gt;=20/24</formula>
    </cfRule>
    <cfRule type="expression" dxfId="5750" priority="181">
      <formula>AND(B$9&gt;=14/24,B$9&lt;20/24)</formula>
    </cfRule>
    <cfRule type="expression" dxfId="5749" priority="182">
      <formula>AND(B$9&gt;=8/24,B$9&lt;14/24)</formula>
    </cfRule>
    <cfRule type="expression" dxfId="5748" priority="183">
      <formula>B$9&lt;8/24</formula>
    </cfRule>
  </conditionalFormatting>
  <conditionalFormatting sqref="B171:AF171">
    <cfRule type="expression" dxfId="5747" priority="176">
      <formula>B$9&gt;=20/24</formula>
    </cfRule>
    <cfRule type="expression" dxfId="5746" priority="177">
      <formula>AND(B$9&gt;=14/24,B$9&lt;20/24)</formula>
    </cfRule>
    <cfRule type="expression" dxfId="5745" priority="178">
      <formula>AND(B$9&gt;=8/24,B$9&lt;14/24)</formula>
    </cfRule>
    <cfRule type="expression" dxfId="5744" priority="179">
      <formula>B$9&lt;8/24</formula>
    </cfRule>
  </conditionalFormatting>
  <conditionalFormatting sqref="AL4:AL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5743" priority="171">
      <formula>L$9&gt;=20/24</formula>
    </cfRule>
    <cfRule type="expression" dxfId="5742" priority="172">
      <formula>AND(L$9&gt;=14/24,L$9&lt;20/24)</formula>
    </cfRule>
    <cfRule type="expression" dxfId="5741" priority="173">
      <formula>AND(L$9&gt;=8/24,L$9&lt;14/24)</formula>
    </cfRule>
    <cfRule type="expression" dxfId="5740" priority="174">
      <formula>L$9&lt;8/24</formula>
    </cfRule>
  </conditionalFormatting>
  <conditionalFormatting sqref="L35:M35">
    <cfRule type="expression" dxfId="5739" priority="167">
      <formula>L$9&gt;=20/24</formula>
    </cfRule>
    <cfRule type="expression" dxfId="5738" priority="168">
      <formula>AND(L$9&gt;=14/24,L$9&lt;20/24)</formula>
    </cfRule>
    <cfRule type="expression" dxfId="5737" priority="169">
      <formula>AND(L$9&gt;=8/24,L$9&lt;14/24)</formula>
    </cfRule>
    <cfRule type="expression" dxfId="5736" priority="170">
      <formula>L$9&lt;8/24</formula>
    </cfRule>
  </conditionalFormatting>
  <conditionalFormatting sqref="U13:Z13">
    <cfRule type="expression" dxfId="5735" priority="163">
      <formula>U$9&gt;=20/24</formula>
    </cfRule>
    <cfRule type="expression" dxfId="5734" priority="164">
      <formula>AND(U$9&gt;=14/24,U$9&lt;20/24)</formula>
    </cfRule>
    <cfRule type="expression" dxfId="5733" priority="165">
      <formula>AND(U$9&gt;=8/24,U$9&lt;14/24)</formula>
    </cfRule>
    <cfRule type="expression" dxfId="5732" priority="166">
      <formula>U$9&lt;8/24</formula>
    </cfRule>
  </conditionalFormatting>
  <conditionalFormatting sqref="R31:Z31">
    <cfRule type="expression" dxfId="5731" priority="159">
      <formula>R$9&gt;=20/24</formula>
    </cfRule>
    <cfRule type="expression" dxfId="5730" priority="160">
      <formula>AND(R$9&gt;=14/24,R$9&lt;20/24)</formula>
    </cfRule>
    <cfRule type="expression" dxfId="5729" priority="161">
      <formula>AND(R$9&gt;=8/24,R$9&lt;14/24)</formula>
    </cfRule>
    <cfRule type="expression" dxfId="5728" priority="162">
      <formula>R$9&lt;8/24</formula>
    </cfRule>
  </conditionalFormatting>
  <conditionalFormatting sqref="R48:Z48">
    <cfRule type="expression" dxfId="5727" priority="155">
      <formula>R$9&gt;=20/24</formula>
    </cfRule>
    <cfRule type="expression" dxfId="5726" priority="156">
      <formula>AND(R$9&gt;=14/24,R$9&lt;20/24)</formula>
    </cfRule>
    <cfRule type="expression" dxfId="5725" priority="157">
      <formula>AND(R$9&gt;=8/24,R$9&lt;14/24)</formula>
    </cfRule>
    <cfRule type="expression" dxfId="5724" priority="158">
      <formula>R$9&lt;8/24</formula>
    </cfRule>
  </conditionalFormatting>
  <conditionalFormatting sqref="R70:Z70">
    <cfRule type="expression" dxfId="5723" priority="151">
      <formula>R$9&gt;=20/24</formula>
    </cfRule>
    <cfRule type="expression" dxfId="5722" priority="152">
      <formula>AND(R$9&gt;=14/24,R$9&lt;20/24)</formula>
    </cfRule>
    <cfRule type="expression" dxfId="5721" priority="153">
      <formula>AND(R$9&gt;=8/24,R$9&lt;14/24)</formula>
    </cfRule>
    <cfRule type="expression" dxfId="5720" priority="154">
      <formula>R$9&lt;8/24</formula>
    </cfRule>
  </conditionalFormatting>
  <conditionalFormatting sqref="R72:Z72">
    <cfRule type="expression" dxfId="5719" priority="147">
      <formula>R$9&gt;=20/24</formula>
    </cfRule>
    <cfRule type="expression" dxfId="5718" priority="148">
      <formula>AND(R$9&gt;=14/24,R$9&lt;20/24)</formula>
    </cfRule>
    <cfRule type="expression" dxfId="5717" priority="149">
      <formula>AND(R$9&gt;=8/24,R$9&lt;14/24)</formula>
    </cfRule>
    <cfRule type="expression" dxfId="5716" priority="150">
      <formula>R$9&lt;8/24</formula>
    </cfRule>
  </conditionalFormatting>
  <conditionalFormatting sqref="L11:Q13 M15:Q15 M17:Q17 M19:Q19">
    <cfRule type="expression" dxfId="5715" priority="143">
      <formula>L$9&gt;=20/24</formula>
    </cfRule>
    <cfRule type="expression" dxfId="5714" priority="144">
      <formula>AND(L$9&gt;=14/24,L$9&lt;20/24)</formula>
    </cfRule>
    <cfRule type="expression" dxfId="5713" priority="145">
      <formula>AND(L$9&gt;=8/24,L$9&lt;14/24)</formula>
    </cfRule>
    <cfRule type="expression" dxfId="5712" priority="146">
      <formula>L$9&lt;8/24</formula>
    </cfRule>
  </conditionalFormatting>
  <conditionalFormatting sqref="L40:AF40">
    <cfRule type="expression" dxfId="5711" priority="139">
      <formula>L$9&gt;=20/24</formula>
    </cfRule>
    <cfRule type="expression" dxfId="5710" priority="140">
      <formula>AND(L$9&gt;=14/24,L$9&lt;20/24)</formula>
    </cfRule>
    <cfRule type="expression" dxfId="5709" priority="141">
      <formula>AND(L$9&gt;=8/24,L$9&lt;14/24)</formula>
    </cfRule>
    <cfRule type="expression" dxfId="5708" priority="142">
      <formula>L$9&lt;8/24</formula>
    </cfRule>
  </conditionalFormatting>
  <conditionalFormatting sqref="L41:AF41">
    <cfRule type="expression" dxfId="5707" priority="135">
      <formula>L$9&gt;=20/24</formula>
    </cfRule>
    <cfRule type="expression" dxfId="5706" priority="136">
      <formula>AND(L$9&gt;=14/24,L$9&lt;20/24)</formula>
    </cfRule>
    <cfRule type="expression" dxfId="5705" priority="137">
      <formula>AND(L$9&gt;=8/24,L$9&lt;14/24)</formula>
    </cfRule>
    <cfRule type="expression" dxfId="5704" priority="138">
      <formula>L$9&lt;8/24</formula>
    </cfRule>
  </conditionalFormatting>
  <conditionalFormatting sqref="L36:L39 M38:Q39 R39:AF39">
    <cfRule type="expression" dxfId="5703" priority="131">
      <formula>L$9&gt;=20/24</formula>
    </cfRule>
    <cfRule type="expression" dxfId="5702" priority="132">
      <formula>AND(L$9&gt;=14/24,L$9&lt;20/24)</formula>
    </cfRule>
    <cfRule type="expression" dxfId="5701" priority="133">
      <formula>AND(L$9&gt;=8/24,L$9&lt;14/24)</formula>
    </cfRule>
    <cfRule type="expression" dxfId="5700" priority="134">
      <formula>L$9&lt;8/24</formula>
    </cfRule>
  </conditionalFormatting>
  <conditionalFormatting sqref="R29:AD29">
    <cfRule type="expression" dxfId="5699" priority="127">
      <formula>R$9&gt;=20/24</formula>
    </cfRule>
    <cfRule type="expression" dxfId="5698" priority="128">
      <formula>AND(R$9&gt;=14/24,R$9&lt;20/24)</formula>
    </cfRule>
    <cfRule type="expression" dxfId="5697" priority="129">
      <formula>AND(R$9&gt;=8/24,R$9&lt;14/24)</formula>
    </cfRule>
    <cfRule type="expression" dxfId="5696" priority="130">
      <formula>R$9&lt;8/24</formula>
    </cfRule>
  </conditionalFormatting>
  <conditionalFormatting sqref="R12:T20 S14:AF14 S16:AF16 S18:AF18 T20:AF20 U14:AF20">
    <cfRule type="expression" dxfId="5695" priority="123">
      <formula>R$9&gt;=20/24</formula>
    </cfRule>
    <cfRule type="expression" dxfId="5694" priority="124">
      <formula>AND(R$9&gt;=14/24,R$9&lt;20/24)</formula>
    </cfRule>
    <cfRule type="expression" dxfId="5693" priority="125">
      <formula>AND(R$9&gt;=8/24,R$9&lt;14/24)</formula>
    </cfRule>
    <cfRule type="expression" dxfId="5692" priority="126">
      <formula>R$9&lt;8/24</formula>
    </cfRule>
  </conditionalFormatting>
  <conditionalFormatting sqref="R34:R39 S35:U39 V36:Z39 S37:AF39">
    <cfRule type="expression" dxfId="5691" priority="119">
      <formula>R$9&gt;=20/24</formula>
    </cfRule>
    <cfRule type="expression" dxfId="5690" priority="120">
      <formula>AND(R$9&gt;=14/24,R$9&lt;20/24)</formula>
    </cfRule>
    <cfRule type="expression" dxfId="5689" priority="121">
      <formula>AND(R$9&gt;=8/24,R$9&lt;14/24)</formula>
    </cfRule>
    <cfRule type="expression" dxfId="5688" priority="122">
      <formula>R$9&lt;8/24</formula>
    </cfRule>
  </conditionalFormatting>
  <conditionalFormatting sqref="R40:AF40">
    <cfRule type="expression" dxfId="5687" priority="115">
      <formula>R$9&gt;=20/24</formula>
    </cfRule>
    <cfRule type="expression" dxfId="5686" priority="116">
      <formula>AND(R$9&gt;=14/24,R$9&lt;20/24)</formula>
    </cfRule>
    <cfRule type="expression" dxfId="5685" priority="117">
      <formula>AND(R$9&gt;=8/24,R$9&lt;14/24)</formula>
    </cfRule>
    <cfRule type="expression" dxfId="5684" priority="118">
      <formula>R$9&lt;8/24</formula>
    </cfRule>
  </conditionalFormatting>
  <conditionalFormatting sqref="R41:AF41">
    <cfRule type="expression" dxfId="5683" priority="111">
      <formula>R$9&gt;=20/24</formula>
    </cfRule>
    <cfRule type="expression" dxfId="5682" priority="112">
      <formula>AND(R$9&gt;=14/24,R$9&lt;20/24)</formula>
    </cfRule>
    <cfRule type="expression" dxfId="5681" priority="113">
      <formula>AND(R$9&gt;=8/24,R$9&lt;14/24)</formula>
    </cfRule>
    <cfRule type="expression" dxfId="5680" priority="114">
      <formula>R$9&lt;8/24</formula>
    </cfRule>
  </conditionalFormatting>
  <conditionalFormatting sqref="AA52:AF52 R51:Z52 AB53:AF53">
    <cfRule type="expression" dxfId="5679" priority="107">
      <formula>R$9&gt;=20/24</formula>
    </cfRule>
    <cfRule type="expression" dxfId="5678" priority="108">
      <formula>AND(R$9&gt;=14/24,R$9&lt;20/24)</formula>
    </cfRule>
    <cfRule type="expression" dxfId="5677" priority="109">
      <formula>AND(R$9&gt;=8/24,R$9&lt;14/24)</formula>
    </cfRule>
    <cfRule type="expression" dxfId="5676" priority="110">
      <formula>R$9&lt;8/24</formula>
    </cfRule>
  </conditionalFormatting>
  <conditionalFormatting sqref="AA83:AF86">
    <cfRule type="expression" dxfId="5675" priority="103">
      <formula>AA$9&gt;=20/24</formula>
    </cfRule>
    <cfRule type="expression" dxfId="5674" priority="104">
      <formula>AND(AA$9&gt;=14/24,AA$9&lt;20/24)</formula>
    </cfRule>
    <cfRule type="expression" dxfId="5673" priority="105">
      <formula>AND(AA$9&gt;=8/24,AA$9&lt;14/24)</formula>
    </cfRule>
    <cfRule type="expression" dxfId="5672" priority="106">
      <formula>AA$9&lt;8/24</formula>
    </cfRule>
  </conditionalFormatting>
  <conditionalFormatting sqref="C53:K58">
    <cfRule type="expression" dxfId="5671" priority="99">
      <formula>C$9&gt;=20/24</formula>
    </cfRule>
    <cfRule type="expression" dxfId="5670" priority="100">
      <formula>AND(C$9&gt;=14/24,C$9&lt;20/24)</formula>
    </cfRule>
    <cfRule type="expression" dxfId="5669" priority="101">
      <formula>AND(C$9&gt;=8/24,C$9&lt;14/24)</formula>
    </cfRule>
    <cfRule type="expression" dxfId="5668" priority="102">
      <formula>C$9&lt;8/24</formula>
    </cfRule>
  </conditionalFormatting>
  <conditionalFormatting sqref="C83:K86">
    <cfRule type="expression" dxfId="5667" priority="95">
      <formula>C$9&gt;=20/24</formula>
    </cfRule>
    <cfRule type="expression" dxfId="5666" priority="96">
      <formula>AND(C$9&gt;=14/24,C$9&lt;20/24)</formula>
    </cfRule>
    <cfRule type="expression" dxfId="5665" priority="97">
      <formula>AND(C$9&gt;=8/24,C$9&lt;14/24)</formula>
    </cfRule>
    <cfRule type="expression" dxfId="5664" priority="98">
      <formula>C$9&lt;8/24</formula>
    </cfRule>
  </conditionalFormatting>
  <conditionalFormatting sqref="L83:Q86 S83">
    <cfRule type="expression" dxfId="5663" priority="91">
      <formula>L$9&gt;=20/24</formula>
    </cfRule>
    <cfRule type="expression" dxfId="5662" priority="92">
      <formula>AND(L$9&gt;=14/24,L$9&lt;20/24)</formula>
    </cfRule>
    <cfRule type="expression" dxfId="5661" priority="93">
      <formula>AND(L$9&gt;=8/24,L$9&lt;14/24)</formula>
    </cfRule>
    <cfRule type="expression" dxfId="5660" priority="94">
      <formula>L$9&lt;8/24</formula>
    </cfRule>
  </conditionalFormatting>
  <conditionalFormatting sqref="R85:Z86 R84 T84:Z84">
    <cfRule type="expression" dxfId="5659" priority="87">
      <formula>R$9&gt;=20/24</formula>
    </cfRule>
    <cfRule type="expression" dxfId="5658" priority="88">
      <formula>AND(R$9&gt;=14/24,R$9&lt;20/24)</formula>
    </cfRule>
    <cfRule type="expression" dxfId="5657" priority="89">
      <formula>AND(R$9&gt;=8/24,R$9&lt;14/24)</formula>
    </cfRule>
    <cfRule type="expression" dxfId="5656" priority="90">
      <formula>R$9&lt;8/24</formula>
    </cfRule>
  </conditionalFormatting>
  <conditionalFormatting sqref="AG42 M15:AF15 R14:AF14 R16:AF16 R18:AF18 R20:AF20 M17:AF17 M19:AF19 L11:AF13 C28:AF47">
    <cfRule type="expression" dxfId="5655" priority="86">
      <formula>C11&gt;$AG11</formula>
    </cfRule>
  </conditionalFormatting>
  <conditionalFormatting sqref="T192:AX192">
    <cfRule type="expression" dxfId="5654" priority="82">
      <formula>T$9&gt;=20/24</formula>
    </cfRule>
    <cfRule type="expression" dxfId="5653" priority="83">
      <formula>AND(T$9&gt;=14/24,T$9&lt;20/24)</formula>
    </cfRule>
    <cfRule type="expression" dxfId="5652" priority="84">
      <formula>AND(T$9&gt;=8/24,T$9&lt;14/24)</formula>
    </cfRule>
    <cfRule type="expression" dxfId="5651" priority="85">
      <formula>T$9&lt;8/24</formula>
    </cfRule>
  </conditionalFormatting>
  <conditionalFormatting sqref="A11:A86 A88:A180">
    <cfRule type="expression" dxfId="5650" priority="81">
      <formula>$AH11=0</formula>
    </cfRule>
  </conditionalFormatting>
  <conditionalFormatting sqref="AA87:AF87">
    <cfRule type="expression" dxfId="5649" priority="77">
      <formula>AA$9&gt;=20/24</formula>
    </cfRule>
    <cfRule type="expression" dxfId="5648" priority="78">
      <formula>AND(AA$9&gt;=14/24,AA$9&lt;20/24)</formula>
    </cfRule>
    <cfRule type="expression" dxfId="5647" priority="79">
      <formula>AND(AA$9&gt;=8/24,AA$9&lt;14/24)</formula>
    </cfRule>
    <cfRule type="expression" dxfId="5646" priority="80">
      <formula>AA$9&lt;8/24</formula>
    </cfRule>
  </conditionalFormatting>
  <conditionalFormatting sqref="C87:K87">
    <cfRule type="expression" dxfId="5645" priority="73">
      <formula>C$9&gt;=20/24</formula>
    </cfRule>
    <cfRule type="expression" dxfId="5644" priority="74">
      <formula>AND(C$9&gt;=14/24,C$9&lt;20/24)</formula>
    </cfRule>
    <cfRule type="expression" dxfId="5643" priority="75">
      <formula>AND(C$9&gt;=8/24,C$9&lt;14/24)</formula>
    </cfRule>
    <cfRule type="expression" dxfId="5642" priority="76">
      <formula>C$9&lt;8/24</formula>
    </cfRule>
  </conditionalFormatting>
  <conditionalFormatting sqref="L87:Q87">
    <cfRule type="expression" dxfId="5641" priority="69">
      <formula>L$9&gt;=20/24</formula>
    </cfRule>
    <cfRule type="expression" dxfId="5640" priority="70">
      <formula>AND(L$9&gt;=14/24,L$9&lt;20/24)</formula>
    </cfRule>
    <cfRule type="expression" dxfId="5639" priority="71">
      <formula>AND(L$9&gt;=8/24,L$9&lt;14/24)</formula>
    </cfRule>
    <cfRule type="expression" dxfId="5638" priority="72">
      <formula>L$9&lt;8/24</formula>
    </cfRule>
  </conditionalFormatting>
  <conditionalFormatting sqref="R87:Z87">
    <cfRule type="expression" dxfId="5637" priority="65">
      <formula>R$9&gt;=20/24</formula>
    </cfRule>
    <cfRule type="expression" dxfId="5636" priority="66">
      <formula>AND(R$9&gt;=14/24,R$9&lt;20/24)</formula>
    </cfRule>
    <cfRule type="expression" dxfId="5635" priority="67">
      <formula>AND(R$9&gt;=8/24,R$9&lt;14/24)</formula>
    </cfRule>
    <cfRule type="expression" dxfId="5634" priority="68">
      <formula>R$9&lt;8/24</formula>
    </cfRule>
  </conditionalFormatting>
  <conditionalFormatting sqref="A87">
    <cfRule type="expression" dxfId="5633" priority="64">
      <formula>$AH87=0</formula>
    </cfRule>
  </conditionalFormatting>
  <conditionalFormatting sqref="C28:AF28">
    <cfRule type="expression" dxfId="5632" priority="60">
      <formula>C$9&gt;=20/24</formula>
    </cfRule>
    <cfRule type="expression" dxfId="5631" priority="61">
      <formula>AND(C$9&gt;=14/24,C$9&lt;20/24)</formula>
    </cfRule>
    <cfRule type="expression" dxfId="5630" priority="62">
      <formula>AND(C$9&gt;=8/24,C$9&lt;14/24)</formula>
    </cfRule>
    <cfRule type="expression" dxfId="5629" priority="63">
      <formula>C$9&lt;8/24</formula>
    </cfRule>
  </conditionalFormatting>
  <conditionalFormatting sqref="R28:AA28">
    <cfRule type="expression" dxfId="5628" priority="56">
      <formula>R$9&gt;=20/24</formula>
    </cfRule>
    <cfRule type="expression" dxfId="5627" priority="57">
      <formula>AND(R$9&gt;=14/24,R$9&lt;20/24)</formula>
    </cfRule>
    <cfRule type="expression" dxfId="5626" priority="58">
      <formula>AND(R$9&gt;=8/24,R$9&lt;14/24)</formula>
    </cfRule>
    <cfRule type="expression" dxfId="5625" priority="59">
      <formula>R$9&lt;8/24</formula>
    </cfRule>
  </conditionalFormatting>
  <conditionalFormatting sqref="B44:B51 B59:B79">
    <cfRule type="expression" dxfId="5624" priority="52">
      <formula>B$9&gt;=20/24</formula>
    </cfRule>
    <cfRule type="expression" dxfId="5623" priority="53">
      <formula>AND(B$9&gt;=14/24,B$9&lt;20/24)</formula>
    </cfRule>
    <cfRule type="expression" dxfId="5622" priority="54">
      <formula>AND(B$9&gt;=8/24,B$9&lt;14/24)</formula>
    </cfRule>
    <cfRule type="expression" dxfId="5621" priority="55">
      <formula>B$9&lt;8/24</formula>
    </cfRule>
  </conditionalFormatting>
  <conditionalFormatting sqref="B14:L17 M14:Q14 M16:Q16 M20:Q20 B19:L20 B18 B21 B22:AF27">
    <cfRule type="expression" dxfId="5620" priority="48">
      <formula>B$9&gt;=20/24</formula>
    </cfRule>
    <cfRule type="expression" dxfId="5619" priority="49">
      <formula>AND(B$9&gt;=14/24,B$9&lt;20/24)</formula>
    </cfRule>
    <cfRule type="expression" dxfId="5618" priority="50">
      <formula>AND(B$9&gt;=8/24,B$9&lt;14/24)</formula>
    </cfRule>
    <cfRule type="expression" dxfId="5617" priority="51">
      <formula>B$9&lt;8/24</formula>
    </cfRule>
  </conditionalFormatting>
  <conditionalFormatting sqref="B29">
    <cfRule type="expression" dxfId="5616" priority="44">
      <formula>B$9&gt;=20/24</formula>
    </cfRule>
    <cfRule type="expression" dxfId="5615" priority="45">
      <formula>AND(B$9&gt;=14/24,B$9&lt;20/24)</formula>
    </cfRule>
    <cfRule type="expression" dxfId="5614" priority="46">
      <formula>AND(B$9&gt;=8/24,B$9&lt;14/24)</formula>
    </cfRule>
    <cfRule type="expression" dxfId="5613" priority="47">
      <formula>B$9&lt;8/24</formula>
    </cfRule>
  </conditionalFormatting>
  <conditionalFormatting sqref="B14:L17 M14:Q14 M16:Q16 M20:Q20 B19:L20 B18 B21 B22:AF27">
    <cfRule type="expression" dxfId="5612" priority="40">
      <formula>B$9&gt;=20/24</formula>
    </cfRule>
    <cfRule type="expression" dxfId="5611" priority="41">
      <formula>AND(B$9&gt;=14/24,B$9&lt;20/24)</formula>
    </cfRule>
    <cfRule type="expression" dxfId="5610" priority="42">
      <formula>AND(B$9&gt;=8/24,B$9&lt;14/24)</formula>
    </cfRule>
    <cfRule type="expression" dxfId="5609" priority="43">
      <formula>B$9&lt;8/24</formula>
    </cfRule>
  </conditionalFormatting>
  <conditionalFormatting sqref="B52:B58">
    <cfRule type="expression" dxfId="5608" priority="36">
      <formula>B$9&gt;=20/24</formula>
    </cfRule>
    <cfRule type="expression" dxfId="5607" priority="37">
      <formula>AND(B$9&gt;=14/24,B$9&lt;20/24)</formula>
    </cfRule>
    <cfRule type="expression" dxfId="5606" priority="38">
      <formula>AND(B$9&gt;=8/24,B$9&lt;14/24)</formula>
    </cfRule>
    <cfRule type="expression" dxfId="5605" priority="39">
      <formula>B$9&lt;8/24</formula>
    </cfRule>
  </conditionalFormatting>
  <conditionalFormatting sqref="B83:B86">
    <cfRule type="expression" dxfId="5604" priority="32">
      <formula>B$9&gt;=20/24</formula>
    </cfRule>
    <cfRule type="expression" dxfId="5603" priority="33">
      <formula>AND(B$9&gt;=14/24,B$9&lt;20/24)</formula>
    </cfRule>
    <cfRule type="expression" dxfId="5602" priority="34">
      <formula>AND(B$9&gt;=8/24,B$9&lt;14/24)</formula>
    </cfRule>
    <cfRule type="expression" dxfId="5601" priority="35">
      <formula>B$9&lt;8/24</formula>
    </cfRule>
  </conditionalFormatting>
  <conditionalFormatting sqref="B11:B47 C14:L17 C11:K13 M14:Q14 M16:Q16 M20:Q20 C19:L20 C22:AF27">
    <cfRule type="expression" dxfId="5600" priority="31">
      <formula>B11&gt;$AG11</formula>
    </cfRule>
  </conditionalFormatting>
  <conditionalFormatting sqref="B87">
    <cfRule type="expression" dxfId="5599" priority="27">
      <formula>B$9&gt;=20/24</formula>
    </cfRule>
    <cfRule type="expression" dxfId="5598" priority="28">
      <formula>AND(B$9&gt;=14/24,B$9&lt;20/24)</formula>
    </cfRule>
    <cfRule type="expression" dxfId="5597" priority="29">
      <formula>AND(B$9&gt;=8/24,B$9&lt;14/24)</formula>
    </cfRule>
    <cfRule type="expression" dxfId="5596" priority="30">
      <formula>B$9&lt;8/24</formula>
    </cfRule>
  </conditionalFormatting>
  <conditionalFormatting sqref="B28">
    <cfRule type="expression" dxfId="5595" priority="23">
      <formula>B$9&gt;=20/24</formula>
    </cfRule>
    <cfRule type="expression" dxfId="5594" priority="24">
      <formula>AND(B$9&gt;=14/24,B$9&lt;20/24)</formula>
    </cfRule>
    <cfRule type="expression" dxfId="5593" priority="25">
      <formula>AND(B$9&gt;=8/24,B$9&lt;14/24)</formula>
    </cfRule>
    <cfRule type="expression" dxfId="5592" priority="26">
      <formula>B$9&lt;8/24</formula>
    </cfRule>
  </conditionalFormatting>
  <conditionalFormatting sqref="B28">
    <cfRule type="expression" dxfId="5591" priority="19">
      <formula>B$9&gt;=20/24</formula>
    </cfRule>
    <cfRule type="expression" dxfId="5590" priority="20">
      <formula>AND(B$9&gt;=14/24,B$9&lt;20/24)</formula>
    </cfRule>
    <cfRule type="expression" dxfId="5589" priority="21">
      <formula>AND(B$9&gt;=8/24,B$9&lt;14/24)</formula>
    </cfRule>
    <cfRule type="expression" dxfId="5588" priority="22">
      <formula>B$9&lt;8/24</formula>
    </cfRule>
  </conditionalFormatting>
  <conditionalFormatting sqref="C18:Q18">
    <cfRule type="expression" dxfId="5587" priority="15">
      <formula>C$9&gt;=20/24</formula>
    </cfRule>
    <cfRule type="expression" dxfId="5586" priority="16">
      <formula>AND(C$9&gt;=14/24,C$9&lt;20/24)</formula>
    </cfRule>
    <cfRule type="expression" dxfId="5585" priority="17">
      <formula>AND(C$9&gt;=8/24,C$9&lt;14/24)</formula>
    </cfRule>
    <cfRule type="expression" dxfId="5584" priority="18">
      <formula>C$9&lt;8/24</formula>
    </cfRule>
  </conditionalFormatting>
  <conditionalFormatting sqref="C18:Q18">
    <cfRule type="expression" dxfId="5583" priority="11">
      <formula>C$9&gt;=20/24</formula>
    </cfRule>
    <cfRule type="expression" dxfId="5582" priority="12">
      <formula>AND(C$9&gt;=14/24,C$9&lt;20/24)</formula>
    </cfRule>
    <cfRule type="expression" dxfId="5581" priority="13">
      <formula>AND(C$9&gt;=8/24,C$9&lt;14/24)</formula>
    </cfRule>
    <cfRule type="expression" dxfId="5580" priority="14">
      <formula>C$9&lt;8/24</formula>
    </cfRule>
  </conditionalFormatting>
  <conditionalFormatting sqref="C18:Q18">
    <cfRule type="expression" dxfId="5579" priority="10">
      <formula>C18&gt;$AG18</formula>
    </cfRule>
  </conditionalFormatting>
  <conditionalFormatting sqref="C21:AF21">
    <cfRule type="expression" dxfId="5578" priority="6">
      <formula>C$9&gt;=20/24</formula>
    </cfRule>
    <cfRule type="expression" dxfId="5577" priority="7">
      <formula>AND(C$9&gt;=14/24,C$9&lt;20/24)</formula>
    </cfRule>
    <cfRule type="expression" dxfId="5576" priority="8">
      <formula>AND(C$9&gt;=8/24,C$9&lt;14/24)</formula>
    </cfRule>
    <cfRule type="expression" dxfId="5575" priority="9">
      <formula>C$9&lt;8/24</formula>
    </cfRule>
  </conditionalFormatting>
  <conditionalFormatting sqref="C21:AF21">
    <cfRule type="expression" dxfId="5574" priority="2">
      <formula>C$9&gt;=20/24</formula>
    </cfRule>
    <cfRule type="expression" dxfId="5573" priority="3">
      <formula>AND(C$9&gt;=14/24,C$9&lt;20/24)</formula>
    </cfRule>
    <cfRule type="expression" dxfId="5572" priority="4">
      <formula>AND(C$9&gt;=8/24,C$9&lt;14/24)</formula>
    </cfRule>
    <cfRule type="expression" dxfId="5571" priority="5">
      <formula>C$9&lt;8/24</formula>
    </cfRule>
  </conditionalFormatting>
  <conditionalFormatting sqref="C21:AF21">
    <cfRule type="expression" dxfId="5570" priority="1">
      <formula>C21&gt;$AG21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87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3</v>
      </c>
      <c r="D4" s="324">
        <f ca="1">IFERROR(DATE(2021,5,14)+C4,"")</f>
        <v>44333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467.3</v>
      </c>
      <c r="C5" s="32">
        <f t="shared" ref="C5:AF5" si="0">C59</f>
        <v>491</v>
      </c>
      <c r="D5" s="32">
        <f t="shared" si="0"/>
        <v>508.61</v>
      </c>
      <c r="E5" s="32">
        <f t="shared" si="0"/>
        <v>497.57</v>
      </c>
      <c r="F5" s="32">
        <f t="shared" si="0"/>
        <v>506.09999999999997</v>
      </c>
      <c r="G5" s="32">
        <f t="shared" si="0"/>
        <v>484.9</v>
      </c>
      <c r="H5" s="32">
        <f t="shared" si="0"/>
        <v>490.1</v>
      </c>
      <c r="I5" s="32">
        <f t="shared" si="0"/>
        <v>517</v>
      </c>
      <c r="J5" s="32">
        <f t="shared" si="0"/>
        <v>554.6</v>
      </c>
      <c r="K5" s="32">
        <f t="shared" si="0"/>
        <v>556.70000000000005</v>
      </c>
      <c r="L5" s="32">
        <f t="shared" si="0"/>
        <v>548.61</v>
      </c>
      <c r="M5" s="32">
        <f t="shared" si="0"/>
        <v>577.79999999999995</v>
      </c>
      <c r="N5" s="32">
        <f t="shared" si="0"/>
        <v>572.9</v>
      </c>
      <c r="O5" s="32">
        <f t="shared" si="0"/>
        <v>555.81999999999994</v>
      </c>
      <c r="P5" s="32">
        <f t="shared" si="0"/>
        <v>561.69000000000005</v>
      </c>
      <c r="Q5" s="32">
        <f t="shared" si="0"/>
        <v>548.59</v>
      </c>
      <c r="R5" s="32">
        <f t="shared" si="0"/>
        <v>574.64</v>
      </c>
      <c r="S5" s="32">
        <f t="shared" si="0"/>
        <v>551.69000000000005</v>
      </c>
      <c r="T5" s="32">
        <f t="shared" si="0"/>
        <v>586.80000000000007</v>
      </c>
      <c r="U5" s="32">
        <f t="shared" si="0"/>
        <v>500.04</v>
      </c>
      <c r="V5" s="32">
        <f t="shared" si="0"/>
        <v>496.19</v>
      </c>
      <c r="W5" s="32">
        <f t="shared" si="0"/>
        <v>492.56100000000004</v>
      </c>
      <c r="X5" s="32">
        <f t="shared" si="0"/>
        <v>497.7</v>
      </c>
      <c r="Y5" s="32">
        <f t="shared" si="0"/>
        <v>606.34</v>
      </c>
      <c r="Z5" s="32">
        <f t="shared" si="0"/>
        <v>630.32000000000005</v>
      </c>
      <c r="AA5" s="32">
        <f t="shared" si="0"/>
        <v>615.16</v>
      </c>
      <c r="AB5" s="32">
        <f t="shared" si="0"/>
        <v>622.58000000000004</v>
      </c>
      <c r="AC5" s="32">
        <f t="shared" si="0"/>
        <v>634.34999999999991</v>
      </c>
      <c r="AD5" s="32">
        <f t="shared" si="0"/>
        <v>580</v>
      </c>
      <c r="AE5" s="32">
        <f t="shared" si="0"/>
        <v>538.4</v>
      </c>
      <c r="AF5" s="32">
        <f t="shared" si="0"/>
        <v>533.44000000000005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7"/>
      <c r="E6" s="177"/>
      <c r="F6" s="177"/>
      <c r="G6" s="177"/>
      <c r="H6" s="177"/>
      <c r="I6" s="17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1069MW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Load=903</v>
      </c>
      <c r="B7" s="36">
        <f t="shared" ref="B7:AF7" si="1">B65</f>
        <v>954.1400000000001</v>
      </c>
      <c r="C7" s="36">
        <f t="shared" si="1"/>
        <v>939.1400000000001</v>
      </c>
      <c r="D7" s="36">
        <f t="shared" si="1"/>
        <v>929.85</v>
      </c>
      <c r="E7" s="36">
        <f t="shared" si="1"/>
        <v>906.1099999999999</v>
      </c>
      <c r="F7" s="36">
        <f t="shared" si="1"/>
        <v>902.84</v>
      </c>
      <c r="G7" s="36">
        <f t="shared" si="1"/>
        <v>910.74</v>
      </c>
      <c r="H7" s="36">
        <f t="shared" si="1"/>
        <v>919.1400000000001</v>
      </c>
      <c r="I7" s="36">
        <f t="shared" si="1"/>
        <v>944.34</v>
      </c>
      <c r="J7" s="36">
        <f t="shared" si="1"/>
        <v>1009.74</v>
      </c>
      <c r="K7" s="36">
        <f t="shared" si="1"/>
        <v>1033.1400000000001</v>
      </c>
      <c r="L7" s="36">
        <f>L65</f>
        <v>1029.8499999999999</v>
      </c>
      <c r="M7" s="36">
        <f t="shared" si="1"/>
        <v>1068.54</v>
      </c>
      <c r="N7" s="36">
        <f t="shared" si="1"/>
        <v>1083.94</v>
      </c>
      <c r="O7" s="36">
        <f t="shared" si="1"/>
        <v>1063.06</v>
      </c>
      <c r="P7" s="36">
        <f t="shared" si="1"/>
        <v>1079.1300000000001</v>
      </c>
      <c r="Q7" s="36">
        <f t="shared" si="1"/>
        <v>1070.73</v>
      </c>
      <c r="R7" s="36">
        <f t="shared" si="1"/>
        <v>1080.58</v>
      </c>
      <c r="S7" s="36">
        <f t="shared" si="1"/>
        <v>1042.1300000000001</v>
      </c>
      <c r="T7" s="36">
        <f t="shared" si="1"/>
        <v>1070.44</v>
      </c>
      <c r="U7" s="36">
        <f t="shared" si="1"/>
        <v>1000.6800000000001</v>
      </c>
      <c r="V7" s="36">
        <f t="shared" si="1"/>
        <v>1009.73</v>
      </c>
      <c r="W7" s="36">
        <f t="shared" si="1"/>
        <v>1007.9010000000001</v>
      </c>
      <c r="X7" s="36">
        <f t="shared" si="1"/>
        <v>1027.3399999999999</v>
      </c>
      <c r="Y7" s="36">
        <f t="shared" si="1"/>
        <v>1119.5800000000002</v>
      </c>
      <c r="Z7" s="36">
        <f t="shared" si="1"/>
        <v>1259.8600000000001</v>
      </c>
      <c r="AA7" s="36">
        <f t="shared" si="1"/>
        <v>1238.4000000000001</v>
      </c>
      <c r="AB7" s="36">
        <f t="shared" si="1"/>
        <v>1211.7200000000003</v>
      </c>
      <c r="AC7" s="36">
        <f t="shared" si="1"/>
        <v>1160.8899999999999</v>
      </c>
      <c r="AD7" s="36">
        <f t="shared" si="1"/>
        <v>1085.1399999999999</v>
      </c>
      <c r="AE7" s="36">
        <f t="shared" si="1"/>
        <v>1020.4399999999999</v>
      </c>
      <c r="AF7" s="36">
        <f t="shared" si="1"/>
        <v>995.08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23.2</v>
      </c>
      <c r="C11" s="48">
        <v>23.2</v>
      </c>
      <c r="D11" s="48">
        <v>23.2</v>
      </c>
      <c r="E11" s="48">
        <v>23.4</v>
      </c>
      <c r="F11" s="48">
        <v>21.5</v>
      </c>
      <c r="G11" s="48">
        <v>21.5</v>
      </c>
      <c r="H11" s="48">
        <v>25.1</v>
      </c>
      <c r="I11" s="48">
        <v>24.5</v>
      </c>
      <c r="J11" s="48">
        <v>25.3</v>
      </c>
      <c r="K11" s="48">
        <v>25.3</v>
      </c>
      <c r="L11" s="49">
        <v>24.7</v>
      </c>
      <c r="M11" s="49">
        <v>23.8</v>
      </c>
      <c r="N11" s="49">
        <v>25.3</v>
      </c>
      <c r="O11" s="49">
        <v>24.7</v>
      </c>
      <c r="P11" s="49">
        <v>24.7</v>
      </c>
      <c r="Q11" s="49">
        <v>25</v>
      </c>
      <c r="R11" s="50">
        <v>24.8</v>
      </c>
      <c r="S11" s="50">
        <v>25.1</v>
      </c>
      <c r="T11" s="50">
        <v>24</v>
      </c>
      <c r="U11" s="50">
        <v>24.1</v>
      </c>
      <c r="V11" s="50">
        <v>24.5</v>
      </c>
      <c r="W11" s="50">
        <v>24.9</v>
      </c>
      <c r="X11" s="50">
        <v>23.3</v>
      </c>
      <c r="Y11" s="50">
        <v>23.1</v>
      </c>
      <c r="Z11" s="50">
        <v>22.4</v>
      </c>
      <c r="AA11" s="48">
        <v>22.3</v>
      </c>
      <c r="AB11" s="48">
        <v>22.4</v>
      </c>
      <c r="AC11" s="48">
        <v>24.6</v>
      </c>
      <c r="AD11" s="48">
        <v>22.7</v>
      </c>
      <c r="AE11" s="48">
        <v>23.2</v>
      </c>
      <c r="AF11" s="48">
        <v>24.1</v>
      </c>
      <c r="AG11" s="51">
        <v>60</v>
      </c>
      <c r="AH11" s="52">
        <f>MAX(B11:AF11)</f>
        <v>25.3</v>
      </c>
      <c r="AI11" s="53">
        <f>MIN(B11:AF11)</f>
        <v>21.5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34.799999999999997</v>
      </c>
      <c r="C12" s="56">
        <v>34.799999999999997</v>
      </c>
      <c r="D12" s="56">
        <v>38.700000000000003</v>
      </c>
      <c r="E12" s="56">
        <v>38</v>
      </c>
      <c r="F12" s="56">
        <v>38.9</v>
      </c>
      <c r="G12" s="56">
        <v>38.9</v>
      </c>
      <c r="H12" s="56">
        <v>38.9</v>
      </c>
      <c r="I12" s="56">
        <v>39.1</v>
      </c>
      <c r="J12" s="56">
        <v>41.5</v>
      </c>
      <c r="K12" s="56">
        <v>41.5</v>
      </c>
      <c r="L12" s="49">
        <v>43.7</v>
      </c>
      <c r="M12" s="49">
        <v>45.2</v>
      </c>
      <c r="N12" s="49">
        <v>43.8</v>
      </c>
      <c r="O12" s="49">
        <v>43.8</v>
      </c>
      <c r="P12" s="49">
        <v>43.5</v>
      </c>
      <c r="Q12" s="49">
        <v>43.7</v>
      </c>
      <c r="R12" s="49">
        <v>43.4</v>
      </c>
      <c r="S12" s="49">
        <v>38.5</v>
      </c>
      <c r="T12" s="49">
        <v>38.299999999999997</v>
      </c>
      <c r="U12" s="49">
        <v>37</v>
      </c>
      <c r="V12" s="49">
        <v>36.700000000000003</v>
      </c>
      <c r="W12" s="49">
        <v>37.200000000000003</v>
      </c>
      <c r="X12" s="49">
        <v>37.1</v>
      </c>
      <c r="Y12" s="49">
        <v>36.700000000000003</v>
      </c>
      <c r="Z12" s="49">
        <v>37.1</v>
      </c>
      <c r="AA12" s="56">
        <v>36.799999999999997</v>
      </c>
      <c r="AB12" s="56">
        <v>37.4</v>
      </c>
      <c r="AC12" s="56">
        <v>35.799999999999997</v>
      </c>
      <c r="AD12" s="56">
        <v>35.700000000000003</v>
      </c>
      <c r="AE12" s="56">
        <v>35.6</v>
      </c>
      <c r="AF12" s="56">
        <v>35.700000000000003</v>
      </c>
      <c r="AG12" s="57">
        <v>50</v>
      </c>
      <c r="AH12" s="52">
        <f t="shared" ref="AH12:AH77" si="2">MAX(B12:AF12)</f>
        <v>45.2</v>
      </c>
      <c r="AI12" s="53">
        <f t="shared" ref="AI12:AI77" si="3">MIN(B12:AF12)</f>
        <v>34.799999999999997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18.100000000000001</v>
      </c>
      <c r="C13" s="56">
        <v>18.100000000000001</v>
      </c>
      <c r="D13" s="56">
        <v>19</v>
      </c>
      <c r="E13" s="56">
        <v>17.8</v>
      </c>
      <c r="F13" s="56">
        <v>18.7</v>
      </c>
      <c r="G13" s="56">
        <v>18.7</v>
      </c>
      <c r="H13" s="56">
        <v>18.100000000000001</v>
      </c>
      <c r="I13" s="56">
        <v>17.5</v>
      </c>
      <c r="J13" s="56">
        <v>17.399999999999999</v>
      </c>
      <c r="K13" s="56">
        <v>17.399999999999999</v>
      </c>
      <c r="L13" s="49">
        <v>17.399999999999999</v>
      </c>
      <c r="M13" s="49">
        <v>18.3</v>
      </c>
      <c r="N13" s="49">
        <v>17.399999999999999</v>
      </c>
      <c r="O13" s="49">
        <v>17.399999999999999</v>
      </c>
      <c r="P13" s="49">
        <v>17.5</v>
      </c>
      <c r="Q13" s="49">
        <v>17.399999999999999</v>
      </c>
      <c r="R13" s="49">
        <v>17.399999999999999</v>
      </c>
      <c r="S13" s="49">
        <v>16.3</v>
      </c>
      <c r="T13" s="49">
        <v>16.899999999999999</v>
      </c>
      <c r="U13" s="49">
        <v>17.399999999999999</v>
      </c>
      <c r="V13" s="49">
        <v>17.399999999999999</v>
      </c>
      <c r="W13" s="49">
        <v>17.399999999999999</v>
      </c>
      <c r="X13" s="49">
        <v>17.399999999999999</v>
      </c>
      <c r="Y13" s="49">
        <v>17.399999999999999</v>
      </c>
      <c r="Z13" s="49">
        <v>17.399999999999999</v>
      </c>
      <c r="AA13" s="56">
        <v>18.600000000000001</v>
      </c>
      <c r="AB13" s="56">
        <v>18.600000000000001</v>
      </c>
      <c r="AC13" s="56">
        <v>19.399999999999999</v>
      </c>
      <c r="AD13" s="56">
        <v>20.399999999999999</v>
      </c>
      <c r="AE13" s="56">
        <v>21</v>
      </c>
      <c r="AF13" s="56">
        <v>20.9</v>
      </c>
      <c r="AG13" s="59">
        <v>45</v>
      </c>
      <c r="AH13" s="52">
        <f t="shared" si="2"/>
        <v>21</v>
      </c>
      <c r="AI13" s="53">
        <f t="shared" si="3"/>
        <v>16.3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49">
        <v>14</v>
      </c>
      <c r="C14" s="49">
        <v>14</v>
      </c>
      <c r="D14" s="49">
        <v>14</v>
      </c>
      <c r="E14" s="49">
        <v>14</v>
      </c>
      <c r="F14" s="49">
        <v>14</v>
      </c>
      <c r="G14" s="49">
        <v>14</v>
      </c>
      <c r="H14" s="49">
        <v>14</v>
      </c>
      <c r="I14" s="49">
        <v>14</v>
      </c>
      <c r="J14" s="49">
        <v>14</v>
      </c>
      <c r="K14" s="49">
        <v>14</v>
      </c>
      <c r="L14" s="49">
        <v>14</v>
      </c>
      <c r="M14" s="49">
        <v>14</v>
      </c>
      <c r="N14" s="49">
        <v>14</v>
      </c>
      <c r="O14" s="49">
        <v>14</v>
      </c>
      <c r="P14" s="49">
        <v>14</v>
      </c>
      <c r="Q14" s="49">
        <v>14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49">
        <v>16</v>
      </c>
      <c r="AB14" s="49">
        <v>16</v>
      </c>
      <c r="AC14" s="49">
        <v>16</v>
      </c>
      <c r="AD14" s="49">
        <v>16</v>
      </c>
      <c r="AE14" s="49">
        <v>16</v>
      </c>
      <c r="AF14" s="49">
        <v>16</v>
      </c>
      <c r="AG14" s="59">
        <v>25</v>
      </c>
      <c r="AH14" s="52">
        <f t="shared" si="2"/>
        <v>16</v>
      </c>
      <c r="AI14" s="53">
        <f t="shared" si="3"/>
        <v>14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49">
        <v>11.1</v>
      </c>
      <c r="C15" s="49">
        <v>11.1</v>
      </c>
      <c r="D15" s="49">
        <v>11.4</v>
      </c>
      <c r="E15" s="49">
        <v>11.5</v>
      </c>
      <c r="F15" s="49">
        <v>11.4</v>
      </c>
      <c r="G15" s="49">
        <v>11.5</v>
      </c>
      <c r="H15" s="49">
        <v>11.1</v>
      </c>
      <c r="I15" s="49">
        <v>11</v>
      </c>
      <c r="J15" s="49">
        <v>11.2</v>
      </c>
      <c r="K15" s="49">
        <v>11.2</v>
      </c>
      <c r="L15" s="49">
        <v>11.2</v>
      </c>
      <c r="M15" s="49">
        <v>11.2</v>
      </c>
      <c r="N15" s="49">
        <v>11.2</v>
      </c>
      <c r="O15" s="49">
        <v>10.5</v>
      </c>
      <c r="P15" s="49">
        <v>10.4</v>
      </c>
      <c r="Q15" s="49">
        <v>11.3</v>
      </c>
      <c r="R15" s="49">
        <v>9.6</v>
      </c>
      <c r="S15" s="49">
        <v>10.199999999999999</v>
      </c>
      <c r="T15" s="49">
        <v>10.199999999999999</v>
      </c>
      <c r="U15" s="49">
        <v>10.4</v>
      </c>
      <c r="V15" s="49">
        <v>11</v>
      </c>
      <c r="W15" s="49">
        <v>10.9</v>
      </c>
      <c r="X15" s="49">
        <v>11</v>
      </c>
      <c r="Y15" s="49">
        <v>10.9</v>
      </c>
      <c r="Z15" s="49">
        <v>10.9</v>
      </c>
      <c r="AA15" s="49">
        <v>10.9</v>
      </c>
      <c r="AB15" s="49">
        <v>10.6</v>
      </c>
      <c r="AC15" s="49">
        <v>10.6</v>
      </c>
      <c r="AD15" s="49">
        <v>10.1</v>
      </c>
      <c r="AE15" s="49">
        <v>11.3</v>
      </c>
      <c r="AF15" s="49">
        <v>11.3</v>
      </c>
      <c r="AG15" s="59">
        <v>25</v>
      </c>
      <c r="AH15" s="52">
        <f t="shared" si="2"/>
        <v>11.5</v>
      </c>
      <c r="AI15" s="53">
        <f t="shared" si="3"/>
        <v>9.6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49">
        <v>6.2</v>
      </c>
      <c r="E16" s="49">
        <v>6.2</v>
      </c>
      <c r="F16" s="49">
        <v>6.2</v>
      </c>
      <c r="G16" s="49">
        <v>6.2</v>
      </c>
      <c r="H16" s="49">
        <v>6.2</v>
      </c>
      <c r="I16" s="49">
        <v>6.2</v>
      </c>
      <c r="J16" s="49">
        <v>6.2</v>
      </c>
      <c r="K16" s="49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16.3</v>
      </c>
      <c r="C17" s="49">
        <v>16.3</v>
      </c>
      <c r="D17" s="49">
        <v>16.3</v>
      </c>
      <c r="E17" s="49">
        <v>16.3</v>
      </c>
      <c r="F17" s="49">
        <v>17.2</v>
      </c>
      <c r="G17" s="49">
        <v>16.899999999999999</v>
      </c>
      <c r="H17" s="49">
        <v>17.100000000000001</v>
      </c>
      <c r="I17" s="49">
        <v>17.3</v>
      </c>
      <c r="J17" s="49">
        <v>17.100000000000001</v>
      </c>
      <c r="K17" s="49">
        <v>17.2</v>
      </c>
      <c r="L17" s="49">
        <v>16.7</v>
      </c>
      <c r="M17" s="49">
        <v>17</v>
      </c>
      <c r="N17" s="49">
        <v>17</v>
      </c>
      <c r="O17" s="49">
        <v>15.3</v>
      </c>
      <c r="P17" s="49">
        <v>15.4</v>
      </c>
      <c r="Q17" s="49">
        <v>15.4</v>
      </c>
      <c r="R17" s="49">
        <v>14.6</v>
      </c>
      <c r="S17" s="49">
        <v>14.4</v>
      </c>
      <c r="T17" s="49">
        <v>14</v>
      </c>
      <c r="U17" s="49">
        <v>14</v>
      </c>
      <c r="V17" s="49">
        <v>13.9</v>
      </c>
      <c r="W17" s="49">
        <v>14.2</v>
      </c>
      <c r="X17" s="49">
        <v>15</v>
      </c>
      <c r="Y17" s="49">
        <v>14.8</v>
      </c>
      <c r="Z17" s="49">
        <v>14.7</v>
      </c>
      <c r="AA17" s="49">
        <v>14.6</v>
      </c>
      <c r="AB17" s="49">
        <v>14.6</v>
      </c>
      <c r="AC17" s="49">
        <v>15</v>
      </c>
      <c r="AD17" s="49">
        <v>16.399999999999999</v>
      </c>
      <c r="AE17" s="49">
        <v>16.8</v>
      </c>
      <c r="AF17" s="49">
        <v>16.7</v>
      </c>
      <c r="AG17" s="59">
        <v>22.1</v>
      </c>
      <c r="AH17" s="52">
        <f t="shared" si="2"/>
        <v>17.3</v>
      </c>
      <c r="AI17" s="53">
        <f t="shared" si="3"/>
        <v>13.9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49">
        <v>5</v>
      </c>
      <c r="D18" s="49">
        <v>5</v>
      </c>
      <c r="E18" s="49">
        <v>5</v>
      </c>
      <c r="F18" s="49">
        <v>5</v>
      </c>
      <c r="G18" s="49">
        <v>5</v>
      </c>
      <c r="H18" s="49">
        <v>5</v>
      </c>
      <c r="I18" s="49">
        <v>5</v>
      </c>
      <c r="J18" s="49">
        <v>5</v>
      </c>
      <c r="K18" s="49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11.5</v>
      </c>
      <c r="C19" s="49">
        <v>11.5</v>
      </c>
      <c r="D19" s="49">
        <v>11.4</v>
      </c>
      <c r="E19" s="49">
        <v>10.6</v>
      </c>
      <c r="F19" s="49">
        <v>10.199999999999999</v>
      </c>
      <c r="G19" s="49">
        <v>9.8000000000000007</v>
      </c>
      <c r="H19" s="49">
        <v>9.8000000000000007</v>
      </c>
      <c r="I19" s="49">
        <v>9.5</v>
      </c>
      <c r="J19" s="49">
        <v>9.4</v>
      </c>
      <c r="K19" s="49">
        <v>9.4</v>
      </c>
      <c r="L19" s="49">
        <v>9.5</v>
      </c>
      <c r="M19" s="49">
        <v>9</v>
      </c>
      <c r="N19" s="49">
        <v>7.9</v>
      </c>
      <c r="O19" s="49">
        <v>6.9</v>
      </c>
      <c r="P19" s="49">
        <v>7.4</v>
      </c>
      <c r="Q19" s="49">
        <v>7.3</v>
      </c>
      <c r="R19" s="49">
        <v>8.4</v>
      </c>
      <c r="S19" s="49">
        <v>8.3000000000000007</v>
      </c>
      <c r="T19" s="49">
        <v>6.6</v>
      </c>
      <c r="U19" s="49">
        <v>6.6</v>
      </c>
      <c r="V19" s="49">
        <v>6.6</v>
      </c>
      <c r="W19" s="49">
        <v>7.4</v>
      </c>
      <c r="X19" s="49">
        <v>9.1999999999999993</v>
      </c>
      <c r="Y19" s="49">
        <v>9.1999999999999993</v>
      </c>
      <c r="Z19" s="49">
        <v>9.3000000000000007</v>
      </c>
      <c r="AA19" s="49">
        <v>9.1999999999999993</v>
      </c>
      <c r="AB19" s="49">
        <v>9.3000000000000007</v>
      </c>
      <c r="AC19" s="49">
        <v>9.3000000000000007</v>
      </c>
      <c r="AD19" s="49">
        <v>10</v>
      </c>
      <c r="AE19" s="49">
        <v>10.199999999999999</v>
      </c>
      <c r="AF19" s="49">
        <v>10.7</v>
      </c>
      <c r="AG19" s="59">
        <v>22</v>
      </c>
      <c r="AH19" s="52">
        <f t="shared" si="2"/>
        <v>11.5</v>
      </c>
      <c r="AI19" s="53">
        <f t="shared" si="3"/>
        <v>6.6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7</v>
      </c>
      <c r="C20" s="49">
        <v>9</v>
      </c>
      <c r="D20" s="49">
        <v>9</v>
      </c>
      <c r="E20" s="49">
        <v>9</v>
      </c>
      <c r="F20" s="49">
        <v>9</v>
      </c>
      <c r="G20" s="49">
        <v>9</v>
      </c>
      <c r="H20" s="49">
        <v>9</v>
      </c>
      <c r="I20" s="49">
        <v>9</v>
      </c>
      <c r="J20" s="49">
        <v>9</v>
      </c>
      <c r="K20" s="49">
        <v>9</v>
      </c>
      <c r="L20" s="49">
        <v>9</v>
      </c>
      <c r="M20" s="49">
        <v>9</v>
      </c>
      <c r="N20" s="49">
        <v>9</v>
      </c>
      <c r="O20" s="49">
        <v>9</v>
      </c>
      <c r="P20" s="49">
        <v>9</v>
      </c>
      <c r="Q20" s="49">
        <v>9</v>
      </c>
      <c r="R20" s="49">
        <v>9</v>
      </c>
      <c r="S20" s="49">
        <v>9</v>
      </c>
      <c r="T20" s="49">
        <v>9</v>
      </c>
      <c r="U20" s="49">
        <v>9</v>
      </c>
      <c r="V20" s="49">
        <v>9</v>
      </c>
      <c r="W20" s="49">
        <v>9</v>
      </c>
      <c r="X20" s="49">
        <v>9</v>
      </c>
      <c r="Y20" s="49">
        <v>9</v>
      </c>
      <c r="Z20" s="49">
        <v>9</v>
      </c>
      <c r="AA20" s="49">
        <v>9</v>
      </c>
      <c r="AB20" s="49">
        <v>9</v>
      </c>
      <c r="AC20" s="49">
        <v>9</v>
      </c>
      <c r="AD20" s="49">
        <v>9</v>
      </c>
      <c r="AE20" s="49">
        <v>9</v>
      </c>
      <c r="AF20" s="49">
        <v>9</v>
      </c>
      <c r="AG20" s="59">
        <v>22</v>
      </c>
      <c r="AH20" s="52">
        <f t="shared" si="2"/>
        <v>9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3.5</v>
      </c>
      <c r="C21" s="49">
        <v>3.5</v>
      </c>
      <c r="D21" s="49">
        <v>3.5</v>
      </c>
      <c r="E21" s="49">
        <v>3.5</v>
      </c>
      <c r="F21" s="49">
        <v>3.5</v>
      </c>
      <c r="G21" s="49">
        <v>3.5</v>
      </c>
      <c r="H21" s="49">
        <v>3.5</v>
      </c>
      <c r="I21" s="49">
        <v>3.5</v>
      </c>
      <c r="J21" s="49">
        <v>3.5</v>
      </c>
      <c r="K21" s="49">
        <v>3.5</v>
      </c>
      <c r="L21" s="49">
        <v>3.5</v>
      </c>
      <c r="M21" s="49">
        <v>3.5</v>
      </c>
      <c r="N21" s="49">
        <v>3.5</v>
      </c>
      <c r="O21" s="49">
        <v>3.5</v>
      </c>
      <c r="P21" s="49">
        <v>3.5</v>
      </c>
      <c r="Q21" s="49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4</v>
      </c>
      <c r="M24" s="56">
        <v>4</v>
      </c>
      <c r="N24" s="56">
        <v>3.5</v>
      </c>
      <c r="O24" s="56">
        <v>3</v>
      </c>
      <c r="P24" s="56">
        <v>2.5</v>
      </c>
      <c r="Q24" s="56">
        <v>2.5</v>
      </c>
      <c r="R24" s="56">
        <v>2.5</v>
      </c>
      <c r="S24" s="56">
        <v>2.5</v>
      </c>
      <c r="T24" s="56">
        <v>2.5</v>
      </c>
      <c r="U24" s="56">
        <v>2.5</v>
      </c>
      <c r="V24" s="56">
        <v>2.5</v>
      </c>
      <c r="W24" s="56">
        <v>2.5</v>
      </c>
      <c r="X24" s="56">
        <v>2.5</v>
      </c>
      <c r="Y24" s="56">
        <v>2.5</v>
      </c>
      <c r="Z24" s="56">
        <v>2.5</v>
      </c>
      <c r="AA24" s="56">
        <v>2.5</v>
      </c>
      <c r="AB24" s="56">
        <v>2.5</v>
      </c>
      <c r="AC24" s="56">
        <v>2.5</v>
      </c>
      <c r="AD24" s="56">
        <v>2.5</v>
      </c>
      <c r="AE24" s="56">
        <v>2.5</v>
      </c>
      <c r="AF24" s="56">
        <v>2.5</v>
      </c>
      <c r="AG24" s="59">
        <v>12</v>
      </c>
      <c r="AH24" s="52">
        <f t="shared" si="2"/>
        <v>4</v>
      </c>
      <c r="AI24" s="53">
        <f t="shared" si="3"/>
        <v>2.5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85</v>
      </c>
      <c r="C28" s="56">
        <v>85</v>
      </c>
      <c r="D28" s="56">
        <v>85</v>
      </c>
      <c r="E28" s="56">
        <v>85</v>
      </c>
      <c r="F28" s="56">
        <v>85</v>
      </c>
      <c r="G28" s="56">
        <v>85</v>
      </c>
      <c r="H28" s="56">
        <v>85</v>
      </c>
      <c r="I28" s="56">
        <v>85</v>
      </c>
      <c r="J28" s="56">
        <v>85</v>
      </c>
      <c r="K28" s="56">
        <v>85</v>
      </c>
      <c r="L28" s="56">
        <v>85</v>
      </c>
      <c r="M28" s="56">
        <v>85</v>
      </c>
      <c r="N28" s="56">
        <v>85</v>
      </c>
      <c r="O28" s="56">
        <v>85</v>
      </c>
      <c r="P28" s="56">
        <v>85</v>
      </c>
      <c r="Q28" s="56">
        <v>85</v>
      </c>
      <c r="R28" s="56">
        <v>85</v>
      </c>
      <c r="S28" s="56">
        <v>85</v>
      </c>
      <c r="T28" s="56">
        <v>85</v>
      </c>
      <c r="U28" s="56">
        <v>85</v>
      </c>
      <c r="V28" s="56">
        <v>85</v>
      </c>
      <c r="W28" s="56">
        <v>85</v>
      </c>
      <c r="X28" s="56">
        <v>85</v>
      </c>
      <c r="Y28" s="56">
        <v>85</v>
      </c>
      <c r="Z28" s="56">
        <v>85</v>
      </c>
      <c r="AA28" s="56">
        <v>85</v>
      </c>
      <c r="AB28" s="56">
        <v>85</v>
      </c>
      <c r="AC28" s="56">
        <v>85</v>
      </c>
      <c r="AD28" s="56">
        <v>85</v>
      </c>
      <c r="AE28" s="56">
        <v>85</v>
      </c>
      <c r="AF28" s="56">
        <v>85</v>
      </c>
      <c r="AG28" s="59">
        <v>85</v>
      </c>
      <c r="AH28" s="52">
        <f t="shared" si="2"/>
        <v>85</v>
      </c>
      <c r="AI28" s="53">
        <f t="shared" si="3"/>
        <v>85</v>
      </c>
      <c r="AK28" s="54"/>
    </row>
    <row r="29" spans="1:88" ht="15.75" thickBot="1" x14ac:dyDescent="0.3">
      <c r="A29" s="66" t="s">
        <v>36</v>
      </c>
      <c r="B29" s="67">
        <v>54.6</v>
      </c>
      <c r="C29" s="56">
        <v>46.2</v>
      </c>
      <c r="D29" s="56">
        <v>50.3</v>
      </c>
      <c r="E29" s="56">
        <v>61.7</v>
      </c>
      <c r="F29" s="56">
        <v>62.1</v>
      </c>
      <c r="G29" s="56">
        <v>61.1</v>
      </c>
      <c r="H29" s="56">
        <v>61.3</v>
      </c>
      <c r="I29" s="56">
        <v>59.7</v>
      </c>
      <c r="J29" s="56">
        <v>42</v>
      </c>
      <c r="K29" s="56">
        <v>39.1</v>
      </c>
      <c r="L29" s="67">
        <v>61.8</v>
      </c>
      <c r="M29" s="67">
        <v>54.8</v>
      </c>
      <c r="N29" s="67">
        <v>46.6</v>
      </c>
      <c r="O29" s="67">
        <v>49.8</v>
      </c>
      <c r="P29" s="67">
        <v>48.9</v>
      </c>
      <c r="Q29" s="67">
        <v>49.5</v>
      </c>
      <c r="R29" s="67">
        <v>50.5</v>
      </c>
      <c r="S29" s="67">
        <v>46.3</v>
      </c>
      <c r="T29" s="67">
        <v>45.5</v>
      </c>
      <c r="U29" s="67">
        <v>43</v>
      </c>
      <c r="V29" s="67">
        <v>42.6</v>
      </c>
      <c r="W29" s="67">
        <v>42</v>
      </c>
      <c r="X29" s="67">
        <v>41.6</v>
      </c>
      <c r="Y29" s="67">
        <v>39.799999999999997</v>
      </c>
      <c r="Z29" s="67">
        <v>38.9</v>
      </c>
      <c r="AA29" s="67">
        <v>38.6</v>
      </c>
      <c r="AB29" s="67">
        <v>37.200000000000003</v>
      </c>
      <c r="AC29" s="67">
        <v>40</v>
      </c>
      <c r="AD29" s="67">
        <v>41</v>
      </c>
      <c r="AE29" s="56">
        <v>40.6</v>
      </c>
      <c r="AF29" s="56">
        <v>40.299999999999997</v>
      </c>
      <c r="AG29" s="59">
        <v>240</v>
      </c>
      <c r="AH29" s="52">
        <f t="shared" si="2"/>
        <v>62.1</v>
      </c>
      <c r="AI29" s="53">
        <f t="shared" si="3"/>
        <v>37.200000000000003</v>
      </c>
      <c r="AK29" s="54"/>
    </row>
    <row r="30" spans="1:88" ht="15.75" thickBot="1" x14ac:dyDescent="0.3">
      <c r="A30" s="68" t="s">
        <v>37</v>
      </c>
      <c r="B30" s="69">
        <f>SUM(B11:B28)</f>
        <v>256.2</v>
      </c>
      <c r="C30" s="69">
        <f t="shared" ref="C30:AF30" si="4">SUM(C11:C28)</f>
        <v>258.2</v>
      </c>
      <c r="D30" s="69">
        <f t="shared" si="4"/>
        <v>263.20000000000005</v>
      </c>
      <c r="E30" s="69">
        <f t="shared" si="4"/>
        <v>260.79999999999995</v>
      </c>
      <c r="F30" s="69">
        <f t="shared" si="4"/>
        <v>261.10000000000002</v>
      </c>
      <c r="G30" s="69">
        <f t="shared" si="4"/>
        <v>260.5</v>
      </c>
      <c r="H30" s="69">
        <f t="shared" si="4"/>
        <v>263.3</v>
      </c>
      <c r="I30" s="69">
        <f t="shared" si="4"/>
        <v>262.10000000000002</v>
      </c>
      <c r="J30" s="69">
        <f t="shared" si="4"/>
        <v>265.10000000000002</v>
      </c>
      <c r="K30" s="69">
        <f t="shared" si="4"/>
        <v>265.2</v>
      </c>
      <c r="L30" s="69">
        <f t="shared" si="4"/>
        <v>266.89999999999998</v>
      </c>
      <c r="M30" s="69">
        <f t="shared" si="4"/>
        <v>268.2</v>
      </c>
      <c r="N30" s="69">
        <f t="shared" si="4"/>
        <v>265.8</v>
      </c>
      <c r="O30" s="69">
        <f t="shared" si="4"/>
        <v>261.3</v>
      </c>
      <c r="P30" s="69">
        <f t="shared" si="4"/>
        <v>261.10000000000002</v>
      </c>
      <c r="Q30" s="69">
        <f t="shared" si="4"/>
        <v>262.3</v>
      </c>
      <c r="R30" s="69">
        <f t="shared" si="4"/>
        <v>262.39999999999998</v>
      </c>
      <c r="S30" s="69">
        <f t="shared" si="4"/>
        <v>257</v>
      </c>
      <c r="T30" s="69">
        <f t="shared" si="4"/>
        <v>254.2</v>
      </c>
      <c r="U30" s="69">
        <f t="shared" si="4"/>
        <v>253.70000000000002</v>
      </c>
      <c r="V30" s="69">
        <f>SUM(V11:V28)</f>
        <v>254.29999999999998</v>
      </c>
      <c r="W30" s="69">
        <f t="shared" si="4"/>
        <v>256.20000000000005</v>
      </c>
      <c r="X30" s="69">
        <f t="shared" si="4"/>
        <v>257.2</v>
      </c>
      <c r="Y30" s="69">
        <f t="shared" si="4"/>
        <v>256.3</v>
      </c>
      <c r="Z30" s="69">
        <f t="shared" si="4"/>
        <v>256</v>
      </c>
      <c r="AA30" s="69">
        <f t="shared" si="4"/>
        <v>256.59999999999997</v>
      </c>
      <c r="AB30" s="69">
        <f t="shared" si="4"/>
        <v>257.10000000000002</v>
      </c>
      <c r="AC30" s="69">
        <f t="shared" si="4"/>
        <v>258.89999999999998</v>
      </c>
      <c r="AD30" s="69">
        <f t="shared" si="4"/>
        <v>259.5</v>
      </c>
      <c r="AE30" s="69">
        <f t="shared" si="4"/>
        <v>262.29999999999995</v>
      </c>
      <c r="AF30" s="69">
        <f t="shared" si="4"/>
        <v>263.60000000000002</v>
      </c>
      <c r="AG30" s="59">
        <f>SUM(AG11:AG29)</f>
        <v>729.2</v>
      </c>
      <c r="AH30" s="52">
        <f t="shared" si="2"/>
        <v>268.2</v>
      </c>
      <c r="AI30" s="53">
        <f t="shared" si="3"/>
        <v>253.70000000000002</v>
      </c>
      <c r="AK30" s="54"/>
    </row>
    <row r="31" spans="1:88" x14ac:dyDescent="0.25">
      <c r="A31" s="55" t="s">
        <v>38</v>
      </c>
      <c r="B31" s="48">
        <v>80.8</v>
      </c>
      <c r="C31" s="56">
        <v>60</v>
      </c>
      <c r="D31" s="56">
        <v>60.9</v>
      </c>
      <c r="E31" s="56">
        <v>60.7</v>
      </c>
      <c r="F31" s="56">
        <v>48.5</v>
      </c>
      <c r="G31" s="56">
        <v>48.5</v>
      </c>
      <c r="H31" s="56">
        <v>48.5</v>
      </c>
      <c r="I31" s="56">
        <v>48.5</v>
      </c>
      <c r="J31" s="56">
        <v>65.3</v>
      </c>
      <c r="K31" s="56">
        <v>66.7</v>
      </c>
      <c r="L31" s="49">
        <v>60.8</v>
      </c>
      <c r="M31" s="49">
        <v>61.4</v>
      </c>
      <c r="N31" s="49">
        <v>60.7</v>
      </c>
      <c r="O31" s="49">
        <v>60.5</v>
      </c>
      <c r="P31" s="49">
        <v>80.7</v>
      </c>
      <c r="Q31" s="49">
        <v>81.099999999999994</v>
      </c>
      <c r="R31" s="49">
        <v>80.7</v>
      </c>
      <c r="S31" s="49">
        <v>48.3</v>
      </c>
      <c r="T31" s="49">
        <v>48.5</v>
      </c>
      <c r="U31" s="49">
        <v>91.8</v>
      </c>
      <c r="V31" s="49">
        <v>96.8</v>
      </c>
      <c r="W31" s="49">
        <v>96.8</v>
      </c>
      <c r="X31" s="49">
        <v>97</v>
      </c>
      <c r="Y31" s="49">
        <v>80.7</v>
      </c>
      <c r="Z31" s="49">
        <v>97</v>
      </c>
      <c r="AA31" s="48">
        <v>97.1</v>
      </c>
      <c r="AB31" s="48">
        <v>97</v>
      </c>
      <c r="AC31" s="48">
        <v>97</v>
      </c>
      <c r="AD31" s="48">
        <v>97.1</v>
      </c>
      <c r="AE31" s="48">
        <v>80.900000000000006</v>
      </c>
      <c r="AF31" s="48">
        <v>60.1</v>
      </c>
      <c r="AG31" s="57">
        <v>144</v>
      </c>
      <c r="AH31" s="52">
        <f t="shared" si="2"/>
        <v>97.1</v>
      </c>
      <c r="AI31" s="53">
        <f t="shared" si="3"/>
        <v>48.3</v>
      </c>
      <c r="AK31" s="54"/>
    </row>
    <row r="32" spans="1:88" x14ac:dyDescent="0.25">
      <c r="A32" s="58" t="s">
        <v>39</v>
      </c>
      <c r="B32" s="56">
        <v>20</v>
      </c>
      <c r="C32" s="56">
        <v>0</v>
      </c>
      <c r="D32" s="56">
        <v>0</v>
      </c>
      <c r="E32" s="56">
        <v>0</v>
      </c>
      <c r="F32" s="56">
        <v>0</v>
      </c>
      <c r="G32" s="56">
        <v>22.2</v>
      </c>
      <c r="H32" s="56">
        <v>22.1</v>
      </c>
      <c r="I32" s="56">
        <v>21.9</v>
      </c>
      <c r="J32" s="56">
        <v>24.9</v>
      </c>
      <c r="K32" s="56">
        <v>45</v>
      </c>
      <c r="L32" s="70">
        <v>49.7</v>
      </c>
      <c r="M32" s="70">
        <v>49</v>
      </c>
      <c r="N32" s="70">
        <v>50.6</v>
      </c>
      <c r="O32" s="70">
        <v>51</v>
      </c>
      <c r="P32" s="70">
        <v>43.1</v>
      </c>
      <c r="Q32" s="70">
        <v>44.8</v>
      </c>
      <c r="R32" s="70">
        <v>51.1</v>
      </c>
      <c r="S32" s="70">
        <v>56.1</v>
      </c>
      <c r="T32" s="70">
        <v>49.5</v>
      </c>
      <c r="U32" s="70">
        <v>44.5</v>
      </c>
      <c r="V32" s="70">
        <v>44.5</v>
      </c>
      <c r="W32" s="70">
        <v>43.9</v>
      </c>
      <c r="X32" s="70">
        <v>52.3</v>
      </c>
      <c r="Y32" s="70">
        <v>49.8</v>
      </c>
      <c r="Z32" s="70">
        <v>50.1</v>
      </c>
      <c r="AA32" s="56">
        <v>43.6</v>
      </c>
      <c r="AB32" s="56">
        <v>25.7</v>
      </c>
      <c r="AC32" s="56">
        <v>25.5</v>
      </c>
      <c r="AD32" s="56">
        <v>25</v>
      </c>
      <c r="AE32" s="56">
        <v>24.6</v>
      </c>
      <c r="AF32" s="56">
        <v>25</v>
      </c>
      <c r="AG32" s="59">
        <v>70</v>
      </c>
      <c r="AH32" s="52">
        <f t="shared" si="2"/>
        <v>56.1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53</v>
      </c>
      <c r="C33" s="56">
        <v>53</v>
      </c>
      <c r="D33" s="56">
        <v>20.2</v>
      </c>
      <c r="E33" s="56">
        <v>20.100000000000001</v>
      </c>
      <c r="F33" s="56">
        <v>20.100000000000001</v>
      </c>
      <c r="G33" s="56">
        <v>17.8</v>
      </c>
      <c r="H33" s="56">
        <v>18.100000000000001</v>
      </c>
      <c r="I33" s="56">
        <v>17.899999999999999</v>
      </c>
      <c r="J33" s="56">
        <v>22.3</v>
      </c>
      <c r="K33" s="56">
        <v>22.1</v>
      </c>
      <c r="L33" s="70">
        <v>16</v>
      </c>
      <c r="M33" s="70">
        <v>22.4</v>
      </c>
      <c r="N33" s="70">
        <v>40.200000000000003</v>
      </c>
      <c r="O33" s="70">
        <v>40.200000000000003</v>
      </c>
      <c r="P33" s="70">
        <v>41</v>
      </c>
      <c r="Q33" s="70">
        <v>40.9</v>
      </c>
      <c r="R33" s="70">
        <v>22.6</v>
      </c>
      <c r="S33" s="70">
        <v>21.9</v>
      </c>
      <c r="T33" s="70">
        <v>32.6</v>
      </c>
      <c r="U33" s="70">
        <v>32.5</v>
      </c>
      <c r="V33" s="70">
        <v>40.700000000000003</v>
      </c>
      <c r="W33" s="70">
        <v>41.3</v>
      </c>
      <c r="X33" s="70">
        <v>40.6</v>
      </c>
      <c r="Y33" s="70">
        <v>32.700000000000003</v>
      </c>
      <c r="Z33" s="70">
        <v>66.8</v>
      </c>
      <c r="AA33" s="56">
        <v>66.900000000000006</v>
      </c>
      <c r="AB33" s="56">
        <v>61.1</v>
      </c>
      <c r="AC33" s="56">
        <v>28.5</v>
      </c>
      <c r="AD33" s="56">
        <v>32.700000000000003</v>
      </c>
      <c r="AE33" s="56">
        <v>32.4</v>
      </c>
      <c r="AF33" s="56">
        <v>32.700000000000003</v>
      </c>
      <c r="AG33" s="59">
        <v>69</v>
      </c>
      <c r="AH33" s="52">
        <f t="shared" si="2"/>
        <v>66.900000000000006</v>
      </c>
      <c r="AI33" s="53">
        <f t="shared" si="3"/>
        <v>16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28.7</v>
      </c>
      <c r="F34" s="56">
        <v>28.7</v>
      </c>
      <c r="G34" s="56">
        <v>28.5</v>
      </c>
      <c r="H34" s="56">
        <v>28.5</v>
      </c>
      <c r="I34" s="56">
        <v>28.5</v>
      </c>
      <c r="J34" s="56">
        <v>28.2</v>
      </c>
      <c r="K34" s="56">
        <v>28.2</v>
      </c>
      <c r="L34" s="70">
        <v>28.5</v>
      </c>
      <c r="M34" s="70">
        <v>28.5</v>
      </c>
      <c r="N34" s="70">
        <v>28.5</v>
      </c>
      <c r="O34" s="70">
        <v>28.5</v>
      </c>
      <c r="P34" s="70">
        <v>28.5</v>
      </c>
      <c r="Q34" s="70">
        <v>28.5</v>
      </c>
      <c r="R34" s="70">
        <v>28.5</v>
      </c>
      <c r="S34" s="70">
        <v>28.5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70">
        <v>28.5</v>
      </c>
      <c r="AB34" s="70">
        <v>28.5</v>
      </c>
      <c r="AC34" s="70">
        <v>28.5</v>
      </c>
      <c r="AD34" s="70">
        <v>28.5</v>
      </c>
      <c r="AE34" s="70">
        <v>28.5</v>
      </c>
      <c r="AF34" s="70">
        <v>28.5</v>
      </c>
      <c r="AG34" s="59">
        <v>60</v>
      </c>
      <c r="AH34" s="52">
        <f t="shared" si="2"/>
        <v>28.7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10</v>
      </c>
      <c r="C35" s="56">
        <v>10</v>
      </c>
      <c r="D35" s="56">
        <v>10</v>
      </c>
      <c r="E35" s="56">
        <v>0</v>
      </c>
      <c r="F35" s="56">
        <v>0</v>
      </c>
      <c r="G35" s="56">
        <v>10</v>
      </c>
      <c r="H35" s="56">
        <v>10.199999999999999</v>
      </c>
      <c r="I35" s="56">
        <v>10</v>
      </c>
      <c r="J35" s="56">
        <v>10</v>
      </c>
      <c r="K35" s="56">
        <v>10</v>
      </c>
      <c r="L35" s="49">
        <v>20</v>
      </c>
      <c r="M35" s="49">
        <v>21</v>
      </c>
      <c r="N35" s="49">
        <v>25</v>
      </c>
      <c r="O35" s="49">
        <v>25</v>
      </c>
      <c r="P35" s="49">
        <v>25</v>
      </c>
      <c r="Q35" s="49">
        <v>23.7</v>
      </c>
      <c r="R35" s="49">
        <v>20</v>
      </c>
      <c r="S35" s="49">
        <v>15</v>
      </c>
      <c r="T35" s="49">
        <v>15.1</v>
      </c>
      <c r="U35" s="49">
        <v>10.6</v>
      </c>
      <c r="V35" s="70">
        <v>9.6999999999999993</v>
      </c>
      <c r="W35" s="70">
        <v>9.6999999999999993</v>
      </c>
      <c r="X35" s="70">
        <v>10.199999999999999</v>
      </c>
      <c r="Y35" s="70">
        <v>9.8000000000000007</v>
      </c>
      <c r="Z35" s="70">
        <v>27</v>
      </c>
      <c r="AA35" s="56">
        <v>27</v>
      </c>
      <c r="AB35" s="56">
        <v>29.2</v>
      </c>
      <c r="AC35" s="56">
        <v>25.7</v>
      </c>
      <c r="AD35" s="56">
        <v>23.5</v>
      </c>
      <c r="AE35" s="56">
        <v>14.6</v>
      </c>
      <c r="AF35" s="56">
        <v>13</v>
      </c>
      <c r="AG35" s="59">
        <v>30</v>
      </c>
      <c r="AH35" s="52">
        <f t="shared" si="2"/>
        <v>29.2</v>
      </c>
      <c r="AI35" s="53">
        <f t="shared" si="3"/>
        <v>0</v>
      </c>
      <c r="AK35" s="54"/>
    </row>
    <row r="36" spans="1:41" x14ac:dyDescent="0.25">
      <c r="A36" s="58" t="s">
        <v>43</v>
      </c>
      <c r="B36" s="56">
        <v>14.4</v>
      </c>
      <c r="C36" s="71">
        <v>14.3</v>
      </c>
      <c r="D36" s="71">
        <v>14.3</v>
      </c>
      <c r="E36" s="71">
        <v>14.3</v>
      </c>
      <c r="F36" s="71">
        <v>14.4</v>
      </c>
      <c r="G36" s="71">
        <v>14.4</v>
      </c>
      <c r="H36" s="71">
        <v>14.4</v>
      </c>
      <c r="I36" s="71">
        <v>14.5</v>
      </c>
      <c r="J36" s="71">
        <v>15.4</v>
      </c>
      <c r="K36" s="71">
        <v>15.3</v>
      </c>
      <c r="L36" s="49">
        <v>15.4</v>
      </c>
      <c r="M36" s="49">
        <v>16.3</v>
      </c>
      <c r="N36" s="49">
        <v>16.3</v>
      </c>
      <c r="O36" s="49">
        <v>16.8</v>
      </c>
      <c r="P36" s="49">
        <v>14.1</v>
      </c>
      <c r="Q36" s="49">
        <v>16.899999999999999</v>
      </c>
      <c r="R36" s="49">
        <v>16.7</v>
      </c>
      <c r="S36" s="49">
        <v>16.2</v>
      </c>
      <c r="T36" s="49">
        <v>15.3</v>
      </c>
      <c r="U36" s="49">
        <v>15.4</v>
      </c>
      <c r="V36" s="49">
        <v>15.3</v>
      </c>
      <c r="W36" s="49">
        <v>15.3</v>
      </c>
      <c r="X36" s="49">
        <v>15.4</v>
      </c>
      <c r="Y36" s="49">
        <v>15.3</v>
      </c>
      <c r="Z36" s="49">
        <v>15.3</v>
      </c>
      <c r="AA36" s="56">
        <v>15.3</v>
      </c>
      <c r="AB36" s="56">
        <v>15.3</v>
      </c>
      <c r="AC36" s="56">
        <v>15.3</v>
      </c>
      <c r="AD36" s="56">
        <v>15.3</v>
      </c>
      <c r="AE36" s="56">
        <v>15.2</v>
      </c>
      <c r="AF36" s="56">
        <v>15.2</v>
      </c>
      <c r="AG36" s="59">
        <v>24</v>
      </c>
      <c r="AH36" s="52">
        <f t="shared" si="2"/>
        <v>16.899999999999999</v>
      </c>
      <c r="AI36" s="53">
        <f t="shared" si="3"/>
        <v>14.1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56">
        <v>10</v>
      </c>
      <c r="O38" s="56">
        <v>10</v>
      </c>
      <c r="P38" s="56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49">
        <v>10</v>
      </c>
      <c r="AD38" s="49">
        <v>10</v>
      </c>
      <c r="AE38" s="49">
        <v>10</v>
      </c>
      <c r="AF38" s="49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4</v>
      </c>
      <c r="C39" s="71">
        <v>4</v>
      </c>
      <c r="D39" s="71">
        <v>4</v>
      </c>
      <c r="E39" s="71">
        <v>4</v>
      </c>
      <c r="F39" s="71">
        <v>4</v>
      </c>
      <c r="G39" s="71">
        <v>4</v>
      </c>
      <c r="H39" s="71">
        <v>4</v>
      </c>
      <c r="I39" s="71">
        <v>4</v>
      </c>
      <c r="J39" s="71">
        <v>4</v>
      </c>
      <c r="K39" s="71">
        <v>4</v>
      </c>
      <c r="L39" s="71">
        <v>4</v>
      </c>
      <c r="M39" s="71">
        <v>4</v>
      </c>
      <c r="N39" s="71">
        <v>4</v>
      </c>
      <c r="O39" s="71">
        <v>4</v>
      </c>
      <c r="P39" s="71">
        <v>4</v>
      </c>
      <c r="Q39" s="71">
        <v>4</v>
      </c>
      <c r="R39" s="71">
        <v>4</v>
      </c>
      <c r="S39" s="71">
        <v>3.9</v>
      </c>
      <c r="T39" s="71">
        <v>3.9</v>
      </c>
      <c r="U39" s="71">
        <v>3.9</v>
      </c>
      <c r="V39" s="71">
        <v>3.9</v>
      </c>
      <c r="W39" s="71">
        <v>3.9</v>
      </c>
      <c r="X39" s="71">
        <v>3.9</v>
      </c>
      <c r="Y39" s="71">
        <v>3.9</v>
      </c>
      <c r="Z39" s="71">
        <v>5</v>
      </c>
      <c r="AA39" s="71">
        <v>5</v>
      </c>
      <c r="AB39" s="71">
        <v>5</v>
      </c>
      <c r="AC39" s="71">
        <v>5</v>
      </c>
      <c r="AD39" s="71">
        <v>3.9</v>
      </c>
      <c r="AE39" s="71">
        <v>3.9</v>
      </c>
      <c r="AF39" s="71">
        <v>3.9</v>
      </c>
      <c r="AG39" s="59">
        <v>14</v>
      </c>
      <c r="AH39" s="52">
        <f t="shared" si="2"/>
        <v>5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3.7</v>
      </c>
      <c r="C40" s="56">
        <v>3.9</v>
      </c>
      <c r="D40" s="56">
        <v>3.9</v>
      </c>
      <c r="E40" s="56">
        <v>3.9</v>
      </c>
      <c r="F40" s="56">
        <v>3.9</v>
      </c>
      <c r="G40" s="56">
        <v>3.9</v>
      </c>
      <c r="H40" s="56">
        <v>3.9</v>
      </c>
      <c r="I40" s="56">
        <v>3.9</v>
      </c>
      <c r="J40" s="56">
        <v>3.9</v>
      </c>
      <c r="K40" s="56">
        <v>3.9</v>
      </c>
      <c r="L40" s="56">
        <v>3.9</v>
      </c>
      <c r="M40" s="56">
        <v>3.9</v>
      </c>
      <c r="N40" s="56">
        <v>3.9</v>
      </c>
      <c r="O40" s="56">
        <v>3.9</v>
      </c>
      <c r="P40" s="56">
        <v>3.9</v>
      </c>
      <c r="Q40" s="56">
        <v>3.9</v>
      </c>
      <c r="R40" s="56">
        <v>3.9</v>
      </c>
      <c r="S40" s="56">
        <v>3.6</v>
      </c>
      <c r="T40" s="56">
        <v>3.7</v>
      </c>
      <c r="U40" s="56">
        <v>3.6</v>
      </c>
      <c r="V40" s="56">
        <v>3.7</v>
      </c>
      <c r="W40" s="56">
        <v>3.6</v>
      </c>
      <c r="X40" s="56">
        <v>3.6</v>
      </c>
      <c r="Y40" s="56">
        <v>3.6</v>
      </c>
      <c r="Z40" s="56">
        <v>4</v>
      </c>
      <c r="AA40" s="56">
        <v>3.6</v>
      </c>
      <c r="AB40" s="56">
        <v>3.6</v>
      </c>
      <c r="AC40" s="56">
        <v>3.6</v>
      </c>
      <c r="AD40" s="56">
        <v>3.6</v>
      </c>
      <c r="AE40" s="56">
        <v>3.6</v>
      </c>
      <c r="AF40" s="56">
        <v>3.6</v>
      </c>
      <c r="AG40" s="59">
        <v>10.050000000000001</v>
      </c>
      <c r="AH40" s="52">
        <f t="shared" si="2"/>
        <v>4</v>
      </c>
      <c r="AI40" s="53">
        <f t="shared" si="3"/>
        <v>3.6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56">
        <v>2.5</v>
      </c>
      <c r="M41" s="56">
        <v>2.5</v>
      </c>
      <c r="N41" s="56">
        <v>2.5</v>
      </c>
      <c r="O41" s="56">
        <v>2.5</v>
      </c>
      <c r="P41" s="56">
        <v>2.5</v>
      </c>
      <c r="Q41" s="56">
        <v>2.5</v>
      </c>
      <c r="R41" s="56">
        <v>2.5</v>
      </c>
      <c r="S41" s="56">
        <v>2.5</v>
      </c>
      <c r="T41" s="56">
        <v>2.5</v>
      </c>
      <c r="U41" s="56">
        <v>2.5</v>
      </c>
      <c r="V41" s="56">
        <v>2.5</v>
      </c>
      <c r="W41" s="56">
        <v>2.5</v>
      </c>
      <c r="X41" s="56">
        <v>2.5</v>
      </c>
      <c r="Y41" s="56">
        <v>2.5</v>
      </c>
      <c r="Z41" s="56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230.64</v>
      </c>
      <c r="C43" s="69">
        <f t="shared" ref="C43:AF43" si="6">SUM(C31:C42)</f>
        <v>189.94</v>
      </c>
      <c r="D43" s="69">
        <f t="shared" si="6"/>
        <v>158.04</v>
      </c>
      <c r="E43" s="69">
        <f t="shared" si="6"/>
        <v>147.74</v>
      </c>
      <c r="F43" s="69">
        <f t="shared" si="6"/>
        <v>135.63999999999999</v>
      </c>
      <c r="G43" s="69">
        <f t="shared" si="6"/>
        <v>165.34</v>
      </c>
      <c r="H43" s="69">
        <f t="shared" si="6"/>
        <v>165.73999999999998</v>
      </c>
      <c r="I43" s="69">
        <f t="shared" si="6"/>
        <v>165.24</v>
      </c>
      <c r="J43" s="69">
        <f t="shared" si="6"/>
        <v>190.04</v>
      </c>
      <c r="K43" s="69">
        <f t="shared" si="6"/>
        <v>211.24</v>
      </c>
      <c r="L43" s="69">
        <f t="shared" si="6"/>
        <v>214.34</v>
      </c>
      <c r="M43" s="69">
        <f t="shared" si="6"/>
        <v>222.54000000000002</v>
      </c>
      <c r="N43" s="69">
        <f t="shared" si="6"/>
        <v>245.24</v>
      </c>
      <c r="O43" s="69">
        <f t="shared" si="6"/>
        <v>245.94</v>
      </c>
      <c r="P43" s="69">
        <f t="shared" si="6"/>
        <v>256.34000000000003</v>
      </c>
      <c r="Q43" s="69">
        <f t="shared" si="6"/>
        <v>259.83999999999997</v>
      </c>
      <c r="R43" s="69">
        <f t="shared" si="6"/>
        <v>243.54</v>
      </c>
      <c r="S43" s="69">
        <f t="shared" si="6"/>
        <v>209.54</v>
      </c>
      <c r="T43" s="69">
        <f t="shared" si="6"/>
        <v>213.14</v>
      </c>
      <c r="U43" s="69">
        <f t="shared" si="6"/>
        <v>246.84</v>
      </c>
      <c r="V43" s="69">
        <f t="shared" si="6"/>
        <v>259.14</v>
      </c>
      <c r="W43" s="69">
        <f t="shared" si="6"/>
        <v>259.04000000000002</v>
      </c>
      <c r="X43" s="69">
        <f t="shared" si="6"/>
        <v>267.54000000000002</v>
      </c>
      <c r="Y43" s="69">
        <f t="shared" si="6"/>
        <v>240.34</v>
      </c>
      <c r="Z43" s="69">
        <f t="shared" si="6"/>
        <v>309.74</v>
      </c>
      <c r="AA43" s="69">
        <f t="shared" si="6"/>
        <v>303.04000000000008</v>
      </c>
      <c r="AB43" s="69">
        <f t="shared" si="6"/>
        <v>281.44000000000005</v>
      </c>
      <c r="AC43" s="69">
        <f t="shared" si="6"/>
        <v>245.14</v>
      </c>
      <c r="AD43" s="69">
        <f t="shared" si="6"/>
        <v>245.64000000000001</v>
      </c>
      <c r="AE43" s="69">
        <f t="shared" si="6"/>
        <v>219.73999999999998</v>
      </c>
      <c r="AF43" s="69">
        <f t="shared" si="6"/>
        <v>198.04</v>
      </c>
      <c r="AG43" s="74">
        <f>SUM(AG31:AG42)</f>
        <v>464.91</v>
      </c>
      <c r="AH43" s="52">
        <f t="shared" si="2"/>
        <v>309.74</v>
      </c>
      <c r="AI43" s="53">
        <f t="shared" si="3"/>
        <v>135.63999999999999</v>
      </c>
      <c r="AK43" s="54"/>
    </row>
    <row r="44" spans="1:41" ht="15.75" x14ac:dyDescent="0.25">
      <c r="A44" s="55" t="s">
        <v>51</v>
      </c>
      <c r="B44" s="49">
        <v>0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49">
        <v>13.8</v>
      </c>
      <c r="T44" s="49">
        <v>10</v>
      </c>
      <c r="U44" s="49">
        <v>0.1</v>
      </c>
      <c r="V44" s="49">
        <v>0.1</v>
      </c>
      <c r="W44" s="49">
        <v>0.1</v>
      </c>
      <c r="X44" s="49">
        <v>4.9000000000000004</v>
      </c>
      <c r="Y44" s="49">
        <v>10</v>
      </c>
      <c r="Z44" s="181">
        <v>39.200000000000003</v>
      </c>
      <c r="AA44" s="49">
        <v>39.200000000000003</v>
      </c>
      <c r="AB44" s="49">
        <v>29</v>
      </c>
      <c r="AC44" s="49">
        <v>13.1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39.200000000000003</v>
      </c>
      <c r="AI44" s="53">
        <f t="shared" si="3"/>
        <v>0</v>
      </c>
      <c r="AK44" s="54"/>
    </row>
    <row r="45" spans="1:41" ht="15.75" x14ac:dyDescent="0.25">
      <c r="A45" s="58" t="s">
        <v>52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49">
        <v>7.4</v>
      </c>
      <c r="T45" s="49">
        <v>4.5999999999999996</v>
      </c>
      <c r="U45" s="70">
        <v>0</v>
      </c>
      <c r="V45" s="70">
        <v>0</v>
      </c>
      <c r="W45" s="70">
        <v>0</v>
      </c>
      <c r="X45" s="70">
        <v>0</v>
      </c>
      <c r="Y45" s="70">
        <v>4.8</v>
      </c>
      <c r="Z45" s="180">
        <v>18</v>
      </c>
      <c r="AA45" s="70">
        <v>17.899999999999999</v>
      </c>
      <c r="AB45" s="70">
        <v>15.8</v>
      </c>
      <c r="AC45" s="70">
        <v>6.9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18</v>
      </c>
      <c r="AI45" s="53">
        <f t="shared" si="3"/>
        <v>0</v>
      </c>
      <c r="AK45" s="54"/>
    </row>
    <row r="46" spans="1:41" ht="16.5" thickBot="1" x14ac:dyDescent="0.3">
      <c r="A46" s="72" t="s">
        <v>53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1">
        <v>0</v>
      </c>
      <c r="J46" s="71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49">
        <v>2.7</v>
      </c>
      <c r="T46" s="49">
        <v>1.7</v>
      </c>
      <c r="U46" s="77">
        <v>0</v>
      </c>
      <c r="V46" s="77">
        <v>0</v>
      </c>
      <c r="W46" s="77">
        <v>0</v>
      </c>
      <c r="X46" s="77">
        <v>0</v>
      </c>
      <c r="Y46" s="77">
        <v>1.8</v>
      </c>
      <c r="Z46" s="182">
        <v>6.6</v>
      </c>
      <c r="AA46" s="77">
        <v>6.5</v>
      </c>
      <c r="AB46" s="77">
        <v>5.8</v>
      </c>
      <c r="AC46" s="77">
        <v>2.5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6.6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23.900000000000002</v>
      </c>
      <c r="T47" s="69">
        <f t="shared" si="7"/>
        <v>16.3</v>
      </c>
      <c r="U47" s="69">
        <f t="shared" si="7"/>
        <v>0.1</v>
      </c>
      <c r="V47" s="69">
        <f t="shared" si="7"/>
        <v>0.1</v>
      </c>
      <c r="W47" s="69">
        <f t="shared" si="7"/>
        <v>0.1</v>
      </c>
      <c r="X47" s="69">
        <f t="shared" si="7"/>
        <v>4.9000000000000004</v>
      </c>
      <c r="Y47" s="69">
        <f t="shared" si="7"/>
        <v>16.600000000000001</v>
      </c>
      <c r="Z47" s="69">
        <f t="shared" si="7"/>
        <v>63.800000000000004</v>
      </c>
      <c r="AA47" s="69">
        <f t="shared" si="7"/>
        <v>63.6</v>
      </c>
      <c r="AB47" s="69">
        <f t="shared" si="7"/>
        <v>50.599999999999994</v>
      </c>
      <c r="AC47" s="69">
        <f t="shared" si="7"/>
        <v>22.5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63.800000000000004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68.599999999999994</v>
      </c>
      <c r="C48" s="49">
        <v>67</v>
      </c>
      <c r="D48" s="49">
        <v>64.209999999999994</v>
      </c>
      <c r="E48" s="49">
        <v>69.47</v>
      </c>
      <c r="F48" s="49">
        <v>67.3</v>
      </c>
      <c r="G48" s="49">
        <v>59.1</v>
      </c>
      <c r="H48" s="49">
        <v>64.3</v>
      </c>
      <c r="I48" s="49">
        <v>63.5</v>
      </c>
      <c r="J48" s="49">
        <v>62.7</v>
      </c>
      <c r="K48" s="49">
        <v>61</v>
      </c>
      <c r="L48" s="49">
        <v>66.510000000000005</v>
      </c>
      <c r="M48" s="49">
        <v>72.3</v>
      </c>
      <c r="N48" s="49">
        <v>70.400000000000006</v>
      </c>
      <c r="O48" s="49">
        <v>72.819999999999993</v>
      </c>
      <c r="P48" s="49">
        <v>73.39</v>
      </c>
      <c r="Q48" s="49">
        <v>63.66</v>
      </c>
      <c r="R48" s="49">
        <v>69.739999999999995</v>
      </c>
      <c r="S48" s="49">
        <v>61.29</v>
      </c>
      <c r="T48" s="49">
        <v>62.7</v>
      </c>
      <c r="U48" s="49">
        <v>63.74</v>
      </c>
      <c r="V48" s="49">
        <v>64.39</v>
      </c>
      <c r="W48" s="49">
        <v>62.061</v>
      </c>
      <c r="X48" s="49">
        <v>61.1</v>
      </c>
      <c r="Y48" s="49">
        <v>62.64</v>
      </c>
      <c r="Z48" s="49">
        <v>64.12</v>
      </c>
      <c r="AA48" s="49">
        <v>70.459999999999994</v>
      </c>
      <c r="AB48" s="49">
        <v>72.680000000000007</v>
      </c>
      <c r="AC48" s="49">
        <v>73.849999999999994</v>
      </c>
      <c r="AD48" s="49">
        <v>72.8</v>
      </c>
      <c r="AE48" s="49">
        <v>74</v>
      </c>
      <c r="AF48" s="49">
        <v>73.040000000000006</v>
      </c>
      <c r="AG48" s="57"/>
      <c r="AH48" s="52">
        <f t="shared" si="2"/>
        <v>74</v>
      </c>
      <c r="AI48" s="53">
        <f t="shared" si="3"/>
        <v>59.1</v>
      </c>
      <c r="AK48" s="54"/>
    </row>
    <row r="49" spans="1:37" x14ac:dyDescent="0.25">
      <c r="A49" s="58" t="s">
        <v>56</v>
      </c>
      <c r="B49" s="70">
        <v>75</v>
      </c>
      <c r="C49" s="70">
        <v>98.6</v>
      </c>
      <c r="D49" s="70">
        <v>91.6</v>
      </c>
      <c r="E49" s="70">
        <v>79.400000000000006</v>
      </c>
      <c r="F49" s="70">
        <f>72.6+23</f>
        <v>95.6</v>
      </c>
      <c r="G49" s="70">
        <f>67.8+22</f>
        <v>89.8</v>
      </c>
      <c r="H49" s="70">
        <f>64+24</f>
        <v>88</v>
      </c>
      <c r="I49" s="70">
        <f>67.3+29.1</f>
        <v>96.4</v>
      </c>
      <c r="J49" s="70">
        <f>88.4+41.1</f>
        <v>129.5</v>
      </c>
      <c r="K49" s="70">
        <f>96.1+48.2</f>
        <v>144.30000000000001</v>
      </c>
      <c r="L49" s="49">
        <v>125</v>
      </c>
      <c r="M49" s="49">
        <v>142</v>
      </c>
      <c r="N49" s="49">
        <v>105</v>
      </c>
      <c r="O49" s="49">
        <v>102</v>
      </c>
      <c r="P49" s="49">
        <v>101</v>
      </c>
      <c r="Q49" s="49">
        <f>97.3+0</f>
        <v>97.3</v>
      </c>
      <c r="R49" s="49">
        <v>100</v>
      </c>
      <c r="S49" s="49">
        <v>108</v>
      </c>
      <c r="T49" s="49">
        <v>108</v>
      </c>
      <c r="U49" s="79">
        <v>31.2</v>
      </c>
      <c r="V49" s="79">
        <v>31.8</v>
      </c>
      <c r="W49" s="79">
        <v>32.5</v>
      </c>
      <c r="X49" s="79">
        <v>33.799999999999997</v>
      </c>
      <c r="Y49" s="79">
        <v>126</v>
      </c>
      <c r="Z49" s="79">
        <v>140</v>
      </c>
      <c r="AA49" s="70">
        <f>18.2+108</f>
        <v>126.2</v>
      </c>
      <c r="AB49" s="70">
        <f>17.8+108</f>
        <v>125.8</v>
      </c>
      <c r="AC49" s="70">
        <f>18.8+106</f>
        <v>124.8</v>
      </c>
      <c r="AD49" s="70">
        <f>16.9+98.6</f>
        <v>115.5</v>
      </c>
      <c r="AE49" s="70">
        <f>9.8+93.9</f>
        <v>103.7</v>
      </c>
      <c r="AF49" s="70">
        <f>11.9+89.5</f>
        <v>101.4</v>
      </c>
      <c r="AG49" s="59"/>
      <c r="AH49" s="52">
        <f t="shared" si="2"/>
        <v>144.30000000000001</v>
      </c>
      <c r="AI49" s="53">
        <f t="shared" si="3"/>
        <v>31.2</v>
      </c>
      <c r="AK49" s="54"/>
    </row>
    <row r="50" spans="1:37" x14ac:dyDescent="0.25">
      <c r="A50" s="58" t="s">
        <v>57</v>
      </c>
      <c r="B50" s="70">
        <v>248</v>
      </c>
      <c r="C50" s="70">
        <v>250</v>
      </c>
      <c r="D50" s="70">
        <v>267</v>
      </c>
      <c r="E50" s="70">
        <v>264</v>
      </c>
      <c r="F50" s="70">
        <v>262</v>
      </c>
      <c r="G50" s="49">
        <v>264</v>
      </c>
      <c r="H50" s="49">
        <v>268</v>
      </c>
      <c r="I50" s="49">
        <v>288</v>
      </c>
      <c r="J50" s="49">
        <v>292</v>
      </c>
      <c r="K50" s="49">
        <v>282</v>
      </c>
      <c r="L50" s="70">
        <v>287</v>
      </c>
      <c r="M50" s="70">
        <v>284.5</v>
      </c>
      <c r="N50" s="70">
        <v>316.10000000000002</v>
      </c>
      <c r="O50" s="70">
        <v>295</v>
      </c>
      <c r="P50" s="70">
        <v>301.3</v>
      </c>
      <c r="Q50" s="70">
        <f>155.69+156.24</f>
        <v>311.93</v>
      </c>
      <c r="R50" s="70">
        <f>164.5+165</f>
        <v>329.5</v>
      </c>
      <c r="S50" s="70">
        <v>317.2</v>
      </c>
      <c r="T50" s="70">
        <v>345</v>
      </c>
      <c r="U50" s="80">
        <v>337</v>
      </c>
      <c r="V50" s="80">
        <v>333</v>
      </c>
      <c r="W50" s="80">
        <v>333</v>
      </c>
      <c r="X50" s="80">
        <v>336</v>
      </c>
      <c r="Y50" s="80">
        <v>350</v>
      </c>
      <c r="Z50" s="80">
        <v>347</v>
      </c>
      <c r="AA50" s="70">
        <v>339</v>
      </c>
      <c r="AB50" s="70">
        <v>343</v>
      </c>
      <c r="AC50" s="70">
        <v>350.2</v>
      </c>
      <c r="AD50" s="70">
        <v>307</v>
      </c>
      <c r="AE50" s="70">
        <v>277</v>
      </c>
      <c r="AF50" s="70">
        <v>268</v>
      </c>
      <c r="AG50" s="81"/>
      <c r="AH50" s="52">
        <f t="shared" si="2"/>
        <v>350.2</v>
      </c>
      <c r="AI50" s="53">
        <f t="shared" si="3"/>
        <v>248</v>
      </c>
      <c r="AK50" s="54"/>
    </row>
    <row r="51" spans="1:37" x14ac:dyDescent="0.25">
      <c r="A51" s="58" t="s">
        <v>58</v>
      </c>
      <c r="B51" s="82">
        <v>13</v>
      </c>
      <c r="C51" s="82">
        <v>13</v>
      </c>
      <c r="D51" s="82">
        <v>23</v>
      </c>
      <c r="E51" s="82">
        <v>23</v>
      </c>
      <c r="F51" s="82">
        <v>22</v>
      </c>
      <c r="G51" s="82">
        <v>22</v>
      </c>
      <c r="H51" s="82">
        <v>22</v>
      </c>
      <c r="I51" s="82">
        <v>23</v>
      </c>
      <c r="J51" s="82">
        <v>23</v>
      </c>
      <c r="K51" s="82">
        <v>23</v>
      </c>
      <c r="L51" s="70">
        <v>20</v>
      </c>
      <c r="M51" s="70">
        <v>20</v>
      </c>
      <c r="N51" s="70">
        <v>20</v>
      </c>
      <c r="O51" s="70">
        <v>20</v>
      </c>
      <c r="P51" s="70">
        <v>20</v>
      </c>
      <c r="Q51" s="70">
        <v>16</v>
      </c>
      <c r="R51" s="70">
        <v>16.600000000000001</v>
      </c>
      <c r="S51" s="70">
        <v>16.600000000000001</v>
      </c>
      <c r="T51" s="70">
        <v>16.600000000000001</v>
      </c>
      <c r="U51" s="70">
        <v>16.600000000000001</v>
      </c>
      <c r="V51" s="70">
        <v>16.600000000000001</v>
      </c>
      <c r="W51" s="70">
        <v>16.600000000000001</v>
      </c>
      <c r="X51" s="70">
        <v>16.600000000000001</v>
      </c>
      <c r="Y51" s="70">
        <v>16.600000000000001</v>
      </c>
      <c r="Z51" s="70">
        <v>20</v>
      </c>
      <c r="AA51" s="82">
        <v>18.8</v>
      </c>
      <c r="AB51" s="82">
        <v>18</v>
      </c>
      <c r="AC51" s="82">
        <v>18</v>
      </c>
      <c r="AD51" s="82">
        <v>18</v>
      </c>
      <c r="AE51" s="82">
        <v>18</v>
      </c>
      <c r="AF51" s="82">
        <v>23.8</v>
      </c>
      <c r="AG51" s="81"/>
      <c r="AH51" s="52">
        <f t="shared" si="2"/>
        <v>23.8</v>
      </c>
      <c r="AI51" s="53">
        <f t="shared" si="3"/>
        <v>13</v>
      </c>
      <c r="AK51" s="54"/>
    </row>
    <row r="52" spans="1:37" x14ac:dyDescent="0.25">
      <c r="A52" s="58" t="s">
        <v>59</v>
      </c>
      <c r="B52" s="49">
        <v>55.7</v>
      </c>
      <c r="C52" s="82">
        <v>55.4</v>
      </c>
      <c r="D52" s="82">
        <v>55.8</v>
      </c>
      <c r="E52" s="82">
        <v>54.7</v>
      </c>
      <c r="F52" s="82">
        <v>52.2</v>
      </c>
      <c r="G52" s="82">
        <v>50</v>
      </c>
      <c r="H52" s="82">
        <v>47.8</v>
      </c>
      <c r="I52" s="82">
        <v>46.1</v>
      </c>
      <c r="J52" s="82">
        <v>47.4</v>
      </c>
      <c r="K52" s="82">
        <v>46.4</v>
      </c>
      <c r="L52" s="49">
        <v>50.1</v>
      </c>
      <c r="M52" s="49">
        <v>54</v>
      </c>
      <c r="N52" s="49">
        <v>56.4</v>
      </c>
      <c r="O52" s="49">
        <v>61</v>
      </c>
      <c r="P52" s="49">
        <v>61</v>
      </c>
      <c r="Q52" s="49">
        <v>59.7</v>
      </c>
      <c r="R52" s="49">
        <v>58.8</v>
      </c>
      <c r="S52" s="49">
        <v>48.6</v>
      </c>
      <c r="T52" s="49">
        <v>54.5</v>
      </c>
      <c r="U52" s="49">
        <v>51.5</v>
      </c>
      <c r="V52" s="49">
        <v>50.4</v>
      </c>
      <c r="W52" s="49">
        <v>48.4</v>
      </c>
      <c r="X52" s="49">
        <v>50.2</v>
      </c>
      <c r="Y52" s="49">
        <v>51.1</v>
      </c>
      <c r="Z52" s="49">
        <v>51.2</v>
      </c>
      <c r="AA52" s="49">
        <v>52.7</v>
      </c>
      <c r="AB52" s="49">
        <v>55.1</v>
      </c>
      <c r="AC52" s="49">
        <v>59.5</v>
      </c>
      <c r="AD52" s="49">
        <v>58.7</v>
      </c>
      <c r="AE52" s="49">
        <v>57.7</v>
      </c>
      <c r="AF52" s="49">
        <v>59.2</v>
      </c>
      <c r="AG52" s="81"/>
      <c r="AH52" s="52">
        <f t="shared" si="2"/>
        <v>61</v>
      </c>
      <c r="AI52" s="53">
        <f t="shared" si="3"/>
        <v>46.1</v>
      </c>
      <c r="AK52" s="54"/>
    </row>
    <row r="53" spans="1:37" x14ac:dyDescent="0.25">
      <c r="A53" s="58" t="s">
        <v>60</v>
      </c>
      <c r="B53" s="83">
        <v>7</v>
      </c>
      <c r="C53" s="70">
        <v>7</v>
      </c>
      <c r="D53" s="70">
        <v>7</v>
      </c>
      <c r="E53" s="70">
        <v>7</v>
      </c>
      <c r="F53" s="70">
        <v>7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8</v>
      </c>
      <c r="AA53" s="83">
        <v>8</v>
      </c>
      <c r="AB53" s="83">
        <v>8</v>
      </c>
      <c r="AC53" s="83">
        <v>8</v>
      </c>
      <c r="AD53" s="83">
        <v>8</v>
      </c>
      <c r="AE53" s="83">
        <v>8</v>
      </c>
      <c r="AF53" s="83">
        <v>8</v>
      </c>
      <c r="AG53" s="81"/>
      <c r="AH53" s="52">
        <f t="shared" si="2"/>
        <v>8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70">
        <v>0</v>
      </c>
      <c r="AC54" s="70">
        <v>0</v>
      </c>
      <c r="AD54" s="70">
        <v>0</v>
      </c>
      <c r="AE54" s="70">
        <v>0</v>
      </c>
      <c r="AF54" s="70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5</v>
      </c>
      <c r="N55" s="70">
        <v>5</v>
      </c>
      <c r="O55" s="70">
        <v>5</v>
      </c>
      <c r="P55" s="70">
        <v>5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81"/>
      <c r="AH55" s="52">
        <f t="shared" si="2"/>
        <v>5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70">
        <v>0</v>
      </c>
      <c r="AD57" s="70">
        <v>0</v>
      </c>
      <c r="AE57" s="70">
        <v>0</v>
      </c>
      <c r="AF57" s="70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467.3</v>
      </c>
      <c r="C59" s="69">
        <f t="shared" ref="C59:AF59" si="8">SUM(C48:C58)</f>
        <v>491</v>
      </c>
      <c r="D59" s="69">
        <f t="shared" si="8"/>
        <v>508.61</v>
      </c>
      <c r="E59" s="69">
        <f t="shared" si="8"/>
        <v>497.57</v>
      </c>
      <c r="F59" s="69">
        <f t="shared" si="8"/>
        <v>506.09999999999997</v>
      </c>
      <c r="G59" s="69">
        <f t="shared" si="8"/>
        <v>484.9</v>
      </c>
      <c r="H59" s="69">
        <f t="shared" si="8"/>
        <v>490.1</v>
      </c>
      <c r="I59" s="69">
        <f t="shared" si="8"/>
        <v>517</v>
      </c>
      <c r="J59" s="69">
        <f t="shared" si="8"/>
        <v>554.6</v>
      </c>
      <c r="K59" s="69">
        <f t="shared" si="8"/>
        <v>556.70000000000005</v>
      </c>
      <c r="L59" s="69">
        <f t="shared" si="8"/>
        <v>548.61</v>
      </c>
      <c r="M59" s="69">
        <f t="shared" si="8"/>
        <v>577.79999999999995</v>
      </c>
      <c r="N59" s="69">
        <f t="shared" si="8"/>
        <v>572.9</v>
      </c>
      <c r="O59" s="69">
        <f t="shared" si="8"/>
        <v>555.81999999999994</v>
      </c>
      <c r="P59" s="69">
        <f t="shared" si="8"/>
        <v>561.69000000000005</v>
      </c>
      <c r="Q59" s="69">
        <f t="shared" si="8"/>
        <v>548.59</v>
      </c>
      <c r="R59" s="69">
        <f t="shared" si="8"/>
        <v>574.64</v>
      </c>
      <c r="S59" s="69">
        <f t="shared" si="8"/>
        <v>551.69000000000005</v>
      </c>
      <c r="T59" s="69">
        <f t="shared" si="8"/>
        <v>586.80000000000007</v>
      </c>
      <c r="U59" s="69">
        <f t="shared" si="8"/>
        <v>500.04</v>
      </c>
      <c r="V59" s="69">
        <f t="shared" si="8"/>
        <v>496.19</v>
      </c>
      <c r="W59" s="69">
        <f t="shared" si="8"/>
        <v>492.56100000000004</v>
      </c>
      <c r="X59" s="69">
        <f t="shared" si="8"/>
        <v>497.7</v>
      </c>
      <c r="Y59" s="69">
        <f t="shared" si="8"/>
        <v>606.34</v>
      </c>
      <c r="Z59" s="69">
        <f t="shared" si="8"/>
        <v>630.32000000000005</v>
      </c>
      <c r="AA59" s="69">
        <f t="shared" si="8"/>
        <v>615.16</v>
      </c>
      <c r="AB59" s="69">
        <f t="shared" si="8"/>
        <v>622.58000000000004</v>
      </c>
      <c r="AC59" s="69">
        <f t="shared" si="8"/>
        <v>634.34999999999991</v>
      </c>
      <c r="AD59" s="69">
        <f t="shared" si="8"/>
        <v>580</v>
      </c>
      <c r="AE59" s="69">
        <f t="shared" si="8"/>
        <v>538.4</v>
      </c>
      <c r="AF59" s="69">
        <f t="shared" si="8"/>
        <v>533.44000000000005</v>
      </c>
      <c r="AG59" s="74">
        <f>SUM(AG48:AG58)</f>
        <v>0</v>
      </c>
      <c r="AH59" s="52">
        <f t="shared" si="2"/>
        <v>634.34999999999991</v>
      </c>
      <c r="AI59" s="53">
        <f t="shared" si="3"/>
        <v>467.3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954.1400000000001</v>
      </c>
      <c r="C65" s="91">
        <f t="shared" ref="C65:AF65" si="10">C63+C59+C47+C43+C30+C64</f>
        <v>939.1400000000001</v>
      </c>
      <c r="D65" s="91">
        <f t="shared" si="10"/>
        <v>929.85</v>
      </c>
      <c r="E65" s="91">
        <f t="shared" si="10"/>
        <v>906.1099999999999</v>
      </c>
      <c r="F65" s="91">
        <f t="shared" si="10"/>
        <v>902.84</v>
      </c>
      <c r="G65" s="91">
        <f t="shared" si="10"/>
        <v>910.74</v>
      </c>
      <c r="H65" s="91">
        <f t="shared" si="10"/>
        <v>919.1400000000001</v>
      </c>
      <c r="I65" s="91">
        <f t="shared" si="10"/>
        <v>944.34</v>
      </c>
      <c r="J65" s="91">
        <f t="shared" si="10"/>
        <v>1009.74</v>
      </c>
      <c r="K65" s="91">
        <f t="shared" si="10"/>
        <v>1033.1400000000001</v>
      </c>
      <c r="L65" s="91">
        <f t="shared" si="10"/>
        <v>1029.8499999999999</v>
      </c>
      <c r="M65" s="91">
        <f t="shared" si="10"/>
        <v>1068.54</v>
      </c>
      <c r="N65" s="91">
        <f t="shared" si="10"/>
        <v>1083.94</v>
      </c>
      <c r="O65" s="91">
        <f t="shared" si="10"/>
        <v>1063.06</v>
      </c>
      <c r="P65" s="91">
        <f t="shared" si="10"/>
        <v>1079.1300000000001</v>
      </c>
      <c r="Q65" s="91">
        <f t="shared" si="10"/>
        <v>1070.73</v>
      </c>
      <c r="R65" s="91">
        <f t="shared" si="10"/>
        <v>1080.58</v>
      </c>
      <c r="S65" s="91">
        <f t="shared" si="10"/>
        <v>1042.1300000000001</v>
      </c>
      <c r="T65" s="91">
        <f t="shared" si="10"/>
        <v>1070.44</v>
      </c>
      <c r="U65" s="91">
        <f t="shared" si="10"/>
        <v>1000.6800000000001</v>
      </c>
      <c r="V65" s="91">
        <f t="shared" si="10"/>
        <v>1009.73</v>
      </c>
      <c r="W65" s="91">
        <f t="shared" si="10"/>
        <v>1007.9010000000001</v>
      </c>
      <c r="X65" s="91">
        <f t="shared" si="10"/>
        <v>1027.3399999999999</v>
      </c>
      <c r="Y65" s="91">
        <f t="shared" si="10"/>
        <v>1119.5800000000002</v>
      </c>
      <c r="Z65" s="91">
        <f t="shared" si="10"/>
        <v>1259.8600000000001</v>
      </c>
      <c r="AA65" s="91">
        <f t="shared" si="10"/>
        <v>1238.4000000000001</v>
      </c>
      <c r="AB65" s="91">
        <f t="shared" si="10"/>
        <v>1211.7200000000003</v>
      </c>
      <c r="AC65" s="91">
        <f t="shared" si="10"/>
        <v>1160.8899999999999</v>
      </c>
      <c r="AD65" s="91">
        <f t="shared" si="10"/>
        <v>1085.1399999999999</v>
      </c>
      <c r="AE65" s="91">
        <f t="shared" si="10"/>
        <v>1020.4399999999999</v>
      </c>
      <c r="AF65" s="91">
        <f t="shared" si="10"/>
        <v>995.08</v>
      </c>
      <c r="AG65" s="74">
        <f>AG63+AG59+AG47+AG43+AG30+AG64</f>
        <v>1355.5100000000002</v>
      </c>
      <c r="AH65" s="52">
        <f t="shared" si="2"/>
        <v>1259.8600000000001</v>
      </c>
      <c r="AI65" s="53">
        <f t="shared" si="3"/>
        <v>902.84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50.027000000000001</v>
      </c>
      <c r="C72" s="94">
        <v>50.012</v>
      </c>
      <c r="D72" s="94">
        <v>50.073</v>
      </c>
      <c r="E72" s="94">
        <v>50.08</v>
      </c>
      <c r="F72" s="94">
        <v>49.969000000000001</v>
      </c>
      <c r="G72" s="94">
        <v>49.991999999999997</v>
      </c>
      <c r="H72" s="94">
        <v>49.94</v>
      </c>
      <c r="I72" s="94">
        <v>49.917000000000002</v>
      </c>
      <c r="J72" s="94">
        <v>50.05</v>
      </c>
      <c r="K72" s="94">
        <v>50.057000000000002</v>
      </c>
      <c r="L72" s="94">
        <v>50.024000000000001</v>
      </c>
      <c r="M72" s="94">
        <v>50.093000000000004</v>
      </c>
      <c r="N72" s="94">
        <v>50.076999999999998</v>
      </c>
      <c r="O72" s="94">
        <v>50.055999999999997</v>
      </c>
      <c r="P72" s="94">
        <v>49.877000000000002</v>
      </c>
      <c r="Q72" s="95">
        <v>50.033999999999999</v>
      </c>
      <c r="R72" s="94">
        <v>49.966000000000001</v>
      </c>
      <c r="S72" s="94">
        <v>49.976999999999997</v>
      </c>
      <c r="T72" s="94">
        <v>50.072000000000003</v>
      </c>
      <c r="U72" s="94">
        <v>49.917000000000002</v>
      </c>
      <c r="V72" s="94">
        <v>49.942999999999998</v>
      </c>
      <c r="W72" s="94">
        <v>50.005000000000003</v>
      </c>
      <c r="X72" s="94">
        <v>50.005000000000003</v>
      </c>
      <c r="Y72" s="94">
        <v>49.988</v>
      </c>
      <c r="Z72" s="94">
        <v>50</v>
      </c>
      <c r="AA72" s="94">
        <v>49.99</v>
      </c>
      <c r="AB72" s="94">
        <v>49.89</v>
      </c>
      <c r="AC72" s="94">
        <v>49.96</v>
      </c>
      <c r="AD72" s="94">
        <v>50.02</v>
      </c>
      <c r="AE72" s="94">
        <v>49.95</v>
      </c>
      <c r="AF72" s="96">
        <v>49.99</v>
      </c>
      <c r="AG72" s="97"/>
      <c r="AH72" s="52">
        <f t="shared" si="2"/>
        <v>50.093000000000004</v>
      </c>
      <c r="AI72" s="53">
        <f t="shared" si="3"/>
        <v>49.877000000000002</v>
      </c>
    </row>
    <row r="73" spans="1:35" x14ac:dyDescent="0.25">
      <c r="A73" s="98" t="s">
        <v>80</v>
      </c>
      <c r="B73" s="70">
        <v>128.30000000000001</v>
      </c>
      <c r="C73" s="70">
        <v>127.9</v>
      </c>
      <c r="D73" s="70">
        <v>127</v>
      </c>
      <c r="E73" s="70">
        <v>127.9</v>
      </c>
      <c r="F73" s="70">
        <v>126.8</v>
      </c>
      <c r="G73" s="70">
        <v>127.1</v>
      </c>
      <c r="H73" s="70">
        <v>127.7</v>
      </c>
      <c r="I73" s="70">
        <v>126.6</v>
      </c>
      <c r="J73" s="70">
        <v>125.9</v>
      </c>
      <c r="K73" s="70">
        <v>125.4</v>
      </c>
      <c r="L73" s="70">
        <v>122.4</v>
      </c>
      <c r="M73" s="70">
        <v>123.4</v>
      </c>
      <c r="N73" s="70">
        <v>125.4</v>
      </c>
      <c r="O73" s="70">
        <v>124.6</v>
      </c>
      <c r="P73" s="70">
        <v>124.7</v>
      </c>
      <c r="Q73" s="99">
        <v>124</v>
      </c>
      <c r="R73" s="99">
        <v>124</v>
      </c>
      <c r="S73" s="99">
        <v>126.5</v>
      </c>
      <c r="T73" s="99">
        <v>127</v>
      </c>
      <c r="U73" s="99">
        <v>127.7</v>
      </c>
      <c r="V73" s="99">
        <v>128.69999999999999</v>
      </c>
      <c r="W73" s="99">
        <v>129.19999999999999</v>
      </c>
      <c r="X73" s="99">
        <v>128.6</v>
      </c>
      <c r="Y73" s="99">
        <v>126</v>
      </c>
      <c r="Z73" s="99">
        <v>127.2</v>
      </c>
      <c r="AA73" s="70">
        <v>127.5</v>
      </c>
      <c r="AB73" s="70">
        <v>127</v>
      </c>
      <c r="AC73" s="70">
        <v>126.2</v>
      </c>
      <c r="AD73" s="70">
        <v>127.1</v>
      </c>
      <c r="AE73" s="70">
        <v>126.9</v>
      </c>
      <c r="AF73" s="100">
        <v>127.4</v>
      </c>
      <c r="AG73" s="101"/>
      <c r="AH73" s="52">
        <f t="shared" si="2"/>
        <v>129.19999999999999</v>
      </c>
      <c r="AI73" s="53">
        <f t="shared" si="3"/>
        <v>122.4</v>
      </c>
    </row>
    <row r="74" spans="1:35" x14ac:dyDescent="0.25">
      <c r="A74" s="98" t="s">
        <v>81</v>
      </c>
      <c r="B74" s="70">
        <v>131.6</v>
      </c>
      <c r="C74" s="70">
        <v>130.9</v>
      </c>
      <c r="D74" s="70">
        <v>130.5</v>
      </c>
      <c r="E74" s="70">
        <v>131.19999999999999</v>
      </c>
      <c r="F74" s="70">
        <v>130.19999999999999</v>
      </c>
      <c r="G74" s="70">
        <v>129.80000000000001</v>
      </c>
      <c r="H74" s="70">
        <v>130.6</v>
      </c>
      <c r="I74" s="70">
        <v>129.4</v>
      </c>
      <c r="J74" s="70">
        <v>128.6</v>
      </c>
      <c r="K74" s="70">
        <v>128</v>
      </c>
      <c r="L74" s="70">
        <v>125.3</v>
      </c>
      <c r="M74" s="70">
        <v>127</v>
      </c>
      <c r="N74" s="70">
        <v>128.69999999999999</v>
      </c>
      <c r="O74" s="70">
        <v>128</v>
      </c>
      <c r="P74" s="70">
        <v>128.1</v>
      </c>
      <c r="Q74" s="99">
        <v>127.5</v>
      </c>
      <c r="R74" s="99">
        <v>127.3</v>
      </c>
      <c r="S74" s="99">
        <v>129.9</v>
      </c>
      <c r="T74" s="99">
        <v>130.30000000000001</v>
      </c>
      <c r="U74" s="99">
        <v>130.4</v>
      </c>
      <c r="V74" s="99">
        <v>131.4</v>
      </c>
      <c r="W74" s="99">
        <v>131.9</v>
      </c>
      <c r="X74" s="99">
        <v>130.9</v>
      </c>
      <c r="Y74" s="99">
        <v>128.9</v>
      </c>
      <c r="Z74" s="99">
        <v>130</v>
      </c>
      <c r="AA74" s="70">
        <v>130.6</v>
      </c>
      <c r="AB74" s="70">
        <v>130.19999999999999</v>
      </c>
      <c r="AC74" s="70">
        <v>129.69999999999999</v>
      </c>
      <c r="AD74" s="70">
        <v>130.9</v>
      </c>
      <c r="AE74" s="70">
        <v>130.4</v>
      </c>
      <c r="AF74" s="100">
        <v>130.69999999999999</v>
      </c>
      <c r="AG74" s="101"/>
      <c r="AH74" s="52">
        <f t="shared" si="2"/>
        <v>131.9</v>
      </c>
      <c r="AI74" s="53">
        <f t="shared" si="3"/>
        <v>125.3</v>
      </c>
    </row>
    <row r="75" spans="1:35" x14ac:dyDescent="0.25">
      <c r="A75" s="98" t="s">
        <v>82</v>
      </c>
      <c r="B75" s="70">
        <v>130.30000000000001</v>
      </c>
      <c r="C75" s="70">
        <v>125.9</v>
      </c>
      <c r="D75" s="70">
        <v>126.8</v>
      </c>
      <c r="E75" s="70">
        <v>128.19999999999999</v>
      </c>
      <c r="F75" s="70">
        <v>131.4</v>
      </c>
      <c r="G75" s="70">
        <v>132.30000000000001</v>
      </c>
      <c r="H75" s="70">
        <v>132.6</v>
      </c>
      <c r="I75" s="70">
        <v>129.4</v>
      </c>
      <c r="J75" s="70">
        <v>129.30000000000001</v>
      </c>
      <c r="K75" s="70">
        <v>130.6</v>
      </c>
      <c r="L75" s="70">
        <v>128.80000000000001</v>
      </c>
      <c r="M75" s="70">
        <v>130.30000000000001</v>
      </c>
      <c r="N75" s="70">
        <v>127.7</v>
      </c>
      <c r="O75" s="70">
        <v>128.5</v>
      </c>
      <c r="P75" s="70">
        <v>128.5</v>
      </c>
      <c r="Q75" s="70">
        <v>128.30000000000001</v>
      </c>
      <c r="R75" s="70">
        <v>127.8</v>
      </c>
      <c r="S75" s="70">
        <v>128.9</v>
      </c>
      <c r="T75" s="99">
        <v>129.4</v>
      </c>
      <c r="U75" s="99">
        <v>128.6</v>
      </c>
      <c r="V75" s="99">
        <v>128.4</v>
      </c>
      <c r="W75" s="99">
        <v>130.30000000000001</v>
      </c>
      <c r="X75" s="99">
        <v>131.30000000000001</v>
      </c>
      <c r="Y75" s="99">
        <v>127.5</v>
      </c>
      <c r="Z75" s="99">
        <v>126.5</v>
      </c>
      <c r="AA75" s="70">
        <v>127.1</v>
      </c>
      <c r="AB75" s="70">
        <v>126.8</v>
      </c>
      <c r="AC75" s="70">
        <v>127.5</v>
      </c>
      <c r="AD75" s="70">
        <v>129.19999999999999</v>
      </c>
      <c r="AE75" s="70">
        <v>128.5</v>
      </c>
      <c r="AF75" s="100">
        <v>130.4</v>
      </c>
      <c r="AG75" s="101"/>
      <c r="AH75" s="52">
        <f t="shared" si="2"/>
        <v>132.6</v>
      </c>
      <c r="AI75" s="53">
        <f t="shared" si="3"/>
        <v>125.9</v>
      </c>
    </row>
    <row r="76" spans="1:35" x14ac:dyDescent="0.25">
      <c r="A76" s="102" t="s">
        <v>83</v>
      </c>
      <c r="B76" s="70">
        <v>132.6</v>
      </c>
      <c r="C76" s="70">
        <v>128.80000000000001</v>
      </c>
      <c r="D76" s="70">
        <v>129.80000000000001</v>
      </c>
      <c r="E76" s="70">
        <v>131.1</v>
      </c>
      <c r="F76" s="70">
        <v>133.1</v>
      </c>
      <c r="G76" s="70">
        <v>133.69999999999999</v>
      </c>
      <c r="H76" s="70">
        <v>133.6</v>
      </c>
      <c r="I76" s="70">
        <v>130.69999999999999</v>
      </c>
      <c r="J76" s="70">
        <v>132.80000000000001</v>
      </c>
      <c r="K76" s="70">
        <v>133.1</v>
      </c>
      <c r="L76" s="70">
        <v>131.69999999999999</v>
      </c>
      <c r="M76" s="70">
        <v>132.6</v>
      </c>
      <c r="N76" s="70">
        <v>130.6</v>
      </c>
      <c r="O76" s="70">
        <v>131.4</v>
      </c>
      <c r="P76" s="70">
        <v>131.69999999999999</v>
      </c>
      <c r="Q76" s="70">
        <v>132</v>
      </c>
      <c r="R76" s="70">
        <v>131.1</v>
      </c>
      <c r="S76" s="70">
        <v>129.9</v>
      </c>
      <c r="T76" s="99">
        <v>130.30000000000001</v>
      </c>
      <c r="U76" s="99">
        <v>130.1</v>
      </c>
      <c r="V76" s="99">
        <v>129.69999999999999</v>
      </c>
      <c r="W76" s="99">
        <v>131.4</v>
      </c>
      <c r="X76" s="99">
        <v>132.6</v>
      </c>
      <c r="Y76" s="99">
        <v>128.6</v>
      </c>
      <c r="Z76" s="99">
        <v>129.69999999999999</v>
      </c>
      <c r="AA76" s="70">
        <v>129.6</v>
      </c>
      <c r="AB76" s="70">
        <v>129.30000000000001</v>
      </c>
      <c r="AC76" s="70">
        <v>130.30000000000001</v>
      </c>
      <c r="AD76" s="70">
        <v>132.5</v>
      </c>
      <c r="AE76" s="70">
        <v>130.6</v>
      </c>
      <c r="AF76" s="100">
        <v>132.6</v>
      </c>
      <c r="AG76" s="101"/>
      <c r="AH76" s="52">
        <f t="shared" si="2"/>
        <v>133.69999999999999</v>
      </c>
      <c r="AI76" s="53">
        <f t="shared" si="3"/>
        <v>128.6</v>
      </c>
    </row>
    <row r="77" spans="1:35" x14ac:dyDescent="0.25">
      <c r="A77" s="102" t="s">
        <v>84</v>
      </c>
      <c r="B77" s="103">
        <v>131.6</v>
      </c>
      <c r="C77" s="103">
        <v>131</v>
      </c>
      <c r="D77" s="103">
        <v>130.19999999999999</v>
      </c>
      <c r="E77" s="103">
        <v>131.1</v>
      </c>
      <c r="F77" s="103">
        <v>131.4</v>
      </c>
      <c r="G77" s="103">
        <v>132</v>
      </c>
      <c r="H77" s="103">
        <v>131.5</v>
      </c>
      <c r="I77" s="103">
        <v>132.6</v>
      </c>
      <c r="J77" s="103">
        <v>134.6</v>
      </c>
      <c r="K77" s="103">
        <v>130.5</v>
      </c>
      <c r="L77" s="103">
        <v>130.4</v>
      </c>
      <c r="M77" s="103">
        <v>127.8</v>
      </c>
      <c r="N77" s="103">
        <v>132.6</v>
      </c>
      <c r="O77" s="103">
        <v>132.69999999999999</v>
      </c>
      <c r="P77" s="103">
        <v>130.4</v>
      </c>
      <c r="Q77" s="103">
        <v>128.19999999999999</v>
      </c>
      <c r="R77" s="103">
        <v>129.5</v>
      </c>
      <c r="S77" s="103">
        <v>132.5</v>
      </c>
      <c r="T77" s="99">
        <v>131.1</v>
      </c>
      <c r="U77" s="99">
        <v>133.1</v>
      </c>
      <c r="V77" s="99">
        <v>134.4</v>
      </c>
      <c r="W77" s="99">
        <v>134.6</v>
      </c>
      <c r="X77" s="99">
        <v>135.30000000000001</v>
      </c>
      <c r="Y77" s="99">
        <v>132.4</v>
      </c>
      <c r="Z77" s="99">
        <v>134.1</v>
      </c>
      <c r="AA77" s="103">
        <v>97.1</v>
      </c>
      <c r="AB77" s="103">
        <v>127.9</v>
      </c>
      <c r="AC77" s="103">
        <v>97</v>
      </c>
      <c r="AD77" s="103">
        <v>97</v>
      </c>
      <c r="AE77" s="103">
        <v>81.099999999999994</v>
      </c>
      <c r="AF77" s="104">
        <v>61.3</v>
      </c>
      <c r="AG77" s="105"/>
      <c r="AH77" s="52">
        <f t="shared" si="2"/>
        <v>135.30000000000001</v>
      </c>
      <c r="AI77" s="53">
        <f t="shared" si="3"/>
        <v>61.3</v>
      </c>
    </row>
    <row r="78" spans="1:35" x14ac:dyDescent="0.25">
      <c r="A78" s="98" t="s">
        <v>85</v>
      </c>
      <c r="B78" s="70">
        <v>131</v>
      </c>
      <c r="C78" s="70">
        <v>132.80000000000001</v>
      </c>
      <c r="D78" s="70">
        <v>134.6</v>
      </c>
      <c r="E78" s="70">
        <v>133.1</v>
      </c>
      <c r="F78" s="70">
        <v>133.30000000000001</v>
      </c>
      <c r="G78" s="70">
        <v>131.69999999999999</v>
      </c>
      <c r="H78" s="70">
        <v>133.19999999999999</v>
      </c>
      <c r="I78" s="70">
        <v>135.5</v>
      </c>
      <c r="J78" s="70">
        <v>135</v>
      </c>
      <c r="K78" s="70">
        <v>133.6</v>
      </c>
      <c r="L78" s="70">
        <v>128.4</v>
      </c>
      <c r="M78" s="70">
        <v>121.3</v>
      </c>
      <c r="N78" s="70">
        <v>127</v>
      </c>
      <c r="O78" s="70">
        <v>126.9</v>
      </c>
      <c r="P78" s="70">
        <v>127.9</v>
      </c>
      <c r="Q78" s="70">
        <v>132.6</v>
      </c>
      <c r="R78" s="70">
        <v>135.19999999999999</v>
      </c>
      <c r="S78" s="70">
        <v>130.9</v>
      </c>
      <c r="T78" s="99">
        <v>131.80000000000001</v>
      </c>
      <c r="U78" s="99">
        <v>135</v>
      </c>
      <c r="V78" s="99">
        <v>133.6</v>
      </c>
      <c r="W78" s="99">
        <v>136.4</v>
      </c>
      <c r="X78" s="99">
        <v>136.30000000000001</v>
      </c>
      <c r="Y78" s="99">
        <v>137.19999999999999</v>
      </c>
      <c r="Z78" s="99">
        <v>129.4</v>
      </c>
      <c r="AA78" s="70">
        <v>129.9</v>
      </c>
      <c r="AB78" s="70">
        <v>127.9</v>
      </c>
      <c r="AC78" s="70">
        <v>127.5</v>
      </c>
      <c r="AD78" s="70">
        <v>130.4</v>
      </c>
      <c r="AE78" s="70">
        <v>131.9</v>
      </c>
      <c r="AF78" s="100">
        <v>23.7</v>
      </c>
      <c r="AG78" s="101"/>
      <c r="AH78" s="52">
        <f>MAX(B78:AF78)</f>
        <v>137.19999999999999</v>
      </c>
      <c r="AI78" s="53">
        <f>MIN(B78:AF78)</f>
        <v>23.7</v>
      </c>
    </row>
    <row r="79" spans="1:35" ht="15.75" thickBot="1" x14ac:dyDescent="0.3">
      <c r="A79" s="98" t="s">
        <v>86</v>
      </c>
      <c r="B79" s="106">
        <v>67.3</v>
      </c>
      <c r="C79" s="106">
        <v>67</v>
      </c>
      <c r="D79" s="106">
        <v>66.7</v>
      </c>
      <c r="E79" s="106">
        <v>67.099999999999994</v>
      </c>
      <c r="F79" s="106">
        <v>66.5</v>
      </c>
      <c r="G79" s="106">
        <v>66.3</v>
      </c>
      <c r="H79" s="106">
        <v>66.900000000000006</v>
      </c>
      <c r="I79" s="106">
        <v>66.2</v>
      </c>
      <c r="J79" s="106">
        <v>65.7</v>
      </c>
      <c r="K79" s="106">
        <v>65.2</v>
      </c>
      <c r="L79" s="106">
        <v>63.9</v>
      </c>
      <c r="M79" s="106">
        <v>65.099999999999994</v>
      </c>
      <c r="N79" s="106">
        <v>66</v>
      </c>
      <c r="O79" s="106">
        <v>65.400000000000006</v>
      </c>
      <c r="P79" s="106">
        <v>65.5</v>
      </c>
      <c r="Q79" s="106">
        <v>65.400000000000006</v>
      </c>
      <c r="R79" s="106">
        <v>65.400000000000006</v>
      </c>
      <c r="S79" s="106">
        <v>66.599999999999994</v>
      </c>
      <c r="T79" s="106">
        <v>66.8</v>
      </c>
      <c r="U79" s="106">
        <v>66.599999999999994</v>
      </c>
      <c r="V79" s="106">
        <v>67.099999999999994</v>
      </c>
      <c r="W79" s="106">
        <v>67.599999999999994</v>
      </c>
      <c r="X79" s="106">
        <v>66.599999999999994</v>
      </c>
      <c r="Y79" s="106">
        <v>65.900000000000006</v>
      </c>
      <c r="Z79" s="106">
        <v>66.400000000000006</v>
      </c>
      <c r="AA79" s="106">
        <v>66.599999999999994</v>
      </c>
      <c r="AB79" s="106">
        <v>66.599999999999994</v>
      </c>
      <c r="AC79" s="106">
        <v>66.599999999999994</v>
      </c>
      <c r="AD79" s="106">
        <v>67.099999999999994</v>
      </c>
      <c r="AE79" s="106">
        <v>66.599999999999994</v>
      </c>
      <c r="AF79" s="107">
        <v>66.8</v>
      </c>
      <c r="AG79" s="108"/>
      <c r="AH79" s="52">
        <f>MAX(B79:AF79)</f>
        <v>67.599999999999994</v>
      </c>
      <c r="AI79" s="53">
        <f>MIN(B79:AF79)</f>
        <v>63.9</v>
      </c>
    </row>
    <row r="80" spans="1:35" x14ac:dyDescent="0.25">
      <c r="A80" s="109" t="s">
        <v>87</v>
      </c>
      <c r="B80" s="110">
        <f>SUMIF(B48:B57,"&gt;0")</f>
        <v>467.3</v>
      </c>
      <c r="C80" s="110">
        <f t="shared" ref="C80:AF80" si="19">SUMIF(C48:C57,"&gt;0")</f>
        <v>491</v>
      </c>
      <c r="D80" s="110">
        <f t="shared" si="19"/>
        <v>508.61</v>
      </c>
      <c r="E80" s="110">
        <f t="shared" si="19"/>
        <v>497.57</v>
      </c>
      <c r="F80" s="110">
        <f t="shared" si="19"/>
        <v>506.09999999999997</v>
      </c>
      <c r="G80" s="110">
        <f t="shared" si="19"/>
        <v>484.9</v>
      </c>
      <c r="H80" s="110">
        <f t="shared" si="19"/>
        <v>490.1</v>
      </c>
      <c r="I80" s="110">
        <f t="shared" si="19"/>
        <v>517</v>
      </c>
      <c r="J80" s="110">
        <f t="shared" si="19"/>
        <v>554.6</v>
      </c>
      <c r="K80" s="110">
        <f t="shared" si="19"/>
        <v>556.70000000000005</v>
      </c>
      <c r="L80" s="110">
        <f t="shared" si="19"/>
        <v>548.61</v>
      </c>
      <c r="M80" s="110">
        <f t="shared" si="19"/>
        <v>577.79999999999995</v>
      </c>
      <c r="N80" s="110">
        <f t="shared" si="19"/>
        <v>572.9</v>
      </c>
      <c r="O80" s="110">
        <f t="shared" si="19"/>
        <v>555.81999999999994</v>
      </c>
      <c r="P80" s="110">
        <f t="shared" si="19"/>
        <v>561.69000000000005</v>
      </c>
      <c r="Q80" s="110">
        <f t="shared" si="19"/>
        <v>548.59</v>
      </c>
      <c r="R80" s="110">
        <f t="shared" si="19"/>
        <v>574.64</v>
      </c>
      <c r="S80" s="110">
        <f t="shared" si="19"/>
        <v>551.69000000000005</v>
      </c>
      <c r="T80" s="110">
        <f t="shared" si="19"/>
        <v>586.80000000000007</v>
      </c>
      <c r="U80" s="110">
        <f t="shared" si="19"/>
        <v>500.04</v>
      </c>
      <c r="V80" s="110">
        <f t="shared" si="19"/>
        <v>496.19</v>
      </c>
      <c r="W80" s="110">
        <f t="shared" si="19"/>
        <v>492.56100000000004</v>
      </c>
      <c r="X80" s="110">
        <f t="shared" si="19"/>
        <v>497.7</v>
      </c>
      <c r="Y80" s="110">
        <f t="shared" si="19"/>
        <v>606.34</v>
      </c>
      <c r="Z80" s="110">
        <f t="shared" si="19"/>
        <v>630.32000000000005</v>
      </c>
      <c r="AA80" s="110">
        <f t="shared" si="19"/>
        <v>615.16</v>
      </c>
      <c r="AB80" s="110">
        <f t="shared" si="19"/>
        <v>622.58000000000004</v>
      </c>
      <c r="AC80" s="110">
        <f t="shared" si="19"/>
        <v>634.34999999999991</v>
      </c>
      <c r="AD80" s="110">
        <f t="shared" si="19"/>
        <v>580</v>
      </c>
      <c r="AE80" s="110">
        <f t="shared" si="19"/>
        <v>538.4</v>
      </c>
      <c r="AF80" s="110">
        <f t="shared" si="19"/>
        <v>533.44000000000005</v>
      </c>
      <c r="AG80" s="111"/>
      <c r="AH80" s="52">
        <f>MAX(B80:AF80)</f>
        <v>634.34999999999991</v>
      </c>
      <c r="AI80" s="53">
        <f>MIN(B80:AF80)</f>
        <v>467.3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140.72</v>
      </c>
      <c r="C82" s="115">
        <f t="shared" ref="C82:AF82" si="20">C11+C13+C17+C34+C36+C38+C40+C94+C108+C110+C121+C127+C130+C139+C143+C144+C147+C154+C159+C162+C163+C164+C172+C177+C83+C84+C85+C86+C99</f>
        <v>134.82</v>
      </c>
      <c r="D82" s="115">
        <f t="shared" si="20"/>
        <v>132.91999999999999</v>
      </c>
      <c r="E82" s="115">
        <f t="shared" si="20"/>
        <v>136.71999999999997</v>
      </c>
      <c r="F82" s="115">
        <f t="shared" si="20"/>
        <v>150.62</v>
      </c>
      <c r="G82" s="115">
        <f t="shared" si="20"/>
        <v>174.92</v>
      </c>
      <c r="H82" s="115">
        <f t="shared" si="20"/>
        <v>191.62</v>
      </c>
      <c r="I82" s="115">
        <f t="shared" si="20"/>
        <v>209.51999999999995</v>
      </c>
      <c r="J82" s="115">
        <f t="shared" si="20"/>
        <v>228.02</v>
      </c>
      <c r="K82" s="115">
        <f t="shared" si="20"/>
        <v>245.01999999999998</v>
      </c>
      <c r="L82" s="115">
        <f t="shared" si="20"/>
        <v>251.32000000000002</v>
      </c>
      <c r="M82" s="115">
        <f t="shared" si="20"/>
        <v>253.22</v>
      </c>
      <c r="N82" s="115">
        <f t="shared" si="20"/>
        <v>238.01999999999995</v>
      </c>
      <c r="O82" s="115">
        <f t="shared" si="20"/>
        <v>219.61999999999998</v>
      </c>
      <c r="P82" s="115">
        <f t="shared" si="20"/>
        <v>211.32</v>
      </c>
      <c r="Q82" s="115">
        <f t="shared" si="20"/>
        <v>211.01999999999995</v>
      </c>
      <c r="R82" s="115">
        <f t="shared" si="20"/>
        <v>214.82000000000002</v>
      </c>
      <c r="S82" s="115">
        <f t="shared" si="20"/>
        <v>220.82</v>
      </c>
      <c r="T82" s="115">
        <f t="shared" si="20"/>
        <v>217.61999999999998</v>
      </c>
      <c r="U82" s="115">
        <f t="shared" si="20"/>
        <v>224.32000000000002</v>
      </c>
      <c r="V82" s="115">
        <f t="shared" si="20"/>
        <v>229.51999999999998</v>
      </c>
      <c r="W82" s="115">
        <f t="shared" si="20"/>
        <v>232.01999999999995</v>
      </c>
      <c r="X82" s="115">
        <f t="shared" si="20"/>
        <v>241.92000000000002</v>
      </c>
      <c r="Y82" s="115">
        <f t="shared" si="20"/>
        <v>280.81999999999994</v>
      </c>
      <c r="Z82" s="115">
        <f t="shared" si="20"/>
        <v>309.81999999999994</v>
      </c>
      <c r="AA82" s="115">
        <f t="shared" si="20"/>
        <v>284.62</v>
      </c>
      <c r="AB82" s="115">
        <f t="shared" si="20"/>
        <v>234.72</v>
      </c>
      <c r="AC82" s="115">
        <f t="shared" si="20"/>
        <v>210.01999999999995</v>
      </c>
      <c r="AD82" s="115">
        <f t="shared" si="20"/>
        <v>185.01999999999995</v>
      </c>
      <c r="AE82" s="115">
        <f t="shared" si="20"/>
        <v>192.42</v>
      </c>
      <c r="AF82" s="115">
        <f t="shared" si="20"/>
        <v>145.11999999999998</v>
      </c>
      <c r="AG82" s="116"/>
      <c r="AH82" s="52">
        <f>MAX(B82:AF82)</f>
        <v>309.81999999999994</v>
      </c>
      <c r="AI82" s="53">
        <f>MIN(B82:AF82)</f>
        <v>132.91999999999999</v>
      </c>
    </row>
    <row r="83" spans="1:37" x14ac:dyDescent="0.25">
      <c r="A83" s="117" t="s">
        <v>89</v>
      </c>
      <c r="B83" s="119">
        <v>5.4</v>
      </c>
      <c r="C83" s="118">
        <v>-9.8000000000000007</v>
      </c>
      <c r="D83" s="118">
        <v>-19.100000000000001</v>
      </c>
      <c r="E83" s="118">
        <v>-16.5</v>
      </c>
      <c r="F83" s="118">
        <v>-21.2</v>
      </c>
      <c r="G83" s="118">
        <v>-12.8</v>
      </c>
      <c r="H83" s="118">
        <v>-11.7</v>
      </c>
      <c r="I83" s="118">
        <v>-11.9</v>
      </c>
      <c r="J83" s="118">
        <v>-3.6</v>
      </c>
      <c r="K83" s="118">
        <v>9</v>
      </c>
      <c r="L83" s="118">
        <v>9.8000000000000007</v>
      </c>
      <c r="M83" s="118">
        <v>8.5</v>
      </c>
      <c r="N83" s="118">
        <v>13.1</v>
      </c>
      <c r="O83" s="118">
        <v>11.6</v>
      </c>
      <c r="P83" s="118">
        <v>17.8</v>
      </c>
      <c r="Q83" s="118">
        <v>14.4</v>
      </c>
      <c r="R83" s="118">
        <v>8.8000000000000007</v>
      </c>
      <c r="S83" s="118">
        <v>-3.4</v>
      </c>
      <c r="T83" s="118">
        <v>-1</v>
      </c>
      <c r="U83" s="118">
        <v>17.8</v>
      </c>
      <c r="V83" s="118">
        <v>20.2</v>
      </c>
      <c r="W83" s="118">
        <v>20.7</v>
      </c>
      <c r="X83" s="118">
        <v>22.3</v>
      </c>
      <c r="Y83" s="118">
        <v>14.3</v>
      </c>
      <c r="Z83" s="118">
        <v>17.7</v>
      </c>
      <c r="AA83" s="50">
        <v>14.9</v>
      </c>
      <c r="AB83" s="50">
        <v>4</v>
      </c>
      <c r="AC83" s="50">
        <v>0</v>
      </c>
      <c r="AD83" s="50">
        <v>1</v>
      </c>
      <c r="AE83" s="50">
        <v>-2.9</v>
      </c>
      <c r="AF83" s="119">
        <v>-7.9</v>
      </c>
      <c r="AG83" s="120">
        <v>75</v>
      </c>
      <c r="AH83" s="52">
        <f>IF(ABS(MAX(B83:AF83))&gt;ABS(MIN(B83:AF83)),MAX(B83:AF83),MIN(B83:AF83))</f>
        <v>22.3</v>
      </c>
      <c r="AI83" s="121">
        <f>INDEX($B$9:$AF$9,1,MATCH(AH83,B83:AF83,0))</f>
        <v>0.77083333333333337</v>
      </c>
    </row>
    <row r="84" spans="1:37" x14ac:dyDescent="0.25">
      <c r="A84" s="122" t="s">
        <v>90</v>
      </c>
      <c r="B84" s="123">
        <v>-8.6</v>
      </c>
      <c r="C84" s="83">
        <v>2.4</v>
      </c>
      <c r="D84" s="83">
        <v>9.1</v>
      </c>
      <c r="E84" s="83">
        <v>8.1999999999999993</v>
      </c>
      <c r="F84" s="83">
        <v>16.8</v>
      </c>
      <c r="G84" s="83">
        <v>17.2</v>
      </c>
      <c r="H84" s="83">
        <v>21.5</v>
      </c>
      <c r="I84" s="83">
        <v>30</v>
      </c>
      <c r="J84" s="83">
        <v>30</v>
      </c>
      <c r="K84" s="83">
        <v>23.1</v>
      </c>
      <c r="L84" s="83">
        <v>28</v>
      </c>
      <c r="M84" s="83">
        <v>28.7</v>
      </c>
      <c r="N84" s="83">
        <v>20.100000000000001</v>
      </c>
      <c r="O84" s="83">
        <v>15</v>
      </c>
      <c r="P84" s="83">
        <v>11.3</v>
      </c>
      <c r="Q84" s="83">
        <f>6.5+5.7</f>
        <v>12.2</v>
      </c>
      <c r="R84" s="83">
        <f>7.9+8.8</f>
        <v>16.700000000000003</v>
      </c>
      <c r="S84" s="83">
        <v>24</v>
      </c>
      <c r="T84" s="83">
        <v>22.5</v>
      </c>
      <c r="U84" s="83">
        <v>12</v>
      </c>
      <c r="V84" s="83">
        <v>9</v>
      </c>
      <c r="W84" s="83">
        <v>7.7</v>
      </c>
      <c r="X84" s="83">
        <v>13.3</v>
      </c>
      <c r="Y84" s="83">
        <v>41</v>
      </c>
      <c r="Z84" s="83">
        <v>37</v>
      </c>
      <c r="AA84" s="70">
        <v>34</v>
      </c>
      <c r="AB84" s="70">
        <v>31.8</v>
      </c>
      <c r="AC84" s="70">
        <f>16.9-6.8</f>
        <v>10.099999999999998</v>
      </c>
      <c r="AD84" s="70">
        <v>12.2</v>
      </c>
      <c r="AE84" s="70">
        <v>17.5</v>
      </c>
      <c r="AF84" s="123">
        <v>-22.3</v>
      </c>
      <c r="AG84" s="120">
        <v>240</v>
      </c>
      <c r="AH84" s="52">
        <f>IF(ABS(MAX(B84:AF84))&gt;ABS(MIN(B84:AF84)),MAX(B84:AF84),MIN(B84:AF84))</f>
        <v>41</v>
      </c>
      <c r="AI84" s="121">
        <f>INDEX($B$9:$AF$9,1,MATCH(AH84,B84:AF84,0))</f>
        <v>0.79166666666666663</v>
      </c>
    </row>
    <row r="85" spans="1:37" x14ac:dyDescent="0.25">
      <c r="A85" s="122" t="s">
        <v>91</v>
      </c>
      <c r="B85" s="123">
        <v>5.5</v>
      </c>
      <c r="C85" s="83">
        <v>7</v>
      </c>
      <c r="D85" s="83">
        <v>7.5</v>
      </c>
      <c r="E85" s="83">
        <v>8.5</v>
      </c>
      <c r="F85" s="83">
        <v>9.6</v>
      </c>
      <c r="G85" s="83">
        <v>11</v>
      </c>
      <c r="H85" s="83">
        <v>12.5</v>
      </c>
      <c r="I85" s="83">
        <v>13.6</v>
      </c>
      <c r="J85" s="83">
        <v>15.1</v>
      </c>
      <c r="K85" s="83">
        <v>14.6</v>
      </c>
      <c r="L85" s="83">
        <v>15</v>
      </c>
      <c r="M85" s="83">
        <v>15.1</v>
      </c>
      <c r="N85" s="83">
        <v>12.2</v>
      </c>
      <c r="O85" s="83">
        <v>10.9</v>
      </c>
      <c r="P85" s="83">
        <v>10.1</v>
      </c>
      <c r="Q85" s="83">
        <v>8.6999999999999993</v>
      </c>
      <c r="R85" s="83">
        <v>10.3</v>
      </c>
      <c r="S85" s="83">
        <v>19.100000000000001</v>
      </c>
      <c r="T85" s="83">
        <v>16.100000000000001</v>
      </c>
      <c r="U85" s="83">
        <v>10.9</v>
      </c>
      <c r="V85" s="83">
        <v>10.199999999999999</v>
      </c>
      <c r="W85" s="83">
        <v>12.2</v>
      </c>
      <c r="X85" s="83">
        <v>20.7</v>
      </c>
      <c r="Y85" s="83">
        <v>24</v>
      </c>
      <c r="Z85" s="83">
        <v>37.9</v>
      </c>
      <c r="AA85" s="70">
        <v>31.3</v>
      </c>
      <c r="AB85" s="70">
        <v>7.3</v>
      </c>
      <c r="AC85" s="70">
        <v>21.6</v>
      </c>
      <c r="AD85" s="70">
        <v>9.5</v>
      </c>
      <c r="AE85" s="70">
        <v>3.5</v>
      </c>
      <c r="AF85" s="123">
        <v>2.7</v>
      </c>
      <c r="AG85" s="120">
        <v>60</v>
      </c>
      <c r="AH85" s="52">
        <f>IF(ABS(MAX(B85:AF85))&gt;ABS(MIN(B85:AF85)),MAX(B85:AF85),MIN(B85:AF85))</f>
        <v>37.9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>
        <v>-7</v>
      </c>
      <c r="C86" s="85">
        <v>-10.3</v>
      </c>
      <c r="D86" s="85">
        <v>-11</v>
      </c>
      <c r="E86" s="85">
        <v>-8.9</v>
      </c>
      <c r="F86" s="85">
        <v>0</v>
      </c>
      <c r="G86" s="85">
        <v>14.6</v>
      </c>
      <c r="H86" s="85">
        <v>21.2</v>
      </c>
      <c r="I86" s="85">
        <v>33.200000000000003</v>
      </c>
      <c r="J86" s="85">
        <v>40.799999999999997</v>
      </c>
      <c r="K86" s="85">
        <v>52.6</v>
      </c>
      <c r="L86" s="85">
        <v>53.5</v>
      </c>
      <c r="M86" s="85">
        <v>54.7</v>
      </c>
      <c r="N86" s="85">
        <v>45.8</v>
      </c>
      <c r="O86" s="85">
        <v>37.1</v>
      </c>
      <c r="P86" s="85">
        <v>29.6</v>
      </c>
      <c r="Q86" s="85">
        <v>30.2</v>
      </c>
      <c r="R86" s="85">
        <v>34.700000000000003</v>
      </c>
      <c r="S86" s="85">
        <v>38.6</v>
      </c>
      <c r="T86" s="85">
        <v>39.200000000000003</v>
      </c>
      <c r="U86" s="85">
        <v>42.2</v>
      </c>
      <c r="V86" s="85">
        <v>48.4</v>
      </c>
      <c r="W86" s="85">
        <v>49.1</v>
      </c>
      <c r="X86" s="85">
        <v>44</v>
      </c>
      <c r="Y86" s="85">
        <v>60.4</v>
      </c>
      <c r="Z86" s="85">
        <v>76.5</v>
      </c>
      <c r="AA86" s="125">
        <v>63.1</v>
      </c>
      <c r="AB86" s="125">
        <v>50.2</v>
      </c>
      <c r="AC86" s="125">
        <v>33.5</v>
      </c>
      <c r="AD86" s="125">
        <v>17</v>
      </c>
      <c r="AE86" s="125">
        <v>27.6</v>
      </c>
      <c r="AF86" s="126">
        <v>25.2</v>
      </c>
      <c r="AG86" s="127">
        <v>120</v>
      </c>
      <c r="AH86" s="52">
        <f>IF(ABS(MAX(B86:AF86))&gt;ABS(MIN(B86:AF86)),MAX(B86:AF86),MIN(B86:AF86))</f>
        <v>76.5</v>
      </c>
      <c r="AI86" s="121">
        <f>INDEX($B$9:$AF$9,1,MATCH(AH86,B86:AF86,0))</f>
        <v>0.8125</v>
      </c>
    </row>
    <row r="87" spans="1:37" ht="15.75" thickBot="1" x14ac:dyDescent="0.3">
      <c r="A87" s="124" t="s">
        <v>93</v>
      </c>
      <c r="B87" s="126">
        <v>69</v>
      </c>
      <c r="C87" s="85">
        <v>84.5</v>
      </c>
      <c r="D87" s="85">
        <v>93.4</v>
      </c>
      <c r="E87" s="85">
        <v>89</v>
      </c>
      <c r="F87" s="85">
        <v>97.6</v>
      </c>
      <c r="G87" s="85">
        <v>91.3</v>
      </c>
      <c r="H87" s="85">
        <v>91.7</v>
      </c>
      <c r="I87" s="85">
        <v>98.2</v>
      </c>
      <c r="J87" s="85">
        <v>97.6</v>
      </c>
      <c r="K87" s="85">
        <v>90</v>
      </c>
      <c r="L87" s="85">
        <v>98</v>
      </c>
      <c r="M87" s="85">
        <v>97.5</v>
      </c>
      <c r="N87" s="85">
        <v>93.2</v>
      </c>
      <c r="O87" s="85">
        <v>91.6</v>
      </c>
      <c r="P87" s="85">
        <v>82.9</v>
      </c>
      <c r="Q87" s="85">
        <v>88.6</v>
      </c>
      <c r="R87" s="85">
        <v>93.8</v>
      </c>
      <c r="S87" s="85">
        <v>98.4</v>
      </c>
      <c r="T87" s="85">
        <v>94.6</v>
      </c>
      <c r="U87" s="85">
        <v>69.7</v>
      </c>
      <c r="V87" s="85">
        <v>61.3</v>
      </c>
      <c r="W87" s="85">
        <v>62.7</v>
      </c>
      <c r="X87" s="85">
        <v>64.400000000000006</v>
      </c>
      <c r="Y87" s="85">
        <v>95.4</v>
      </c>
      <c r="Z87" s="175">
        <v>75.2</v>
      </c>
      <c r="AA87" s="125">
        <v>80.5</v>
      </c>
      <c r="AB87" s="125">
        <v>80.900000000000006</v>
      </c>
      <c r="AC87" s="125">
        <v>94.1</v>
      </c>
      <c r="AD87" s="125">
        <v>84.4</v>
      </c>
      <c r="AE87" s="125">
        <v>65.599999999999994</v>
      </c>
      <c r="AF87" s="126">
        <v>65.400000000000006</v>
      </c>
      <c r="AG87" s="127"/>
      <c r="AH87" s="52">
        <f>IF(ABS(MAX(B87:AF87))&gt;ABS(MIN(B87:AF87)),MAX(B87:AF87),MIN(B87:AF87))</f>
        <v>98.4</v>
      </c>
      <c r="AI87" s="121">
        <f>INDEX($B$9:$AF$9,1,MATCH(AH87,B87:AF87,0))</f>
        <v>0.625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1068.54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3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3)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3)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954.1400000000001</v>
      </c>
      <c r="U193" s="173">
        <f t="shared" si="37"/>
        <v>939.1400000000001</v>
      </c>
      <c r="V193" s="173">
        <f t="shared" si="37"/>
        <v>929.85</v>
      </c>
      <c r="W193" s="173">
        <f t="shared" si="37"/>
        <v>906.1099999999999</v>
      </c>
      <c r="X193" s="173">
        <f t="shared" si="37"/>
        <v>902.84</v>
      </c>
      <c r="Y193" s="173">
        <f t="shared" si="37"/>
        <v>910.74</v>
      </c>
      <c r="Z193" s="173">
        <f t="shared" si="37"/>
        <v>919.1400000000001</v>
      </c>
      <c r="AA193" s="173">
        <f t="shared" si="37"/>
        <v>944.34</v>
      </c>
      <c r="AB193" s="173">
        <f t="shared" si="37"/>
        <v>1009.74</v>
      </c>
      <c r="AC193" s="173">
        <f t="shared" si="37"/>
        <v>1033.1400000000001</v>
      </c>
      <c r="AD193" s="173">
        <f t="shared" si="37"/>
        <v>1029.8499999999999</v>
      </c>
      <c r="AE193" s="173">
        <f t="shared" si="37"/>
        <v>1068.54</v>
      </c>
      <c r="AF193" s="173">
        <f t="shared" si="37"/>
        <v>1083.94</v>
      </c>
      <c r="AG193" s="173">
        <f t="shared" si="37"/>
        <v>1063.06</v>
      </c>
      <c r="AH193" s="173">
        <f t="shared" si="37"/>
        <v>1079.1300000000001</v>
      </c>
      <c r="AI193" s="173">
        <f t="shared" si="37"/>
        <v>1070.73</v>
      </c>
      <c r="AJ193" s="173">
        <f t="shared" si="37"/>
        <v>1080.58</v>
      </c>
      <c r="AK193" s="173">
        <f t="shared" si="37"/>
        <v>1042.1300000000001</v>
      </c>
      <c r="AL193" s="173">
        <f t="shared" si="37"/>
        <v>1070.44</v>
      </c>
      <c r="AM193" s="173">
        <f t="shared" si="37"/>
        <v>1000.6800000000001</v>
      </c>
      <c r="AN193" s="173">
        <f t="shared" si="37"/>
        <v>1009.73</v>
      </c>
      <c r="AO193" s="173">
        <f t="shared" si="37"/>
        <v>1007.9010000000001</v>
      </c>
      <c r="AP193" s="173">
        <f t="shared" si="37"/>
        <v>1027.3399999999999</v>
      </c>
      <c r="AQ193" s="173">
        <f t="shared" si="37"/>
        <v>1119.5800000000002</v>
      </c>
      <c r="AR193" s="173">
        <f t="shared" si="37"/>
        <v>1259.8600000000001</v>
      </c>
      <c r="AS193" s="173">
        <f t="shared" si="37"/>
        <v>1238.4000000000001</v>
      </c>
      <c r="AT193" s="173">
        <f t="shared" si="37"/>
        <v>1211.7200000000003</v>
      </c>
      <c r="AU193" s="173">
        <f t="shared" si="37"/>
        <v>1160.8899999999999</v>
      </c>
      <c r="AV193" s="173">
        <f t="shared" si="37"/>
        <v>1085.1399999999999</v>
      </c>
      <c r="AW193" s="173">
        <f t="shared" si="37"/>
        <v>1020.4399999999999</v>
      </c>
      <c r="AX193" s="173">
        <f t="shared" si="37"/>
        <v>995.08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569" priority="224">
      <formula>S$9&gt;=20/24</formula>
    </cfRule>
    <cfRule type="expression" dxfId="5568" priority="225">
      <formula>AND(S$9&gt;=14/24,S$9&lt;20/24)</formula>
    </cfRule>
    <cfRule type="expression" dxfId="5567" priority="226">
      <formula>AND(S$9&gt;=8/24,S$9&lt;14/24)</formula>
    </cfRule>
    <cfRule type="expression" dxfId="5566" priority="227">
      <formula>S$9&lt;8/24</formula>
    </cfRule>
  </conditionalFormatting>
  <conditionalFormatting sqref="B8:AF10 AA70:AF70 C70:Q70 L32:Z33 L31:Q31 C47:AF47 C71:AF71 C48:K52 D72:Q72 C173:AF179 M36 N35:Q36 L29:Q29 L34:Q34 L49:T50 V35:W35 X34:Z35 D73:Z79 R11:T11 C59:AF69 U11:Z12 L51:Q52 T83:Z83 R83 S34:W34 R39:AF39 AA48:AF51 AA72:AF79 AA53 M37:R39 L44:Y46 AA34:AF34 AA44:AF46">
    <cfRule type="expression" dxfId="5565" priority="220">
      <formula>B$9&gt;=20/24</formula>
    </cfRule>
    <cfRule type="expression" dxfId="5564" priority="221">
      <formula>AND(B$9&gt;=14/24,B$9&lt;20/24)</formula>
    </cfRule>
    <cfRule type="expression" dxfId="5563" priority="222">
      <formula>AND(B$9&gt;=8/24,B$9&lt;14/24)</formula>
    </cfRule>
    <cfRule type="expression" dxfId="5562" priority="223">
      <formula>B$9&lt;8/24</formula>
    </cfRule>
  </conditionalFormatting>
  <conditionalFormatting sqref="B171:AF171">
    <cfRule type="expression" dxfId="5561" priority="216">
      <formula>B$9&gt;=20/24</formula>
    </cfRule>
    <cfRule type="expression" dxfId="5560" priority="217">
      <formula>AND(B$9&gt;=14/24,B$9&lt;20/24)</formula>
    </cfRule>
    <cfRule type="expression" dxfId="5559" priority="218">
      <formula>AND(B$9&gt;=8/24,B$9&lt;14/24)</formula>
    </cfRule>
    <cfRule type="expression" dxfId="5558" priority="219">
      <formula>B$9&lt;8/24</formula>
    </cfRule>
  </conditionalFormatting>
  <conditionalFormatting sqref="AL4:AL6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5557" priority="211">
      <formula>L$9&gt;=20/24</formula>
    </cfRule>
    <cfRule type="expression" dxfId="5556" priority="212">
      <formula>AND(L$9&gt;=14/24,L$9&lt;20/24)</formula>
    </cfRule>
    <cfRule type="expression" dxfId="5555" priority="213">
      <formula>AND(L$9&gt;=8/24,L$9&lt;14/24)</formula>
    </cfRule>
    <cfRule type="expression" dxfId="5554" priority="214">
      <formula>L$9&lt;8/24</formula>
    </cfRule>
  </conditionalFormatting>
  <conditionalFormatting sqref="L35:M35">
    <cfRule type="expression" dxfId="5553" priority="207">
      <formula>L$9&gt;=20/24</formula>
    </cfRule>
    <cfRule type="expression" dxfId="5552" priority="208">
      <formula>AND(L$9&gt;=14/24,L$9&lt;20/24)</formula>
    </cfRule>
    <cfRule type="expression" dxfId="5551" priority="209">
      <formula>AND(L$9&gt;=8/24,L$9&lt;14/24)</formula>
    </cfRule>
    <cfRule type="expression" dxfId="5550" priority="210">
      <formula>L$9&lt;8/24</formula>
    </cfRule>
  </conditionalFormatting>
  <conditionalFormatting sqref="U13:Z13">
    <cfRule type="expression" dxfId="5549" priority="203">
      <formula>U$9&gt;=20/24</formula>
    </cfRule>
    <cfRule type="expression" dxfId="5548" priority="204">
      <formula>AND(U$9&gt;=14/24,U$9&lt;20/24)</formula>
    </cfRule>
    <cfRule type="expression" dxfId="5547" priority="205">
      <formula>AND(U$9&gt;=8/24,U$9&lt;14/24)</formula>
    </cfRule>
    <cfRule type="expression" dxfId="5546" priority="206">
      <formula>U$9&lt;8/24</formula>
    </cfRule>
  </conditionalFormatting>
  <conditionalFormatting sqref="R31:Z31">
    <cfRule type="expression" dxfId="5545" priority="199">
      <formula>R$9&gt;=20/24</formula>
    </cfRule>
    <cfRule type="expression" dxfId="5544" priority="200">
      <formula>AND(R$9&gt;=14/24,R$9&lt;20/24)</formula>
    </cfRule>
    <cfRule type="expression" dxfId="5543" priority="201">
      <formula>AND(R$9&gt;=8/24,R$9&lt;14/24)</formula>
    </cfRule>
    <cfRule type="expression" dxfId="5542" priority="202">
      <formula>R$9&lt;8/24</formula>
    </cfRule>
  </conditionalFormatting>
  <conditionalFormatting sqref="R48:Z48">
    <cfRule type="expression" dxfId="5541" priority="195">
      <formula>R$9&gt;=20/24</formula>
    </cfRule>
    <cfRule type="expression" dxfId="5540" priority="196">
      <formula>AND(R$9&gt;=14/24,R$9&lt;20/24)</formula>
    </cfRule>
    <cfRule type="expression" dxfId="5539" priority="197">
      <formula>AND(R$9&gt;=8/24,R$9&lt;14/24)</formula>
    </cfRule>
    <cfRule type="expression" dxfId="5538" priority="198">
      <formula>R$9&lt;8/24</formula>
    </cfRule>
  </conditionalFormatting>
  <conditionalFormatting sqref="R70:Z70">
    <cfRule type="expression" dxfId="5537" priority="191">
      <formula>R$9&gt;=20/24</formula>
    </cfRule>
    <cfRule type="expression" dxfId="5536" priority="192">
      <formula>AND(R$9&gt;=14/24,R$9&lt;20/24)</formula>
    </cfRule>
    <cfRule type="expression" dxfId="5535" priority="193">
      <formula>AND(R$9&gt;=8/24,R$9&lt;14/24)</formula>
    </cfRule>
    <cfRule type="expression" dxfId="5534" priority="194">
      <formula>R$9&lt;8/24</formula>
    </cfRule>
  </conditionalFormatting>
  <conditionalFormatting sqref="R72:Z72">
    <cfRule type="expression" dxfId="5533" priority="187">
      <formula>R$9&gt;=20/24</formula>
    </cfRule>
    <cfRule type="expression" dxfId="5532" priority="188">
      <formula>AND(R$9&gt;=14/24,R$9&lt;20/24)</formula>
    </cfRule>
    <cfRule type="expression" dxfId="5531" priority="189">
      <formula>AND(R$9&gt;=8/24,R$9&lt;14/24)</formula>
    </cfRule>
    <cfRule type="expression" dxfId="5530" priority="190">
      <formula>R$9&lt;8/24</formula>
    </cfRule>
  </conditionalFormatting>
  <conditionalFormatting sqref="Q11:Q13 Q15">
    <cfRule type="expression" dxfId="5529" priority="183">
      <formula>Q$9&gt;=20/24</formula>
    </cfRule>
    <cfRule type="expression" dxfId="5528" priority="184">
      <formula>AND(Q$9&gt;=14/24,Q$9&lt;20/24)</formula>
    </cfRule>
    <cfRule type="expression" dxfId="5527" priority="185">
      <formula>AND(Q$9&gt;=8/24,Q$9&lt;14/24)</formula>
    </cfRule>
    <cfRule type="expression" dxfId="5526" priority="186">
      <formula>Q$9&lt;8/24</formula>
    </cfRule>
  </conditionalFormatting>
  <conditionalFormatting sqref="L40:AF40">
    <cfRule type="expression" dxfId="5525" priority="179">
      <formula>L$9&gt;=20/24</formula>
    </cfRule>
    <cfRule type="expression" dxfId="5524" priority="180">
      <formula>AND(L$9&gt;=14/24,L$9&lt;20/24)</formula>
    </cfRule>
    <cfRule type="expression" dxfId="5523" priority="181">
      <formula>AND(L$9&gt;=8/24,L$9&lt;14/24)</formula>
    </cfRule>
    <cfRule type="expression" dxfId="5522" priority="182">
      <formula>L$9&lt;8/24</formula>
    </cfRule>
  </conditionalFormatting>
  <conditionalFormatting sqref="L41:AF41">
    <cfRule type="expression" dxfId="5521" priority="175">
      <formula>L$9&gt;=20/24</formula>
    </cfRule>
    <cfRule type="expression" dxfId="5520" priority="176">
      <formula>AND(L$9&gt;=14/24,L$9&lt;20/24)</formula>
    </cfRule>
    <cfRule type="expression" dxfId="5519" priority="177">
      <formula>AND(L$9&gt;=8/24,L$9&lt;14/24)</formula>
    </cfRule>
    <cfRule type="expression" dxfId="5518" priority="178">
      <formula>L$9&lt;8/24</formula>
    </cfRule>
  </conditionalFormatting>
  <conditionalFormatting sqref="L36:L39 M37:P39 Q39:AF39 M38:R39">
    <cfRule type="expression" dxfId="5517" priority="171">
      <formula>L$9&gt;=20/24</formula>
    </cfRule>
    <cfRule type="expression" dxfId="5516" priority="172">
      <formula>AND(L$9&gt;=14/24,L$9&lt;20/24)</formula>
    </cfRule>
    <cfRule type="expression" dxfId="5515" priority="173">
      <formula>AND(L$9&gt;=8/24,L$9&lt;14/24)</formula>
    </cfRule>
    <cfRule type="expression" dxfId="5514" priority="174">
      <formula>L$9&lt;8/24</formula>
    </cfRule>
  </conditionalFormatting>
  <conditionalFormatting sqref="R29:AD29">
    <cfRule type="expression" dxfId="5513" priority="167">
      <formula>R$9&gt;=20/24</formula>
    </cfRule>
    <cfRule type="expression" dxfId="5512" priority="168">
      <formula>AND(R$9&gt;=14/24,R$9&lt;20/24)</formula>
    </cfRule>
    <cfRule type="expression" dxfId="5511" priority="169">
      <formula>AND(R$9&gt;=8/24,R$9&lt;14/24)</formula>
    </cfRule>
    <cfRule type="expression" dxfId="5510" priority="170">
      <formula>R$9&lt;8/24</formula>
    </cfRule>
  </conditionalFormatting>
  <conditionalFormatting sqref="R12:T13 R15:AF15 R17:AF17 R19:AF19">
    <cfRule type="expression" dxfId="5509" priority="163">
      <formula>R$9&gt;=20/24</formula>
    </cfRule>
    <cfRule type="expression" dxfId="5508" priority="164">
      <formula>AND(R$9&gt;=14/24,R$9&lt;20/24)</formula>
    </cfRule>
    <cfRule type="expression" dxfId="5507" priority="165">
      <formula>AND(R$9&gt;=8/24,R$9&lt;14/24)</formula>
    </cfRule>
    <cfRule type="expression" dxfId="5506" priority="166">
      <formula>R$9&lt;8/24</formula>
    </cfRule>
  </conditionalFormatting>
  <conditionalFormatting sqref="R34:R39 S35:U39 V36:Z39 AA37:AF39">
    <cfRule type="expression" dxfId="5505" priority="159">
      <formula>R$9&gt;=20/24</formula>
    </cfRule>
    <cfRule type="expression" dxfId="5504" priority="160">
      <formula>AND(R$9&gt;=14/24,R$9&lt;20/24)</formula>
    </cfRule>
    <cfRule type="expression" dxfId="5503" priority="161">
      <formula>AND(R$9&gt;=8/24,R$9&lt;14/24)</formula>
    </cfRule>
    <cfRule type="expression" dxfId="5502" priority="162">
      <formula>R$9&lt;8/24</formula>
    </cfRule>
  </conditionalFormatting>
  <conditionalFormatting sqref="R40:AF40">
    <cfRule type="expression" dxfId="5501" priority="155">
      <formula>R$9&gt;=20/24</formula>
    </cfRule>
    <cfRule type="expression" dxfId="5500" priority="156">
      <formula>AND(R$9&gt;=14/24,R$9&lt;20/24)</formula>
    </cfRule>
    <cfRule type="expression" dxfId="5499" priority="157">
      <formula>AND(R$9&gt;=8/24,R$9&lt;14/24)</formula>
    </cfRule>
    <cfRule type="expression" dxfId="5498" priority="158">
      <formula>R$9&lt;8/24</formula>
    </cfRule>
  </conditionalFormatting>
  <conditionalFormatting sqref="R41:AF41">
    <cfRule type="expression" dxfId="5497" priority="151">
      <formula>R$9&gt;=20/24</formula>
    </cfRule>
    <cfRule type="expression" dxfId="5496" priority="152">
      <formula>AND(R$9&gt;=14/24,R$9&lt;20/24)</formula>
    </cfRule>
    <cfRule type="expression" dxfId="5495" priority="153">
      <formula>AND(R$9&gt;=8/24,R$9&lt;14/24)</formula>
    </cfRule>
    <cfRule type="expression" dxfId="5494" priority="154">
      <formula>R$9&lt;8/24</formula>
    </cfRule>
  </conditionalFormatting>
  <conditionalFormatting sqref="AA52:AF52 R51:Z52 AB53:AF53">
    <cfRule type="expression" dxfId="5493" priority="147">
      <formula>R$9&gt;=20/24</formula>
    </cfRule>
    <cfRule type="expression" dxfId="5492" priority="148">
      <formula>AND(R$9&gt;=14/24,R$9&lt;20/24)</formula>
    </cfRule>
    <cfRule type="expression" dxfId="5491" priority="149">
      <formula>AND(R$9&gt;=8/24,R$9&lt;14/24)</formula>
    </cfRule>
    <cfRule type="expression" dxfId="5490" priority="150">
      <formula>R$9&lt;8/24</formula>
    </cfRule>
  </conditionalFormatting>
  <conditionalFormatting sqref="AA83:AF86">
    <cfRule type="expression" dxfId="5489" priority="143">
      <formula>AA$9&gt;=20/24</formula>
    </cfRule>
    <cfRule type="expression" dxfId="5488" priority="144">
      <formula>AND(AA$9&gt;=14/24,AA$9&lt;20/24)</formula>
    </cfRule>
    <cfRule type="expression" dxfId="5487" priority="145">
      <formula>AND(AA$9&gt;=8/24,AA$9&lt;14/24)</formula>
    </cfRule>
    <cfRule type="expression" dxfId="5486" priority="146">
      <formula>AA$9&lt;8/24</formula>
    </cfRule>
  </conditionalFormatting>
  <conditionalFormatting sqref="C53:Z58 AA54:AF58">
    <cfRule type="expression" dxfId="5485" priority="139">
      <formula>C$9&gt;=20/24</formula>
    </cfRule>
    <cfRule type="expression" dxfId="5484" priority="140">
      <formula>AND(C$9&gt;=14/24,C$9&lt;20/24)</formula>
    </cfRule>
    <cfRule type="expression" dxfId="5483" priority="141">
      <formula>AND(C$9&gt;=8/24,C$9&lt;14/24)</formula>
    </cfRule>
    <cfRule type="expression" dxfId="5482" priority="142">
      <formula>C$9&lt;8/24</formula>
    </cfRule>
  </conditionalFormatting>
  <conditionalFormatting sqref="C83:K86">
    <cfRule type="expression" dxfId="5481" priority="135">
      <formula>C$9&gt;=20/24</formula>
    </cfRule>
    <cfRule type="expression" dxfId="5480" priority="136">
      <formula>AND(C$9&gt;=14/24,C$9&lt;20/24)</formula>
    </cfRule>
    <cfRule type="expression" dxfId="5479" priority="137">
      <formula>AND(C$9&gt;=8/24,C$9&lt;14/24)</formula>
    </cfRule>
    <cfRule type="expression" dxfId="5478" priority="138">
      <formula>C$9&lt;8/24</formula>
    </cfRule>
  </conditionalFormatting>
  <conditionalFormatting sqref="L83:Q86">
    <cfRule type="expression" dxfId="5477" priority="131">
      <formula>L$9&gt;=20/24</formula>
    </cfRule>
    <cfRule type="expression" dxfId="5476" priority="132">
      <formula>AND(L$9&gt;=14/24,L$9&lt;20/24)</formula>
    </cfRule>
    <cfRule type="expression" dxfId="5475" priority="133">
      <formula>AND(L$9&gt;=8/24,L$9&lt;14/24)</formula>
    </cfRule>
    <cfRule type="expression" dxfId="5474" priority="134">
      <formula>L$9&lt;8/24</formula>
    </cfRule>
  </conditionalFormatting>
  <conditionalFormatting sqref="R85:Z86 R84 T84:Z84">
    <cfRule type="expression" dxfId="5473" priority="127">
      <formula>R$9&gt;=20/24</formula>
    </cfRule>
    <cfRule type="expression" dxfId="5472" priority="128">
      <formula>AND(R$9&gt;=14/24,R$9&lt;20/24)</formula>
    </cfRule>
    <cfRule type="expression" dxfId="5471" priority="129">
      <formula>AND(R$9&gt;=8/24,R$9&lt;14/24)</formula>
    </cfRule>
    <cfRule type="expression" dxfId="5470" priority="130">
      <formula>R$9&lt;8/24</formula>
    </cfRule>
  </conditionalFormatting>
  <conditionalFormatting sqref="AG42 Q15:AF15 R17:AF17 Q11:AF13 C47:AF47 R19:AF19 I44:Y46 C28:AF43 AA44:AF46">
    <cfRule type="expression" dxfId="5469" priority="126">
      <formula>C11&gt;$AG11</formula>
    </cfRule>
  </conditionalFormatting>
  <conditionalFormatting sqref="T192:AX192">
    <cfRule type="expression" dxfId="5468" priority="122">
      <formula>T$9&gt;=20/24</formula>
    </cfRule>
    <cfRule type="expression" dxfId="5467" priority="123">
      <formula>AND(T$9&gt;=14/24,T$9&lt;20/24)</formula>
    </cfRule>
    <cfRule type="expression" dxfId="5466" priority="124">
      <formula>AND(T$9&gt;=8/24,T$9&lt;14/24)</formula>
    </cfRule>
    <cfRule type="expression" dxfId="5465" priority="125">
      <formula>T$9&lt;8/24</formula>
    </cfRule>
  </conditionalFormatting>
  <conditionalFormatting sqref="A11:A86 A88:A180">
    <cfRule type="expression" dxfId="5464" priority="121">
      <formula>$AH11=0</formula>
    </cfRule>
  </conditionalFormatting>
  <conditionalFormatting sqref="AA87:AF87">
    <cfRule type="expression" dxfId="5463" priority="117">
      <formula>AA$9&gt;=20/24</formula>
    </cfRule>
    <cfRule type="expression" dxfId="5462" priority="118">
      <formula>AND(AA$9&gt;=14/24,AA$9&lt;20/24)</formula>
    </cfRule>
    <cfRule type="expression" dxfId="5461" priority="119">
      <formula>AND(AA$9&gt;=8/24,AA$9&lt;14/24)</formula>
    </cfRule>
    <cfRule type="expression" dxfId="5460" priority="120">
      <formula>AA$9&lt;8/24</formula>
    </cfRule>
  </conditionalFormatting>
  <conditionalFormatting sqref="C87:K87">
    <cfRule type="expression" dxfId="5459" priority="113">
      <formula>C$9&gt;=20/24</formula>
    </cfRule>
    <cfRule type="expression" dxfId="5458" priority="114">
      <formula>AND(C$9&gt;=14/24,C$9&lt;20/24)</formula>
    </cfRule>
    <cfRule type="expression" dxfId="5457" priority="115">
      <formula>AND(C$9&gt;=8/24,C$9&lt;14/24)</formula>
    </cfRule>
    <cfRule type="expression" dxfId="5456" priority="116">
      <formula>C$9&lt;8/24</formula>
    </cfRule>
  </conditionalFormatting>
  <conditionalFormatting sqref="L87:Q87">
    <cfRule type="expression" dxfId="5455" priority="109">
      <formula>L$9&gt;=20/24</formula>
    </cfRule>
    <cfRule type="expression" dxfId="5454" priority="110">
      <formula>AND(L$9&gt;=14/24,L$9&lt;20/24)</formula>
    </cfRule>
    <cfRule type="expression" dxfId="5453" priority="111">
      <formula>AND(L$9&gt;=8/24,L$9&lt;14/24)</formula>
    </cfRule>
    <cfRule type="expression" dxfId="5452" priority="112">
      <formula>L$9&lt;8/24</formula>
    </cfRule>
  </conditionalFormatting>
  <conditionalFormatting sqref="R87:Y87">
    <cfRule type="expression" dxfId="5451" priority="105">
      <formula>R$9&gt;=20/24</formula>
    </cfRule>
    <cfRule type="expression" dxfId="5450" priority="106">
      <formula>AND(R$9&gt;=14/24,R$9&lt;20/24)</formula>
    </cfRule>
    <cfRule type="expression" dxfId="5449" priority="107">
      <formula>AND(R$9&gt;=8/24,R$9&lt;14/24)</formula>
    </cfRule>
    <cfRule type="expression" dxfId="5448" priority="108">
      <formula>R$9&lt;8/24</formula>
    </cfRule>
  </conditionalFormatting>
  <conditionalFormatting sqref="A87">
    <cfRule type="expression" dxfId="5447" priority="104">
      <formula>$AH87=0</formula>
    </cfRule>
  </conditionalFormatting>
  <conditionalFormatting sqref="C28:AF28">
    <cfRule type="expression" dxfId="5446" priority="100">
      <formula>C$9&gt;=20/24</formula>
    </cfRule>
    <cfRule type="expression" dxfId="5445" priority="101">
      <formula>AND(C$9&gt;=14/24,C$9&lt;20/24)</formula>
    </cfRule>
    <cfRule type="expression" dxfId="5444" priority="102">
      <formula>AND(C$9&gt;=8/24,C$9&lt;14/24)</formula>
    </cfRule>
    <cfRule type="expression" dxfId="5443" priority="103">
      <formula>C$9&lt;8/24</formula>
    </cfRule>
  </conditionalFormatting>
  <conditionalFormatting sqref="B44:B51 B59:B71 C44:H46">
    <cfRule type="expression" dxfId="5442" priority="92">
      <formula>B$9&gt;=20/24</formula>
    </cfRule>
    <cfRule type="expression" dxfId="5441" priority="93">
      <formula>AND(B$9&gt;=14/24,B$9&lt;20/24)</formula>
    </cfRule>
    <cfRule type="expression" dxfId="5440" priority="94">
      <formula>AND(B$9&gt;=8/24,B$9&lt;14/24)</formula>
    </cfRule>
    <cfRule type="expression" dxfId="5439" priority="95">
      <formula>B$9&lt;8/24</formula>
    </cfRule>
  </conditionalFormatting>
  <conditionalFormatting sqref="B18 B21 B14:P17 Q16:Q17 B19:Q20 R20 B22:R27 Q14:AF14 R16:AF16">
    <cfRule type="expression" dxfId="5438" priority="88">
      <formula>B$9&gt;=20/24</formula>
    </cfRule>
    <cfRule type="expression" dxfId="5437" priority="89">
      <formula>AND(B$9&gt;=14/24,B$9&lt;20/24)</formula>
    </cfRule>
    <cfRule type="expression" dxfId="5436" priority="90">
      <formula>AND(B$9&gt;=8/24,B$9&lt;14/24)</formula>
    </cfRule>
    <cfRule type="expression" dxfId="5435" priority="91">
      <formula>B$9&lt;8/24</formula>
    </cfRule>
  </conditionalFormatting>
  <conditionalFormatting sqref="B29">
    <cfRule type="expression" dxfId="5434" priority="84">
      <formula>B$9&gt;=20/24</formula>
    </cfRule>
    <cfRule type="expression" dxfId="5433" priority="85">
      <formula>AND(B$9&gt;=14/24,B$9&lt;20/24)</formula>
    </cfRule>
    <cfRule type="expression" dxfId="5432" priority="86">
      <formula>AND(B$9&gt;=8/24,B$9&lt;14/24)</formula>
    </cfRule>
    <cfRule type="expression" dxfId="5431" priority="87">
      <formula>B$9&lt;8/24</formula>
    </cfRule>
  </conditionalFormatting>
  <conditionalFormatting sqref="B18 B21 B14:P17 Q16:Q17 B19:Q20 R20 B22:R27 Q14:AF14 R16:AF16">
    <cfRule type="expression" dxfId="5430" priority="80">
      <formula>B$9&gt;=20/24</formula>
    </cfRule>
    <cfRule type="expression" dxfId="5429" priority="81">
      <formula>AND(B$9&gt;=14/24,B$9&lt;20/24)</formula>
    </cfRule>
    <cfRule type="expression" dxfId="5428" priority="82">
      <formula>AND(B$9&gt;=8/24,B$9&lt;14/24)</formula>
    </cfRule>
    <cfRule type="expression" dxfId="5427" priority="83">
      <formula>B$9&lt;8/24</formula>
    </cfRule>
  </conditionalFormatting>
  <conditionalFormatting sqref="B52:B58">
    <cfRule type="expression" dxfId="5426" priority="76">
      <formula>B$9&gt;=20/24</formula>
    </cfRule>
    <cfRule type="expression" dxfId="5425" priority="77">
      <formula>AND(B$9&gt;=14/24,B$9&lt;20/24)</formula>
    </cfRule>
    <cfRule type="expression" dxfId="5424" priority="78">
      <formula>AND(B$9&gt;=8/24,B$9&lt;14/24)</formula>
    </cfRule>
    <cfRule type="expression" dxfId="5423" priority="79">
      <formula>B$9&lt;8/24</formula>
    </cfRule>
  </conditionalFormatting>
  <conditionalFormatting sqref="B83:B86">
    <cfRule type="expression" dxfId="5422" priority="72">
      <formula>B$9&gt;=20/24</formula>
    </cfRule>
    <cfRule type="expression" dxfId="5421" priority="73">
      <formula>AND(B$9&gt;=14/24,B$9&lt;20/24)</formula>
    </cfRule>
    <cfRule type="expression" dxfId="5420" priority="74">
      <formula>AND(B$9&gt;=8/24,B$9&lt;14/24)</formula>
    </cfRule>
    <cfRule type="expression" dxfId="5419" priority="75">
      <formula>B$9&lt;8/24</formula>
    </cfRule>
  </conditionalFormatting>
  <conditionalFormatting sqref="B11:B47 C44:H46 C11:K13 C14:P17 C19:Q20 Q16:Q17 R20 C22:R27 Q14:AF14 R16:AF16">
    <cfRule type="expression" dxfId="5418" priority="71">
      <formula>B11&gt;$AG11</formula>
    </cfRule>
  </conditionalFormatting>
  <conditionalFormatting sqref="B87">
    <cfRule type="expression" dxfId="5417" priority="67">
      <formula>B$9&gt;=20/24</formula>
    </cfRule>
    <cfRule type="expression" dxfId="5416" priority="68">
      <formula>AND(B$9&gt;=14/24,B$9&lt;20/24)</formula>
    </cfRule>
    <cfRule type="expression" dxfId="5415" priority="69">
      <formula>AND(B$9&gt;=8/24,B$9&lt;14/24)</formula>
    </cfRule>
    <cfRule type="expression" dxfId="5414" priority="70">
      <formula>B$9&lt;8/24</formula>
    </cfRule>
  </conditionalFormatting>
  <conditionalFormatting sqref="B28">
    <cfRule type="expression" dxfId="5413" priority="63">
      <formula>B$9&gt;=20/24</formula>
    </cfRule>
    <cfRule type="expression" dxfId="5412" priority="64">
      <formula>AND(B$9&gt;=14/24,B$9&lt;20/24)</formula>
    </cfRule>
    <cfRule type="expression" dxfId="5411" priority="65">
      <formula>AND(B$9&gt;=8/24,B$9&lt;14/24)</formula>
    </cfRule>
    <cfRule type="expression" dxfId="5410" priority="66">
      <formula>B$9&lt;8/24</formula>
    </cfRule>
  </conditionalFormatting>
  <conditionalFormatting sqref="B28">
    <cfRule type="expression" dxfId="5409" priority="59">
      <formula>B$9&gt;=20/24</formula>
    </cfRule>
    <cfRule type="expression" dxfId="5408" priority="60">
      <formula>AND(B$9&gt;=14/24,B$9&lt;20/24)</formula>
    </cfRule>
    <cfRule type="expression" dxfId="5407" priority="61">
      <formula>AND(B$9&gt;=8/24,B$9&lt;14/24)</formula>
    </cfRule>
    <cfRule type="expression" dxfId="5406" priority="62">
      <formula>B$9&lt;8/24</formula>
    </cfRule>
  </conditionalFormatting>
  <conditionalFormatting sqref="C18:AF18">
    <cfRule type="expression" dxfId="5405" priority="55">
      <formula>C$9&gt;=20/24</formula>
    </cfRule>
    <cfRule type="expression" dxfId="5404" priority="56">
      <formula>AND(C$9&gt;=14/24,C$9&lt;20/24)</formula>
    </cfRule>
    <cfRule type="expression" dxfId="5403" priority="57">
      <formula>AND(C$9&gt;=8/24,C$9&lt;14/24)</formula>
    </cfRule>
    <cfRule type="expression" dxfId="5402" priority="58">
      <formula>C$9&lt;8/24</formula>
    </cfRule>
  </conditionalFormatting>
  <conditionalFormatting sqref="C18:AF18">
    <cfRule type="expression" dxfId="5401" priority="51">
      <formula>C$9&gt;=20/24</formula>
    </cfRule>
    <cfRule type="expression" dxfId="5400" priority="52">
      <formula>AND(C$9&gt;=14/24,C$9&lt;20/24)</formula>
    </cfRule>
    <cfRule type="expression" dxfId="5399" priority="53">
      <formula>AND(C$9&gt;=8/24,C$9&lt;14/24)</formula>
    </cfRule>
    <cfRule type="expression" dxfId="5398" priority="54">
      <formula>C$9&lt;8/24</formula>
    </cfRule>
  </conditionalFormatting>
  <conditionalFormatting sqref="C18:AF18">
    <cfRule type="expression" dxfId="5397" priority="50">
      <formula>C18&gt;$AG18</formula>
    </cfRule>
  </conditionalFormatting>
  <conditionalFormatting sqref="C21:R21">
    <cfRule type="expression" dxfId="5396" priority="46">
      <formula>C$9&gt;=20/24</formula>
    </cfRule>
    <cfRule type="expression" dxfId="5395" priority="47">
      <formula>AND(C$9&gt;=14/24,C$9&lt;20/24)</formula>
    </cfRule>
    <cfRule type="expression" dxfId="5394" priority="48">
      <formula>AND(C$9&gt;=8/24,C$9&lt;14/24)</formula>
    </cfRule>
    <cfRule type="expression" dxfId="5393" priority="49">
      <formula>C$9&lt;8/24</formula>
    </cfRule>
  </conditionalFormatting>
  <conditionalFormatting sqref="C21:R21">
    <cfRule type="expression" dxfId="5392" priority="42">
      <formula>C$9&gt;=20/24</formula>
    </cfRule>
    <cfRule type="expression" dxfId="5391" priority="43">
      <formula>AND(C$9&gt;=14/24,C$9&lt;20/24)</formula>
    </cfRule>
    <cfRule type="expression" dxfId="5390" priority="44">
      <formula>AND(C$9&gt;=8/24,C$9&lt;14/24)</formula>
    </cfRule>
    <cfRule type="expression" dxfId="5389" priority="45">
      <formula>C$9&lt;8/24</formula>
    </cfRule>
  </conditionalFormatting>
  <conditionalFormatting sqref="C21:R21">
    <cfRule type="expression" dxfId="5388" priority="41">
      <formula>C21&gt;$AG21</formula>
    </cfRule>
  </conditionalFormatting>
  <conditionalFormatting sqref="S83">
    <cfRule type="expression" dxfId="5387" priority="37">
      <formula>S$9&gt;=20/24</formula>
    </cfRule>
    <cfRule type="expression" dxfId="5386" priority="38">
      <formula>AND(S$9&gt;=14/24,S$9&lt;20/24)</formula>
    </cfRule>
    <cfRule type="expression" dxfId="5385" priority="39">
      <formula>AND(S$9&gt;=8/24,S$9&lt;14/24)</formula>
    </cfRule>
    <cfRule type="expression" dxfId="5384" priority="40">
      <formula>S$9&lt;8/24</formula>
    </cfRule>
  </conditionalFormatting>
  <conditionalFormatting sqref="S84">
    <cfRule type="expression" dxfId="5383" priority="33">
      <formula>S$9&gt;=20/24</formula>
    </cfRule>
    <cfRule type="expression" dxfId="5382" priority="34">
      <formula>AND(S$9&gt;=14/24,S$9&lt;20/24)</formula>
    </cfRule>
    <cfRule type="expression" dxfId="5381" priority="35">
      <formula>AND(S$9&gt;=8/24,S$9&lt;14/24)</formula>
    </cfRule>
    <cfRule type="expression" dxfId="5380" priority="36">
      <formula>S$9&lt;8/24</formula>
    </cfRule>
  </conditionalFormatting>
  <conditionalFormatting sqref="C72:C79">
    <cfRule type="expression" dxfId="5379" priority="29">
      <formula>C$9&gt;=20/24</formula>
    </cfRule>
    <cfRule type="expression" dxfId="5378" priority="30">
      <formula>AND(C$9&gt;=14/24,C$9&lt;20/24)</formula>
    </cfRule>
    <cfRule type="expression" dxfId="5377" priority="31">
      <formula>AND(C$9&gt;=8/24,C$9&lt;14/24)</formula>
    </cfRule>
    <cfRule type="expression" dxfId="5376" priority="32">
      <formula>C$9&lt;8/24</formula>
    </cfRule>
  </conditionalFormatting>
  <conditionalFormatting sqref="B72:B79">
    <cfRule type="expression" dxfId="5375" priority="25">
      <formula>B$9&gt;=20/24</formula>
    </cfRule>
    <cfRule type="expression" dxfId="5374" priority="26">
      <formula>AND(B$9&gt;=14/24,B$9&lt;20/24)</formula>
    </cfRule>
    <cfRule type="expression" dxfId="5373" priority="27">
      <formula>AND(B$9&gt;=8/24,B$9&lt;14/24)</formula>
    </cfRule>
    <cfRule type="expression" dxfId="5372" priority="28">
      <formula>B$9&lt;8/24</formula>
    </cfRule>
  </conditionalFormatting>
  <conditionalFormatting sqref="L11:P13">
    <cfRule type="expression" dxfId="5371" priority="21">
      <formula>L$9&gt;=20/24</formula>
    </cfRule>
    <cfRule type="expression" dxfId="5370" priority="22">
      <formula>AND(L$9&gt;=14/24,L$9&lt;20/24)</formula>
    </cfRule>
    <cfRule type="expression" dxfId="5369" priority="23">
      <formula>AND(L$9&gt;=8/24,L$9&lt;14/24)</formula>
    </cfRule>
    <cfRule type="expression" dxfId="5368" priority="24">
      <formula>L$9&lt;8/24</formula>
    </cfRule>
  </conditionalFormatting>
  <conditionalFormatting sqref="L11:P13">
    <cfRule type="expression" dxfId="5367" priority="20">
      <formula>L11&gt;$AG11</formula>
    </cfRule>
  </conditionalFormatting>
  <conditionalFormatting sqref="S20:AF20 S22:AF27">
    <cfRule type="expression" dxfId="5366" priority="16">
      <formula>S$9&gt;=20/24</formula>
    </cfRule>
    <cfRule type="expression" dxfId="5365" priority="17">
      <formula>AND(S$9&gt;=14/24,S$9&lt;20/24)</formula>
    </cfRule>
    <cfRule type="expression" dxfId="5364" priority="18">
      <formula>AND(S$9&gt;=8/24,S$9&lt;14/24)</formula>
    </cfRule>
    <cfRule type="expression" dxfId="5363" priority="19">
      <formula>S$9&lt;8/24</formula>
    </cfRule>
  </conditionalFormatting>
  <conditionalFormatting sqref="S20:AF20 S22:AF27">
    <cfRule type="expression" dxfId="5362" priority="12">
      <formula>S$9&gt;=20/24</formula>
    </cfRule>
    <cfRule type="expression" dxfId="5361" priority="13">
      <formula>AND(S$9&gt;=14/24,S$9&lt;20/24)</formula>
    </cfRule>
    <cfRule type="expression" dxfId="5360" priority="14">
      <formula>AND(S$9&gt;=8/24,S$9&lt;14/24)</formula>
    </cfRule>
    <cfRule type="expression" dxfId="5359" priority="15">
      <formula>S$9&lt;8/24</formula>
    </cfRule>
  </conditionalFormatting>
  <conditionalFormatting sqref="S20:AF20 S22:AF27">
    <cfRule type="expression" dxfId="5358" priority="11">
      <formula>S20&gt;$AG20</formula>
    </cfRule>
  </conditionalFormatting>
  <conditionalFormatting sqref="S21:AF21">
    <cfRule type="expression" dxfId="5357" priority="7">
      <formula>S$9&gt;=20/24</formula>
    </cfRule>
    <cfRule type="expression" dxfId="5356" priority="8">
      <formula>AND(S$9&gt;=14/24,S$9&lt;20/24)</formula>
    </cfRule>
    <cfRule type="expression" dxfId="5355" priority="9">
      <formula>AND(S$9&gt;=8/24,S$9&lt;14/24)</formula>
    </cfRule>
    <cfRule type="expression" dxfId="5354" priority="10">
      <formula>S$9&lt;8/24</formula>
    </cfRule>
  </conditionalFormatting>
  <conditionalFormatting sqref="S21:AF21">
    <cfRule type="expression" dxfId="5353" priority="3">
      <formula>S$9&gt;=20/24</formula>
    </cfRule>
    <cfRule type="expression" dxfId="5352" priority="4">
      <formula>AND(S$9&gt;=14/24,S$9&lt;20/24)</formula>
    </cfRule>
    <cfRule type="expression" dxfId="5351" priority="5">
      <formula>AND(S$9&gt;=8/24,S$9&lt;14/24)</formula>
    </cfRule>
    <cfRule type="expression" dxfId="5350" priority="6">
      <formula>S$9&lt;8/24</formula>
    </cfRule>
  </conditionalFormatting>
  <conditionalFormatting sqref="S21:AF21">
    <cfRule type="expression" dxfId="5349" priority="2">
      <formula>S21&gt;$AG21</formula>
    </cfRule>
  </conditionalFormatting>
  <conditionalFormatting sqref="Z44:Z46">
    <cfRule type="expression" dxfId="5348" priority="1">
      <formula>Z$9="PEAK"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D9" sqref="AD9:AD10"/>
    </sheetView>
  </sheetViews>
  <sheetFormatPr defaultRowHeight="15" x14ac:dyDescent="0.25"/>
  <cols>
    <col min="1" max="1" width="28" bestFit="1" customWidth="1"/>
    <col min="2" max="2" width="7.5703125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4</v>
      </c>
      <c r="D4" s="324">
        <f ca="1">IFERROR(DATE(2021,5,14)+C4,"")</f>
        <v>44334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547.4</v>
      </c>
      <c r="C5" s="32">
        <f t="shared" ref="C5:AF5" si="0">C59</f>
        <v>532.1</v>
      </c>
      <c r="D5" s="32">
        <f t="shared" si="0"/>
        <v>520.32999999999993</v>
      </c>
      <c r="E5" s="32">
        <f t="shared" si="0"/>
        <v>501.5</v>
      </c>
      <c r="F5" s="32">
        <f t="shared" si="0"/>
        <v>485.53999999999996</v>
      </c>
      <c r="G5" s="32">
        <f t="shared" si="0"/>
        <v>498.7</v>
      </c>
      <c r="H5" s="32">
        <f t="shared" si="0"/>
        <v>496.45</v>
      </c>
      <c r="I5" s="32">
        <f t="shared" si="0"/>
        <v>573.14</v>
      </c>
      <c r="J5" s="32">
        <f t="shared" si="0"/>
        <v>523.6</v>
      </c>
      <c r="K5" s="32">
        <f t="shared" si="0"/>
        <v>516.33000000000004</v>
      </c>
      <c r="L5" s="32">
        <f t="shared" si="0"/>
        <v>526.6</v>
      </c>
      <c r="M5" s="32">
        <f t="shared" si="0"/>
        <v>572.59</v>
      </c>
      <c r="N5" s="32">
        <f t="shared" si="0"/>
        <v>576.90000000000009</v>
      </c>
      <c r="O5" s="32">
        <f t="shared" si="0"/>
        <v>577.67000000000007</v>
      </c>
      <c r="P5" s="32">
        <f t="shared" si="0"/>
        <v>532.32999999999993</v>
      </c>
      <c r="Q5" s="32">
        <f t="shared" si="0"/>
        <v>499.07000000000005</v>
      </c>
      <c r="R5" s="32">
        <f t="shared" si="0"/>
        <v>522.5</v>
      </c>
      <c r="S5" s="32">
        <f t="shared" si="0"/>
        <v>520.23</v>
      </c>
      <c r="T5" s="32">
        <f t="shared" si="0"/>
        <v>509.32</v>
      </c>
      <c r="U5" s="32">
        <f t="shared" si="0"/>
        <v>441.44</v>
      </c>
      <c r="V5" s="32">
        <f t="shared" si="0"/>
        <v>419.70000000000005</v>
      </c>
      <c r="W5" s="32">
        <f t="shared" si="0"/>
        <v>420.3</v>
      </c>
      <c r="X5" s="32">
        <f t="shared" si="0"/>
        <v>405.90999999999997</v>
      </c>
      <c r="Y5" s="32">
        <f t="shared" si="0"/>
        <v>482.19</v>
      </c>
      <c r="Z5" s="32">
        <f t="shared" si="0"/>
        <v>542.15</v>
      </c>
      <c r="AA5" s="32">
        <f t="shared" si="0"/>
        <v>521.09</v>
      </c>
      <c r="AB5" s="32">
        <f t="shared" si="0"/>
        <v>532.9</v>
      </c>
      <c r="AC5" s="32">
        <f t="shared" si="0"/>
        <v>538.38</v>
      </c>
      <c r="AD5" s="32">
        <f t="shared" si="0"/>
        <v>534.79999999999995</v>
      </c>
      <c r="AE5" s="32">
        <f t="shared" si="0"/>
        <v>471.14</v>
      </c>
      <c r="AF5" s="32">
        <f t="shared" si="0"/>
        <v>488.6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7"/>
      <c r="E6" s="177"/>
      <c r="F6" s="177"/>
      <c r="G6" s="177"/>
      <c r="H6" s="177"/>
      <c r="I6" s="17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1093MW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Load=932</v>
      </c>
      <c r="B7" s="36">
        <f t="shared" ref="B7:AF7" si="1">B65</f>
        <v>990.2399999999999</v>
      </c>
      <c r="C7" s="36">
        <f t="shared" si="1"/>
        <v>963.24</v>
      </c>
      <c r="D7" s="36">
        <f t="shared" si="1"/>
        <v>951.86999999999989</v>
      </c>
      <c r="E7" s="36">
        <f t="shared" si="1"/>
        <v>932.33999999999992</v>
      </c>
      <c r="F7" s="36">
        <f t="shared" si="1"/>
        <v>952.98</v>
      </c>
      <c r="G7" s="36">
        <f t="shared" si="1"/>
        <v>950.54</v>
      </c>
      <c r="H7" s="36">
        <f t="shared" si="1"/>
        <v>949.99</v>
      </c>
      <c r="I7" s="36">
        <f t="shared" si="1"/>
        <v>1030.78</v>
      </c>
      <c r="J7" s="36">
        <f t="shared" si="1"/>
        <v>1008.74</v>
      </c>
      <c r="K7" s="36">
        <f t="shared" si="1"/>
        <v>1043.0700000000002</v>
      </c>
      <c r="L7" s="36">
        <f>L65</f>
        <v>1057.54</v>
      </c>
      <c r="M7" s="36">
        <f t="shared" si="1"/>
        <v>1093.23</v>
      </c>
      <c r="N7" s="36">
        <f t="shared" si="1"/>
        <v>1093.94</v>
      </c>
      <c r="O7" s="36">
        <f t="shared" si="1"/>
        <v>1061.81</v>
      </c>
      <c r="P7" s="36">
        <f t="shared" si="1"/>
        <v>1048.27</v>
      </c>
      <c r="Q7" s="36">
        <f t="shared" si="1"/>
        <v>1034.6100000000001</v>
      </c>
      <c r="R7" s="36">
        <f t="shared" si="1"/>
        <v>1030.3399999999999</v>
      </c>
      <c r="S7" s="36">
        <f t="shared" si="1"/>
        <v>1000.37</v>
      </c>
      <c r="T7" s="36">
        <f t="shared" si="1"/>
        <v>985.16000000000008</v>
      </c>
      <c r="U7" s="36">
        <f t="shared" si="1"/>
        <v>1018.48</v>
      </c>
      <c r="V7" s="36">
        <f t="shared" si="1"/>
        <v>949.24000000000012</v>
      </c>
      <c r="W7" s="36">
        <f t="shared" si="1"/>
        <v>951.74</v>
      </c>
      <c r="X7" s="36">
        <f t="shared" si="1"/>
        <v>989.14999999999986</v>
      </c>
      <c r="Y7" s="36">
        <f t="shared" si="1"/>
        <v>1095.23</v>
      </c>
      <c r="Z7" s="36">
        <f t="shared" si="1"/>
        <v>1198.79</v>
      </c>
      <c r="AA7" s="36">
        <f t="shared" si="1"/>
        <v>1199.5300000000002</v>
      </c>
      <c r="AB7" s="36">
        <f t="shared" si="1"/>
        <v>1181.74</v>
      </c>
      <c r="AC7" s="36">
        <f t="shared" si="1"/>
        <v>1157.72</v>
      </c>
      <c r="AD7" s="36">
        <f t="shared" si="1"/>
        <v>1068.8399999999999</v>
      </c>
      <c r="AE7" s="36">
        <f t="shared" si="1"/>
        <v>994.98</v>
      </c>
      <c r="AF7" s="36">
        <f t="shared" si="1"/>
        <v>974.24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24.6</v>
      </c>
      <c r="C11" s="48">
        <v>24.1</v>
      </c>
      <c r="D11" s="48">
        <v>25.6</v>
      </c>
      <c r="E11" s="48">
        <v>24.9</v>
      </c>
      <c r="F11" s="48">
        <v>24.9</v>
      </c>
      <c r="G11" s="48">
        <v>24</v>
      </c>
      <c r="H11" s="48">
        <v>24.8</v>
      </c>
      <c r="I11" s="48">
        <v>24.8</v>
      </c>
      <c r="J11" s="48">
        <v>24.8</v>
      </c>
      <c r="K11" s="48">
        <v>25.6</v>
      </c>
      <c r="L11" s="49">
        <v>25.4</v>
      </c>
      <c r="M11" s="49">
        <v>24.3</v>
      </c>
      <c r="N11" s="49">
        <v>25.7</v>
      </c>
      <c r="O11" s="49">
        <v>25.6</v>
      </c>
      <c r="P11" s="49">
        <v>25.2</v>
      </c>
      <c r="Q11" s="49">
        <v>24</v>
      </c>
      <c r="R11" s="50">
        <v>25</v>
      </c>
      <c r="S11" s="50">
        <v>24.5</v>
      </c>
      <c r="T11" s="50">
        <v>23.7</v>
      </c>
      <c r="U11" s="50">
        <v>24.2</v>
      </c>
      <c r="V11" s="50">
        <v>23.5</v>
      </c>
      <c r="W11" s="50">
        <v>24.6</v>
      </c>
      <c r="X11" s="50">
        <v>21.8</v>
      </c>
      <c r="Y11" s="50">
        <v>23.6</v>
      </c>
      <c r="Z11" s="50">
        <v>22.7</v>
      </c>
      <c r="AA11" s="48">
        <v>24.1</v>
      </c>
      <c r="AB11" s="48">
        <v>24.7</v>
      </c>
      <c r="AC11" s="48">
        <v>24.8</v>
      </c>
      <c r="AD11" s="48">
        <v>24.2</v>
      </c>
      <c r="AE11" s="48">
        <v>23</v>
      </c>
      <c r="AF11" s="48">
        <v>24</v>
      </c>
      <c r="AG11" s="51">
        <v>60</v>
      </c>
      <c r="AH11" s="52">
        <f>MAX(B11:AF11)</f>
        <v>25.7</v>
      </c>
      <c r="AI11" s="53">
        <f>MIN(B11:AF11)</f>
        <v>21.8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35.700000000000003</v>
      </c>
      <c r="C12" s="56">
        <v>35.799999999999997</v>
      </c>
      <c r="D12" s="56">
        <v>35.299999999999997</v>
      </c>
      <c r="E12" s="56">
        <v>36.299999999999997</v>
      </c>
      <c r="F12" s="56">
        <v>36</v>
      </c>
      <c r="G12" s="56">
        <v>35.5</v>
      </c>
      <c r="H12" s="56">
        <v>36</v>
      </c>
      <c r="I12" s="56">
        <v>35.6</v>
      </c>
      <c r="J12" s="56">
        <v>36</v>
      </c>
      <c r="K12" s="56">
        <v>35.200000000000003</v>
      </c>
      <c r="L12" s="49">
        <v>36.200000000000003</v>
      </c>
      <c r="M12" s="49">
        <v>35.9</v>
      </c>
      <c r="N12" s="49">
        <v>36</v>
      </c>
      <c r="O12" s="49">
        <v>36</v>
      </c>
      <c r="P12" s="49">
        <v>35.6</v>
      </c>
      <c r="Q12" s="49">
        <v>35.9</v>
      </c>
      <c r="R12" s="49">
        <v>35.4</v>
      </c>
      <c r="S12" s="49">
        <v>35.4</v>
      </c>
      <c r="T12" s="49">
        <v>35.299999999999997</v>
      </c>
      <c r="U12" s="49">
        <v>35.9</v>
      </c>
      <c r="V12" s="49">
        <v>35.9</v>
      </c>
      <c r="W12" s="49">
        <v>36</v>
      </c>
      <c r="X12" s="49">
        <v>35.6</v>
      </c>
      <c r="Y12" s="49">
        <v>35.5</v>
      </c>
      <c r="Z12" s="49">
        <v>36</v>
      </c>
      <c r="AA12" s="56">
        <v>35.799999999999997</v>
      </c>
      <c r="AB12" s="56">
        <v>35.700000000000003</v>
      </c>
      <c r="AC12" s="56">
        <v>35.9</v>
      </c>
      <c r="AD12" s="56">
        <v>36</v>
      </c>
      <c r="AE12" s="56">
        <v>35.700000000000003</v>
      </c>
      <c r="AF12" s="56">
        <v>35.700000000000003</v>
      </c>
      <c r="AG12" s="57">
        <v>50</v>
      </c>
      <c r="AH12" s="52">
        <f t="shared" ref="AH12:AH77" si="2">MAX(B12:AF12)</f>
        <v>36.299999999999997</v>
      </c>
      <c r="AI12" s="53">
        <f t="shared" ref="AI12:AI77" si="3">MIN(B12:AF12)</f>
        <v>35.200000000000003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20.399999999999999</v>
      </c>
      <c r="C13" s="56">
        <v>20.5</v>
      </c>
      <c r="D13" s="56">
        <v>19.600000000000001</v>
      </c>
      <c r="E13" s="56">
        <v>18.899999999999999</v>
      </c>
      <c r="F13" s="56">
        <v>19.399999999999999</v>
      </c>
      <c r="G13" s="56">
        <v>18.899999999999999</v>
      </c>
      <c r="H13" s="56">
        <v>18.899999999999999</v>
      </c>
      <c r="I13" s="56">
        <v>18.8</v>
      </c>
      <c r="J13" s="56">
        <v>18.899999999999999</v>
      </c>
      <c r="K13" s="56">
        <v>18.7</v>
      </c>
      <c r="L13" s="49">
        <v>19.3</v>
      </c>
      <c r="M13" s="49">
        <v>18.100000000000001</v>
      </c>
      <c r="N13" s="49">
        <v>18.100000000000001</v>
      </c>
      <c r="O13" s="49">
        <v>18.100000000000001</v>
      </c>
      <c r="P13" s="49">
        <v>18.100000000000001</v>
      </c>
      <c r="Q13" s="49">
        <v>17.100000000000001</v>
      </c>
      <c r="R13" s="49">
        <v>18.2</v>
      </c>
      <c r="S13" s="49">
        <v>18.100000000000001</v>
      </c>
      <c r="T13" s="49">
        <v>17.8</v>
      </c>
      <c r="U13" s="49">
        <v>17.899999999999999</v>
      </c>
      <c r="V13" s="49">
        <v>18.3</v>
      </c>
      <c r="W13" s="49">
        <v>18.2</v>
      </c>
      <c r="X13" s="49">
        <v>17.7</v>
      </c>
      <c r="Y13" s="49">
        <v>17.7</v>
      </c>
      <c r="Z13" s="49">
        <v>17.7</v>
      </c>
      <c r="AA13" s="56">
        <v>17.7</v>
      </c>
      <c r="AB13" s="56">
        <v>18.600000000000001</v>
      </c>
      <c r="AC13" s="56">
        <v>18.600000000000001</v>
      </c>
      <c r="AD13" s="56">
        <v>19.399999999999999</v>
      </c>
      <c r="AE13" s="56">
        <v>18.899999999999999</v>
      </c>
      <c r="AF13" s="56">
        <v>19.399999999999999</v>
      </c>
      <c r="AG13" s="59">
        <v>45</v>
      </c>
      <c r="AH13" s="52">
        <f t="shared" si="2"/>
        <v>20.5</v>
      </c>
      <c r="AI13" s="53">
        <f t="shared" si="3"/>
        <v>17.100000000000001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49">
        <v>16</v>
      </c>
      <c r="C14" s="49">
        <v>16</v>
      </c>
      <c r="D14" s="49">
        <v>16</v>
      </c>
      <c r="E14" s="49">
        <v>16</v>
      </c>
      <c r="F14" s="49">
        <v>16</v>
      </c>
      <c r="G14" s="49">
        <v>16</v>
      </c>
      <c r="H14" s="49">
        <v>16</v>
      </c>
      <c r="I14" s="49">
        <v>16</v>
      </c>
      <c r="J14" s="49">
        <v>16</v>
      </c>
      <c r="K14" s="49">
        <v>16</v>
      </c>
      <c r="L14" s="49">
        <v>16</v>
      </c>
      <c r="M14" s="49">
        <v>16</v>
      </c>
      <c r="N14" s="49">
        <v>16</v>
      </c>
      <c r="O14" s="49">
        <v>16</v>
      </c>
      <c r="P14" s="49">
        <v>16</v>
      </c>
      <c r="Q14" s="49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56">
        <v>16</v>
      </c>
      <c r="AB14" s="56">
        <v>16</v>
      </c>
      <c r="AC14" s="56">
        <v>16</v>
      </c>
      <c r="AD14" s="56">
        <v>16</v>
      </c>
      <c r="AE14" s="56">
        <v>16</v>
      </c>
      <c r="AF14" s="56">
        <v>16</v>
      </c>
      <c r="AG14" s="59">
        <v>25</v>
      </c>
      <c r="AH14" s="52">
        <f t="shared" si="2"/>
        <v>16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49">
        <v>11.3</v>
      </c>
      <c r="C15" s="49">
        <v>11.2</v>
      </c>
      <c r="D15" s="49">
        <v>10</v>
      </c>
      <c r="E15" s="49">
        <v>10.3</v>
      </c>
      <c r="F15" s="49">
        <v>11</v>
      </c>
      <c r="G15" s="49">
        <v>10.8</v>
      </c>
      <c r="H15" s="49">
        <v>10.8</v>
      </c>
      <c r="I15" s="49">
        <v>10.8</v>
      </c>
      <c r="J15" s="49">
        <v>10.8</v>
      </c>
      <c r="K15" s="49">
        <v>11</v>
      </c>
      <c r="L15" s="49">
        <v>11</v>
      </c>
      <c r="M15" s="49">
        <v>11.2</v>
      </c>
      <c r="N15" s="49">
        <v>10.199999999999999</v>
      </c>
      <c r="O15" s="49">
        <v>10.7</v>
      </c>
      <c r="P15" s="49">
        <v>10</v>
      </c>
      <c r="Q15" s="49">
        <v>11.1</v>
      </c>
      <c r="R15" s="49">
        <v>11.1</v>
      </c>
      <c r="S15" s="49">
        <v>10.5</v>
      </c>
      <c r="T15" s="49">
        <v>10.9</v>
      </c>
      <c r="U15" s="49">
        <v>10.9</v>
      </c>
      <c r="V15" s="49">
        <v>11</v>
      </c>
      <c r="W15" s="49">
        <v>10.9</v>
      </c>
      <c r="X15" s="49">
        <v>10.9</v>
      </c>
      <c r="Y15" s="49">
        <v>10.9</v>
      </c>
      <c r="Z15" s="49">
        <v>10.9</v>
      </c>
      <c r="AA15" s="56">
        <v>10.9</v>
      </c>
      <c r="AB15" s="56">
        <v>10.9</v>
      </c>
      <c r="AC15" s="56">
        <v>10.8</v>
      </c>
      <c r="AD15" s="56">
        <v>10.5</v>
      </c>
      <c r="AE15" s="56">
        <v>9.8000000000000007</v>
      </c>
      <c r="AF15" s="56">
        <v>9.8000000000000007</v>
      </c>
      <c r="AG15" s="59">
        <v>25</v>
      </c>
      <c r="AH15" s="52">
        <f t="shared" si="2"/>
        <v>11.3</v>
      </c>
      <c r="AI15" s="53">
        <f t="shared" si="3"/>
        <v>9.8000000000000007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49">
        <v>6.2</v>
      </c>
      <c r="E16" s="49">
        <v>6.2</v>
      </c>
      <c r="F16" s="49">
        <v>6.2</v>
      </c>
      <c r="G16" s="49">
        <v>6.2</v>
      </c>
      <c r="H16" s="49">
        <v>6.2</v>
      </c>
      <c r="I16" s="49">
        <v>6.2</v>
      </c>
      <c r="J16" s="49">
        <v>6.2</v>
      </c>
      <c r="K16" s="49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10.7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10.7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17</v>
      </c>
      <c r="C17" s="56">
        <v>16.600000000000001</v>
      </c>
      <c r="D17" s="56">
        <v>16.3</v>
      </c>
      <c r="E17" s="56">
        <v>16.2</v>
      </c>
      <c r="F17" s="56">
        <v>15.2</v>
      </c>
      <c r="G17" s="56">
        <v>15.1</v>
      </c>
      <c r="H17" s="56">
        <v>15.1</v>
      </c>
      <c r="I17" s="56">
        <v>15.1</v>
      </c>
      <c r="J17" s="56">
        <v>15</v>
      </c>
      <c r="K17" s="56">
        <v>14.8</v>
      </c>
      <c r="L17" s="49">
        <v>15</v>
      </c>
      <c r="M17" s="49">
        <v>15.1</v>
      </c>
      <c r="N17" s="49">
        <v>15</v>
      </c>
      <c r="O17" s="49">
        <v>15.1</v>
      </c>
      <c r="P17" s="49">
        <v>15.3</v>
      </c>
      <c r="Q17" s="49">
        <v>14.7</v>
      </c>
      <c r="R17" s="49">
        <v>14.7</v>
      </c>
      <c r="S17" s="49">
        <v>14.5</v>
      </c>
      <c r="T17" s="49">
        <v>14.4</v>
      </c>
      <c r="U17" s="49">
        <v>14.5</v>
      </c>
      <c r="V17" s="49">
        <v>14.5</v>
      </c>
      <c r="W17" s="49">
        <v>14.7</v>
      </c>
      <c r="X17" s="49">
        <v>15.4</v>
      </c>
      <c r="Y17" s="49">
        <v>14.7</v>
      </c>
      <c r="Z17" s="49">
        <v>15.5</v>
      </c>
      <c r="AA17" s="49">
        <v>15.6</v>
      </c>
      <c r="AB17" s="49">
        <v>15.8</v>
      </c>
      <c r="AC17" s="49">
        <v>15.8</v>
      </c>
      <c r="AD17" s="49">
        <v>16</v>
      </c>
      <c r="AE17" s="49">
        <v>15.3</v>
      </c>
      <c r="AF17" s="49">
        <v>15.3</v>
      </c>
      <c r="AG17" s="59">
        <v>22.1</v>
      </c>
      <c r="AH17" s="52">
        <f t="shared" si="2"/>
        <v>17</v>
      </c>
      <c r="AI17" s="53">
        <f t="shared" si="3"/>
        <v>14.4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10.199999999999999</v>
      </c>
      <c r="C19" s="56">
        <v>10.199999999999999</v>
      </c>
      <c r="D19" s="56">
        <v>9.8000000000000007</v>
      </c>
      <c r="E19" s="56">
        <v>9.5</v>
      </c>
      <c r="F19" s="56">
        <v>8.8000000000000007</v>
      </c>
      <c r="G19" s="56">
        <v>8.8000000000000007</v>
      </c>
      <c r="H19" s="56">
        <v>8.8000000000000007</v>
      </c>
      <c r="I19" s="56">
        <v>9</v>
      </c>
      <c r="J19" s="56">
        <v>9</v>
      </c>
      <c r="K19" s="56">
        <v>8.5</v>
      </c>
      <c r="L19" s="49">
        <v>8.5</v>
      </c>
      <c r="M19" s="49">
        <v>8.6</v>
      </c>
      <c r="N19" s="49">
        <v>8.6</v>
      </c>
      <c r="O19" s="49">
        <v>8.1</v>
      </c>
      <c r="P19" s="49">
        <v>8.1</v>
      </c>
      <c r="Q19" s="49">
        <v>8.1999999999999993</v>
      </c>
      <c r="R19" s="49">
        <v>8.1999999999999993</v>
      </c>
      <c r="S19" s="49">
        <v>7.3</v>
      </c>
      <c r="T19" s="49">
        <v>7</v>
      </c>
      <c r="U19" s="49">
        <v>7.2</v>
      </c>
      <c r="V19" s="49">
        <v>7.2</v>
      </c>
      <c r="W19" s="49">
        <v>8.1999999999999993</v>
      </c>
      <c r="X19" s="49">
        <v>8.1999999999999993</v>
      </c>
      <c r="Y19" s="49">
        <v>8.5</v>
      </c>
      <c r="Z19" s="49">
        <v>8.9</v>
      </c>
      <c r="AA19" s="49">
        <v>8.9</v>
      </c>
      <c r="AB19" s="49">
        <v>10.1</v>
      </c>
      <c r="AC19" s="49">
        <v>10.1</v>
      </c>
      <c r="AD19" s="49">
        <v>10.4</v>
      </c>
      <c r="AE19" s="49">
        <v>10.7</v>
      </c>
      <c r="AF19" s="49">
        <v>10.7</v>
      </c>
      <c r="AG19" s="59">
        <v>22</v>
      </c>
      <c r="AH19" s="52">
        <f t="shared" si="2"/>
        <v>10.7</v>
      </c>
      <c r="AI19" s="53">
        <f t="shared" si="3"/>
        <v>7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7</v>
      </c>
      <c r="C20" s="49">
        <v>7</v>
      </c>
      <c r="D20" s="49">
        <v>7</v>
      </c>
      <c r="E20" s="49">
        <v>7</v>
      </c>
      <c r="F20" s="49">
        <v>7</v>
      </c>
      <c r="G20" s="49">
        <v>7</v>
      </c>
      <c r="H20" s="49">
        <v>7</v>
      </c>
      <c r="I20" s="49">
        <v>7</v>
      </c>
      <c r="J20" s="49">
        <v>7</v>
      </c>
      <c r="K20" s="49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7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3.5</v>
      </c>
      <c r="C21" s="49">
        <v>3.5</v>
      </c>
      <c r="D21" s="49">
        <v>3.5</v>
      </c>
      <c r="E21" s="49">
        <v>3.5</v>
      </c>
      <c r="F21" s="49">
        <v>3.5</v>
      </c>
      <c r="G21" s="49">
        <v>3.5</v>
      </c>
      <c r="H21" s="49">
        <v>3.5</v>
      </c>
      <c r="I21" s="49">
        <v>3.5</v>
      </c>
      <c r="J21" s="49">
        <v>3.5</v>
      </c>
      <c r="K21" s="49">
        <v>3.5</v>
      </c>
      <c r="L21" s="49">
        <v>3.5</v>
      </c>
      <c r="M21" s="49">
        <v>3.5</v>
      </c>
      <c r="N21" s="49">
        <v>3.5</v>
      </c>
      <c r="O21" s="49">
        <v>3.5</v>
      </c>
      <c r="P21" s="49">
        <v>3.5</v>
      </c>
      <c r="Q21" s="49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49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49">
        <v>4</v>
      </c>
      <c r="AC23" s="49">
        <v>4</v>
      </c>
      <c r="AD23" s="49">
        <v>4</v>
      </c>
      <c r="AE23" s="49">
        <v>4</v>
      </c>
      <c r="AF23" s="49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3.5</v>
      </c>
      <c r="AA24" s="56">
        <v>3.5</v>
      </c>
      <c r="AB24" s="49">
        <v>3.5</v>
      </c>
      <c r="AC24" s="49">
        <v>3.5</v>
      </c>
      <c r="AD24" s="49">
        <v>3.5</v>
      </c>
      <c r="AE24" s="49">
        <v>3.5</v>
      </c>
      <c r="AF24" s="49">
        <v>3.5</v>
      </c>
      <c r="AG24" s="59">
        <v>12</v>
      </c>
      <c r="AH24" s="52">
        <f t="shared" si="2"/>
        <v>3.5</v>
      </c>
      <c r="AI24" s="53">
        <f t="shared" si="3"/>
        <v>3.5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49">
        <v>4</v>
      </c>
      <c r="AC26" s="49">
        <v>4</v>
      </c>
      <c r="AD26" s="49">
        <v>4</v>
      </c>
      <c r="AE26" s="49">
        <v>4</v>
      </c>
      <c r="AF26" s="49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42.2</v>
      </c>
      <c r="C29" s="56">
        <v>44.8</v>
      </c>
      <c r="D29" s="56">
        <v>42.9</v>
      </c>
      <c r="E29" s="56">
        <v>39.799999999999997</v>
      </c>
      <c r="F29" s="56">
        <v>39</v>
      </c>
      <c r="G29" s="56">
        <v>40.299999999999997</v>
      </c>
      <c r="H29" s="56">
        <v>41.1</v>
      </c>
      <c r="I29" s="56">
        <v>44.7</v>
      </c>
      <c r="J29" s="56">
        <v>45</v>
      </c>
      <c r="K29" s="56">
        <v>47.7</v>
      </c>
      <c r="L29" s="67">
        <v>46.9</v>
      </c>
      <c r="M29" s="67">
        <v>44.2</v>
      </c>
      <c r="N29" s="67">
        <v>46.8</v>
      </c>
      <c r="O29" s="67">
        <v>56.8</v>
      </c>
      <c r="P29" s="67">
        <v>53.7</v>
      </c>
      <c r="Q29" s="67">
        <v>55.1</v>
      </c>
      <c r="R29" s="67">
        <v>55.1</v>
      </c>
      <c r="S29" s="67">
        <v>50.8</v>
      </c>
      <c r="T29" s="67">
        <v>50.8</v>
      </c>
      <c r="U29" s="67">
        <v>49</v>
      </c>
      <c r="V29" s="67">
        <v>47.8</v>
      </c>
      <c r="W29" s="67">
        <v>45.3</v>
      </c>
      <c r="X29" s="67">
        <v>44.1</v>
      </c>
      <c r="Y29" s="67">
        <v>43</v>
      </c>
      <c r="Z29" s="67">
        <v>42.9</v>
      </c>
      <c r="AA29" s="67">
        <v>43.6</v>
      </c>
      <c r="AB29" s="67">
        <v>44.2</v>
      </c>
      <c r="AC29" s="67">
        <v>41</v>
      </c>
      <c r="AD29" s="67">
        <v>43.1</v>
      </c>
      <c r="AE29" s="56">
        <v>43</v>
      </c>
      <c r="AF29" s="56">
        <v>43</v>
      </c>
      <c r="AG29" s="59">
        <v>240</v>
      </c>
      <c r="AH29" s="52">
        <f t="shared" si="2"/>
        <v>56.8</v>
      </c>
      <c r="AI29" s="53">
        <f t="shared" si="3"/>
        <v>39</v>
      </c>
      <c r="AK29" s="54"/>
    </row>
    <row r="30" spans="1:88" ht="15.75" thickBot="1" x14ac:dyDescent="0.3">
      <c r="A30" s="68" t="s">
        <v>37</v>
      </c>
      <c r="B30" s="69">
        <f>SUM(B11:B28)</f>
        <v>272.39999999999998</v>
      </c>
      <c r="C30" s="69">
        <f t="shared" ref="C30:AF30" si="4">SUM(C11:C28)</f>
        <v>271.60000000000002</v>
      </c>
      <c r="D30" s="69">
        <f t="shared" si="4"/>
        <v>269.8</v>
      </c>
      <c r="E30" s="69">
        <f t="shared" si="4"/>
        <v>269.29999999999995</v>
      </c>
      <c r="F30" s="69">
        <f t="shared" si="4"/>
        <v>268.5</v>
      </c>
      <c r="G30" s="69">
        <f t="shared" si="4"/>
        <v>266.3</v>
      </c>
      <c r="H30" s="69">
        <f t="shared" si="4"/>
        <v>267.60000000000002</v>
      </c>
      <c r="I30" s="69">
        <f t="shared" si="4"/>
        <v>267.3</v>
      </c>
      <c r="J30" s="69">
        <f t="shared" si="4"/>
        <v>267.7</v>
      </c>
      <c r="K30" s="69">
        <f t="shared" si="4"/>
        <v>267</v>
      </c>
      <c r="L30" s="69">
        <f t="shared" si="4"/>
        <v>268.60000000000002</v>
      </c>
      <c r="M30" s="69">
        <f t="shared" si="4"/>
        <v>266.39999999999998</v>
      </c>
      <c r="N30" s="69">
        <f t="shared" si="4"/>
        <v>266.8</v>
      </c>
      <c r="O30" s="69">
        <f t="shared" si="4"/>
        <v>266.79999999999995</v>
      </c>
      <c r="P30" s="69">
        <f t="shared" si="4"/>
        <v>270</v>
      </c>
      <c r="Q30" s="69">
        <f t="shared" si="4"/>
        <v>264.2</v>
      </c>
      <c r="R30" s="69">
        <f t="shared" si="4"/>
        <v>265.79999999999995</v>
      </c>
      <c r="S30" s="69">
        <f t="shared" si="4"/>
        <v>263.5</v>
      </c>
      <c r="T30" s="69">
        <f t="shared" si="4"/>
        <v>262.3</v>
      </c>
      <c r="U30" s="69">
        <f t="shared" si="4"/>
        <v>263.8</v>
      </c>
      <c r="V30" s="69">
        <f>SUM(V11:V28)</f>
        <v>263.60000000000002</v>
      </c>
      <c r="W30" s="69">
        <f t="shared" si="4"/>
        <v>265.8</v>
      </c>
      <c r="X30" s="69">
        <f t="shared" si="4"/>
        <v>262.8</v>
      </c>
      <c r="Y30" s="69">
        <f t="shared" si="4"/>
        <v>264.10000000000002</v>
      </c>
      <c r="Z30" s="69">
        <f t="shared" si="4"/>
        <v>264.89999999999998</v>
      </c>
      <c r="AA30" s="69">
        <f t="shared" si="4"/>
        <v>266.20000000000005</v>
      </c>
      <c r="AB30" s="69">
        <f t="shared" si="4"/>
        <v>269</v>
      </c>
      <c r="AC30" s="69">
        <f t="shared" si="4"/>
        <v>269.20000000000005</v>
      </c>
      <c r="AD30" s="69">
        <f t="shared" si="4"/>
        <v>269.70000000000005</v>
      </c>
      <c r="AE30" s="69">
        <f t="shared" si="4"/>
        <v>266.59999999999997</v>
      </c>
      <c r="AF30" s="69">
        <f t="shared" si="4"/>
        <v>268.09999999999997</v>
      </c>
      <c r="AG30" s="59">
        <f>SUM(AG11:AG29)</f>
        <v>729.2</v>
      </c>
      <c r="AH30" s="52">
        <f t="shared" si="2"/>
        <v>272.39999999999998</v>
      </c>
      <c r="AI30" s="53">
        <f t="shared" si="3"/>
        <v>262.3</v>
      </c>
      <c r="AK30" s="54"/>
    </row>
    <row r="31" spans="1:88" x14ac:dyDescent="0.25">
      <c r="A31" s="55" t="s">
        <v>38</v>
      </c>
      <c r="B31" s="56">
        <v>60.4</v>
      </c>
      <c r="C31" s="56">
        <v>48.4</v>
      </c>
      <c r="D31" s="56">
        <v>49</v>
      </c>
      <c r="E31" s="56">
        <v>48.5</v>
      </c>
      <c r="F31" s="56">
        <v>60.8</v>
      </c>
      <c r="G31" s="56">
        <v>60.7</v>
      </c>
      <c r="H31" s="56">
        <v>61</v>
      </c>
      <c r="I31" s="56">
        <v>61</v>
      </c>
      <c r="J31" s="56">
        <v>70.8</v>
      </c>
      <c r="K31" s="56">
        <v>97.3</v>
      </c>
      <c r="L31" s="49">
        <v>96.9</v>
      </c>
      <c r="M31" s="49">
        <v>68.5</v>
      </c>
      <c r="N31" s="49">
        <v>45.5</v>
      </c>
      <c r="O31" s="49">
        <v>45.5</v>
      </c>
      <c r="P31" s="49">
        <v>45.4</v>
      </c>
      <c r="Q31" s="49">
        <v>93.3</v>
      </c>
      <c r="R31" s="49">
        <v>96.9</v>
      </c>
      <c r="S31" s="49">
        <v>91</v>
      </c>
      <c r="T31" s="49">
        <v>90.9</v>
      </c>
      <c r="U31" s="49">
        <v>131.9</v>
      </c>
      <c r="V31" s="49">
        <v>90.6</v>
      </c>
      <c r="W31" s="49">
        <v>91</v>
      </c>
      <c r="X31" s="49">
        <v>97</v>
      </c>
      <c r="Y31" s="49">
        <v>97.1</v>
      </c>
      <c r="Z31" s="49">
        <v>97</v>
      </c>
      <c r="AA31" s="48">
        <v>97</v>
      </c>
      <c r="AB31" s="48">
        <v>97.1</v>
      </c>
      <c r="AC31" s="48">
        <v>97.1</v>
      </c>
      <c r="AD31" s="48">
        <v>97</v>
      </c>
      <c r="AE31" s="48">
        <v>97.1</v>
      </c>
      <c r="AF31" s="48">
        <v>60.3</v>
      </c>
      <c r="AG31" s="57">
        <v>144</v>
      </c>
      <c r="AH31" s="52">
        <f t="shared" si="2"/>
        <v>131.9</v>
      </c>
      <c r="AI31" s="53">
        <f t="shared" si="3"/>
        <v>45.4</v>
      </c>
      <c r="AK31" s="54"/>
    </row>
    <row r="32" spans="1:88" x14ac:dyDescent="0.25">
      <c r="A32" s="58" t="s">
        <v>39</v>
      </c>
      <c r="B32" s="56">
        <v>0</v>
      </c>
      <c r="C32" s="56">
        <v>0</v>
      </c>
      <c r="D32" s="56">
        <v>0</v>
      </c>
      <c r="E32" s="56">
        <v>0</v>
      </c>
      <c r="F32" s="56">
        <v>22</v>
      </c>
      <c r="G32" s="56">
        <v>22</v>
      </c>
      <c r="H32" s="56">
        <v>21.8</v>
      </c>
      <c r="I32" s="56">
        <v>26</v>
      </c>
      <c r="J32" s="56">
        <v>34.6</v>
      </c>
      <c r="K32" s="56">
        <v>50.4</v>
      </c>
      <c r="L32" s="70">
        <v>54.1</v>
      </c>
      <c r="M32" s="70">
        <v>65</v>
      </c>
      <c r="N32" s="70">
        <v>64.599999999999994</v>
      </c>
      <c r="O32" s="70">
        <v>55.8</v>
      </c>
      <c r="P32" s="70">
        <v>65.5</v>
      </c>
      <c r="Q32" s="70">
        <v>39.6</v>
      </c>
      <c r="R32" s="70">
        <v>34.6</v>
      </c>
      <c r="S32" s="70">
        <v>25.3</v>
      </c>
      <c r="T32" s="70">
        <v>25</v>
      </c>
      <c r="U32" s="70">
        <v>34.799999999999997</v>
      </c>
      <c r="V32" s="70">
        <v>34.799999999999997</v>
      </c>
      <c r="W32" s="70">
        <v>34.799999999999997</v>
      </c>
      <c r="X32" s="70">
        <v>70</v>
      </c>
      <c r="Y32" s="70">
        <v>69.2</v>
      </c>
      <c r="Z32" s="70">
        <v>70</v>
      </c>
      <c r="AA32" s="56">
        <v>70.599999999999994</v>
      </c>
      <c r="AB32" s="56">
        <v>60.2</v>
      </c>
      <c r="AC32" s="56">
        <v>44.1</v>
      </c>
      <c r="AD32" s="56">
        <v>23</v>
      </c>
      <c r="AE32" s="56">
        <v>25.7</v>
      </c>
      <c r="AF32" s="56">
        <v>23.1</v>
      </c>
      <c r="AG32" s="59">
        <v>70</v>
      </c>
      <c r="AH32" s="52">
        <f t="shared" si="2"/>
        <v>70.599999999999994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32.799999999999997</v>
      </c>
      <c r="C33" s="56">
        <v>32.9</v>
      </c>
      <c r="D33" s="56">
        <v>34.700000000000003</v>
      </c>
      <c r="E33" s="56">
        <v>34.9</v>
      </c>
      <c r="F33" s="56">
        <v>35</v>
      </c>
      <c r="G33" s="56">
        <v>35</v>
      </c>
      <c r="H33" s="56">
        <v>35.299999999999997</v>
      </c>
      <c r="I33" s="56">
        <v>35.4</v>
      </c>
      <c r="J33" s="56">
        <v>43.2</v>
      </c>
      <c r="K33" s="56">
        <v>43.3</v>
      </c>
      <c r="L33" s="70">
        <v>43.1</v>
      </c>
      <c r="M33" s="70">
        <v>37.5</v>
      </c>
      <c r="N33" s="70">
        <v>42.2</v>
      </c>
      <c r="O33" s="70">
        <v>37.9</v>
      </c>
      <c r="P33" s="70">
        <v>37.200000000000003</v>
      </c>
      <c r="Q33" s="70">
        <v>21.7</v>
      </c>
      <c r="R33" s="70">
        <v>22.2</v>
      </c>
      <c r="S33" s="70">
        <v>22.1</v>
      </c>
      <c r="T33" s="70">
        <v>22.8</v>
      </c>
      <c r="U33" s="70">
        <v>67.3</v>
      </c>
      <c r="V33" s="70">
        <v>61.3</v>
      </c>
      <c r="W33" s="70">
        <v>61.8</v>
      </c>
      <c r="X33" s="70">
        <v>61.4</v>
      </c>
      <c r="Y33" s="70">
        <v>67</v>
      </c>
      <c r="Z33" s="70">
        <v>66.599999999999994</v>
      </c>
      <c r="AA33" s="56">
        <v>66.5</v>
      </c>
      <c r="AB33" s="56">
        <v>66.5</v>
      </c>
      <c r="AC33" s="56">
        <v>66.5</v>
      </c>
      <c r="AD33" s="56">
        <v>33.799999999999997</v>
      </c>
      <c r="AE33" s="56">
        <v>33.700000000000003</v>
      </c>
      <c r="AF33" s="56">
        <v>33.9</v>
      </c>
      <c r="AG33" s="59">
        <v>69</v>
      </c>
      <c r="AH33" s="52">
        <f t="shared" si="2"/>
        <v>67.3</v>
      </c>
      <c r="AI33" s="53">
        <f t="shared" si="3"/>
        <v>21.7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28.7</v>
      </c>
      <c r="F34" s="56">
        <v>28.5</v>
      </c>
      <c r="G34" s="56">
        <v>28.5</v>
      </c>
      <c r="H34" s="56">
        <v>28.5</v>
      </c>
      <c r="I34" s="56">
        <v>28.5</v>
      </c>
      <c r="J34" s="56">
        <v>28.5</v>
      </c>
      <c r="K34" s="56">
        <v>28.5</v>
      </c>
      <c r="L34" s="70">
        <v>28.5</v>
      </c>
      <c r="M34" s="70">
        <v>28.5</v>
      </c>
      <c r="N34" s="70">
        <v>28.5</v>
      </c>
      <c r="O34" s="70">
        <v>28.5</v>
      </c>
      <c r="P34" s="70">
        <v>28.5</v>
      </c>
      <c r="Q34" s="70">
        <v>28.5</v>
      </c>
      <c r="R34" s="70">
        <v>28.6</v>
      </c>
      <c r="S34" s="70">
        <v>28.5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28.5</v>
      </c>
      <c r="AK34" s="54"/>
    </row>
    <row r="35" spans="1:41" x14ac:dyDescent="0.25">
      <c r="A35" s="58" t="s">
        <v>42</v>
      </c>
      <c r="B35" s="56">
        <v>9.8000000000000007</v>
      </c>
      <c r="C35" s="56">
        <v>10.4</v>
      </c>
      <c r="D35" s="56">
        <v>9.9</v>
      </c>
      <c r="E35" s="56">
        <v>10</v>
      </c>
      <c r="F35" s="56">
        <v>13.2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49">
        <v>0</v>
      </c>
      <c r="M35" s="49">
        <v>15</v>
      </c>
      <c r="N35" s="49">
        <v>29.7</v>
      </c>
      <c r="O35" s="49">
        <v>10</v>
      </c>
      <c r="P35" s="49">
        <v>29.6</v>
      </c>
      <c r="Q35" s="49">
        <v>28.5</v>
      </c>
      <c r="R35" s="49">
        <v>20</v>
      </c>
      <c r="S35" s="49">
        <v>10</v>
      </c>
      <c r="T35" s="49">
        <v>10.199999999999999</v>
      </c>
      <c r="U35" s="49">
        <v>10.5</v>
      </c>
      <c r="V35" s="49">
        <v>10.5</v>
      </c>
      <c r="W35" s="70">
        <v>10.1</v>
      </c>
      <c r="X35" s="70">
        <v>10</v>
      </c>
      <c r="Y35" s="70">
        <v>10.7</v>
      </c>
      <c r="Z35" s="70">
        <v>26</v>
      </c>
      <c r="AA35" s="56">
        <v>29.4</v>
      </c>
      <c r="AB35" s="56">
        <v>24</v>
      </c>
      <c r="AC35" s="56">
        <v>24</v>
      </c>
      <c r="AD35" s="56">
        <v>20</v>
      </c>
      <c r="AE35" s="56">
        <v>10</v>
      </c>
      <c r="AF35" s="56">
        <v>10</v>
      </c>
      <c r="AG35" s="59">
        <v>30</v>
      </c>
      <c r="AH35" s="52">
        <f t="shared" si="2"/>
        <v>29.7</v>
      </c>
      <c r="AI35" s="53">
        <f t="shared" si="3"/>
        <v>0</v>
      </c>
      <c r="AK35" s="54"/>
    </row>
    <row r="36" spans="1:41" x14ac:dyDescent="0.25">
      <c r="A36" s="58" t="s">
        <v>43</v>
      </c>
      <c r="B36" s="71">
        <v>15.2</v>
      </c>
      <c r="C36" s="71">
        <v>15.1</v>
      </c>
      <c r="D36" s="71">
        <v>15.1</v>
      </c>
      <c r="E36" s="71">
        <v>15.1</v>
      </c>
      <c r="F36" s="71">
        <v>15.1</v>
      </c>
      <c r="G36" s="71">
        <v>15.1</v>
      </c>
      <c r="H36" s="71">
        <v>15.1</v>
      </c>
      <c r="I36" s="71">
        <v>15.2</v>
      </c>
      <c r="J36" s="71">
        <v>16.100000000000001</v>
      </c>
      <c r="K36" s="71">
        <v>16</v>
      </c>
      <c r="L36" s="49">
        <v>16</v>
      </c>
      <c r="M36" s="49">
        <v>16</v>
      </c>
      <c r="N36" s="49">
        <v>16</v>
      </c>
      <c r="O36" s="49">
        <v>15.9</v>
      </c>
      <c r="P36" s="49">
        <v>16</v>
      </c>
      <c r="Q36" s="49">
        <v>16</v>
      </c>
      <c r="R36" s="49">
        <v>16</v>
      </c>
      <c r="S36" s="49">
        <v>15.8</v>
      </c>
      <c r="T36" s="49">
        <v>12.4</v>
      </c>
      <c r="U36" s="49">
        <v>16.5</v>
      </c>
      <c r="V36" s="49">
        <v>16.5</v>
      </c>
      <c r="W36" s="49">
        <v>16</v>
      </c>
      <c r="X36" s="49">
        <v>16.100000000000001</v>
      </c>
      <c r="Y36" s="49">
        <v>16.100000000000001</v>
      </c>
      <c r="Z36" s="49">
        <v>16</v>
      </c>
      <c r="AA36" s="56">
        <v>16</v>
      </c>
      <c r="AB36" s="56">
        <v>15.9</v>
      </c>
      <c r="AC36" s="56">
        <v>15.9</v>
      </c>
      <c r="AD36" s="56">
        <v>15.8</v>
      </c>
      <c r="AE36" s="56">
        <v>15.7</v>
      </c>
      <c r="AF36" s="56">
        <v>15.7</v>
      </c>
      <c r="AG36" s="59">
        <v>24</v>
      </c>
      <c r="AH36" s="52">
        <f t="shared" si="2"/>
        <v>16.5</v>
      </c>
      <c r="AI36" s="53">
        <f t="shared" si="3"/>
        <v>12.4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49">
        <v>3.9</v>
      </c>
      <c r="M39" s="49">
        <v>3.9</v>
      </c>
      <c r="N39" s="49">
        <v>3.9</v>
      </c>
      <c r="O39" s="49">
        <v>3.9</v>
      </c>
      <c r="P39" s="49">
        <v>3.9</v>
      </c>
      <c r="Q39" s="49">
        <v>3.9</v>
      </c>
      <c r="R39" s="49">
        <v>3.9</v>
      </c>
      <c r="S39" s="49">
        <v>3.9</v>
      </c>
      <c r="T39" s="49">
        <v>3.9</v>
      </c>
      <c r="U39" s="49">
        <v>3.9</v>
      </c>
      <c r="V39" s="49">
        <v>3.9</v>
      </c>
      <c r="W39" s="49">
        <v>3.9</v>
      </c>
      <c r="X39" s="49">
        <v>3.9</v>
      </c>
      <c r="Y39" s="49">
        <v>3.9</v>
      </c>
      <c r="Z39" s="49">
        <v>3.9</v>
      </c>
      <c r="AA39" s="56">
        <v>3.9</v>
      </c>
      <c r="AB39" s="56">
        <v>3.9</v>
      </c>
      <c r="AC39" s="56">
        <v>3.9</v>
      </c>
      <c r="AD39" s="56">
        <v>3.9</v>
      </c>
      <c r="AE39" s="56">
        <v>3.9</v>
      </c>
      <c r="AF39" s="56">
        <v>3.9</v>
      </c>
      <c r="AG39" s="59">
        <v>14</v>
      </c>
      <c r="AH39" s="52">
        <f t="shared" si="2"/>
        <v>3.9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3.6</v>
      </c>
      <c r="C40" s="56">
        <v>4.0999999999999996</v>
      </c>
      <c r="D40" s="56">
        <v>4.4000000000000004</v>
      </c>
      <c r="E40" s="56">
        <v>4.4000000000000004</v>
      </c>
      <c r="F40" s="56">
        <v>4.4000000000000004</v>
      </c>
      <c r="G40" s="56">
        <v>4.3</v>
      </c>
      <c r="H40" s="56">
        <v>4.3</v>
      </c>
      <c r="I40" s="56">
        <v>4.3</v>
      </c>
      <c r="J40" s="56">
        <v>4.3</v>
      </c>
      <c r="K40" s="56">
        <v>4.3</v>
      </c>
      <c r="L40" s="49">
        <v>3.8</v>
      </c>
      <c r="M40" s="49">
        <v>3.8</v>
      </c>
      <c r="N40" s="49">
        <v>3.8</v>
      </c>
      <c r="O40" s="49">
        <v>3.8</v>
      </c>
      <c r="P40" s="49">
        <v>3.8</v>
      </c>
      <c r="Q40" s="49">
        <v>3.8</v>
      </c>
      <c r="R40" s="49">
        <v>3.8</v>
      </c>
      <c r="S40" s="49">
        <v>4</v>
      </c>
      <c r="T40" s="49">
        <v>3.8</v>
      </c>
      <c r="U40" s="49">
        <v>3.8</v>
      </c>
      <c r="V40" s="49">
        <v>3.8</v>
      </c>
      <c r="W40" s="49">
        <v>3.5</v>
      </c>
      <c r="X40" s="49">
        <v>3.5</v>
      </c>
      <c r="Y40" s="49">
        <v>3.5</v>
      </c>
      <c r="Z40" s="49">
        <v>3.5</v>
      </c>
      <c r="AA40" s="56">
        <v>3.5</v>
      </c>
      <c r="AB40" s="56">
        <v>3.5</v>
      </c>
      <c r="AC40" s="56">
        <v>3.5</v>
      </c>
      <c r="AD40" s="56">
        <v>3.5</v>
      </c>
      <c r="AE40" s="56">
        <v>3.5</v>
      </c>
      <c r="AF40" s="56">
        <v>3.5</v>
      </c>
      <c r="AG40" s="59">
        <v>10.050000000000001</v>
      </c>
      <c r="AH40" s="52">
        <f t="shared" si="2"/>
        <v>4.4000000000000004</v>
      </c>
      <c r="AI40" s="53">
        <f t="shared" si="3"/>
        <v>3.5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2.5</v>
      </c>
      <c r="S41" s="49">
        <v>2.5</v>
      </c>
      <c r="T41" s="49">
        <v>2.5</v>
      </c>
      <c r="U41" s="49">
        <v>2.5</v>
      </c>
      <c r="V41" s="49">
        <v>2.5</v>
      </c>
      <c r="W41" s="49">
        <v>2.5</v>
      </c>
      <c r="X41" s="49">
        <v>2.5</v>
      </c>
      <c r="Y41" s="49">
        <v>2.5</v>
      </c>
      <c r="Z41" s="49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170.43999999999997</v>
      </c>
      <c r="C43" s="69">
        <f t="shared" si="6"/>
        <v>159.54</v>
      </c>
      <c r="D43" s="69">
        <f t="shared" si="6"/>
        <v>161.74</v>
      </c>
      <c r="E43" s="69">
        <f t="shared" si="6"/>
        <v>161.54000000000002</v>
      </c>
      <c r="F43" s="69">
        <f t="shared" si="6"/>
        <v>198.94</v>
      </c>
      <c r="G43" s="69">
        <f t="shared" si="6"/>
        <v>185.54</v>
      </c>
      <c r="H43" s="69">
        <f t="shared" si="6"/>
        <v>185.94</v>
      </c>
      <c r="I43" s="69">
        <f t="shared" si="6"/>
        <v>190.34</v>
      </c>
      <c r="J43" s="69">
        <f t="shared" si="6"/>
        <v>217.44000000000003</v>
      </c>
      <c r="K43" s="69">
        <f t="shared" si="6"/>
        <v>259.74000000000007</v>
      </c>
      <c r="L43" s="69">
        <f t="shared" si="6"/>
        <v>262.34000000000003</v>
      </c>
      <c r="M43" s="69">
        <f t="shared" si="6"/>
        <v>254.24</v>
      </c>
      <c r="N43" s="69">
        <f t="shared" si="6"/>
        <v>250.24</v>
      </c>
      <c r="O43" s="69">
        <f t="shared" si="6"/>
        <v>217.34</v>
      </c>
      <c r="P43" s="69">
        <f t="shared" si="6"/>
        <v>245.94000000000003</v>
      </c>
      <c r="Q43" s="69">
        <f t="shared" si="6"/>
        <v>251.34</v>
      </c>
      <c r="R43" s="69">
        <f t="shared" si="6"/>
        <v>242.04</v>
      </c>
      <c r="S43" s="69">
        <f t="shared" si="6"/>
        <v>216.64000000000001</v>
      </c>
      <c r="T43" s="69">
        <f t="shared" si="6"/>
        <v>213.54000000000002</v>
      </c>
      <c r="U43" s="69">
        <f t="shared" si="6"/>
        <v>313.24</v>
      </c>
      <c r="V43" s="69">
        <f t="shared" si="6"/>
        <v>265.94</v>
      </c>
      <c r="W43" s="69">
        <f t="shared" si="6"/>
        <v>265.64</v>
      </c>
      <c r="X43" s="69">
        <f t="shared" si="6"/>
        <v>306.44</v>
      </c>
      <c r="Y43" s="69">
        <f t="shared" si="6"/>
        <v>312.04000000000002</v>
      </c>
      <c r="Z43" s="69">
        <f t="shared" si="6"/>
        <v>327.54000000000002</v>
      </c>
      <c r="AA43" s="69">
        <f t="shared" si="6"/>
        <v>331.44</v>
      </c>
      <c r="AB43" s="69">
        <f t="shared" si="6"/>
        <v>315.64</v>
      </c>
      <c r="AC43" s="69">
        <f t="shared" si="6"/>
        <v>299.53999999999996</v>
      </c>
      <c r="AD43" s="69">
        <f t="shared" si="6"/>
        <v>241.54000000000002</v>
      </c>
      <c r="AE43" s="69">
        <f t="shared" si="6"/>
        <v>234.14</v>
      </c>
      <c r="AF43" s="69">
        <f t="shared" si="6"/>
        <v>194.94</v>
      </c>
      <c r="AG43" s="74">
        <f>SUM(AG31:AG42)</f>
        <v>464.91</v>
      </c>
      <c r="AH43" s="52">
        <f t="shared" si="2"/>
        <v>331.44</v>
      </c>
      <c r="AI43" s="53">
        <f t="shared" si="3"/>
        <v>159.54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14</v>
      </c>
      <c r="Y44" s="49">
        <v>29.7</v>
      </c>
      <c r="Z44" s="49">
        <v>38.700000000000003</v>
      </c>
      <c r="AA44" s="49">
        <v>49.3</v>
      </c>
      <c r="AB44" s="49">
        <v>39.6</v>
      </c>
      <c r="AC44" s="49">
        <v>29.2</v>
      </c>
      <c r="AD44" s="49">
        <v>13.9</v>
      </c>
      <c r="AE44" s="49">
        <v>14.2</v>
      </c>
      <c r="AF44" s="49">
        <v>14.2</v>
      </c>
      <c r="AG44" s="57">
        <v>60</v>
      </c>
      <c r="AH44" s="52">
        <f t="shared" si="2"/>
        <v>49.3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70">
        <v>0</v>
      </c>
      <c r="V45" s="70">
        <v>0</v>
      </c>
      <c r="W45" s="70">
        <v>0</v>
      </c>
      <c r="X45" s="70">
        <v>0</v>
      </c>
      <c r="Y45" s="70">
        <v>5.3</v>
      </c>
      <c r="Z45" s="70">
        <v>18.7</v>
      </c>
      <c r="AA45" s="70">
        <v>23.1</v>
      </c>
      <c r="AB45" s="70">
        <v>18</v>
      </c>
      <c r="AC45" s="70">
        <v>15.7</v>
      </c>
      <c r="AD45" s="70">
        <v>6.5</v>
      </c>
      <c r="AE45" s="70">
        <v>6.5</v>
      </c>
      <c r="AF45" s="70">
        <v>6.2</v>
      </c>
      <c r="AG45" s="59">
        <v>32</v>
      </c>
      <c r="AH45" s="52">
        <f t="shared" si="2"/>
        <v>23.1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77">
        <v>0</v>
      </c>
      <c r="V46" s="77">
        <v>0</v>
      </c>
      <c r="W46" s="77">
        <v>0</v>
      </c>
      <c r="X46" s="77">
        <v>0</v>
      </c>
      <c r="Y46" s="77">
        <v>1.9</v>
      </c>
      <c r="Z46" s="77">
        <v>6.8</v>
      </c>
      <c r="AA46" s="77">
        <v>8.4</v>
      </c>
      <c r="AB46" s="77">
        <v>6.6</v>
      </c>
      <c r="AC46" s="77">
        <v>5.7</v>
      </c>
      <c r="AD46" s="77">
        <v>2.4</v>
      </c>
      <c r="AE46" s="77">
        <v>2.4</v>
      </c>
      <c r="AF46" s="77">
        <v>2.2000000000000002</v>
      </c>
      <c r="AG46" s="78">
        <v>14</v>
      </c>
      <c r="AH46" s="52">
        <f t="shared" si="2"/>
        <v>8.4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14</v>
      </c>
      <c r="Y47" s="69">
        <f t="shared" si="7"/>
        <v>36.9</v>
      </c>
      <c r="Z47" s="69">
        <f t="shared" si="7"/>
        <v>64.2</v>
      </c>
      <c r="AA47" s="69">
        <f t="shared" si="7"/>
        <v>80.800000000000011</v>
      </c>
      <c r="AB47" s="69">
        <f t="shared" si="7"/>
        <v>64.2</v>
      </c>
      <c r="AC47" s="69">
        <f t="shared" si="7"/>
        <v>50.6</v>
      </c>
      <c r="AD47" s="69">
        <f t="shared" si="7"/>
        <v>22.799999999999997</v>
      </c>
      <c r="AE47" s="69">
        <f t="shared" si="7"/>
        <v>23.099999999999998</v>
      </c>
      <c r="AF47" s="69">
        <f t="shared" si="7"/>
        <v>22.599999999999998</v>
      </c>
      <c r="AG47" s="74">
        <f>SUM(AG44:AG46)</f>
        <v>106</v>
      </c>
      <c r="AH47" s="52">
        <f t="shared" si="2"/>
        <v>80.800000000000011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73.599999999999994</v>
      </c>
      <c r="C48" s="49">
        <v>72.3</v>
      </c>
      <c r="D48" s="49">
        <v>65.83</v>
      </c>
      <c r="E48" s="49">
        <v>62.7</v>
      </c>
      <c r="F48" s="49">
        <v>56.94</v>
      </c>
      <c r="G48" s="49">
        <v>67</v>
      </c>
      <c r="H48" s="49">
        <v>64.45</v>
      </c>
      <c r="I48" s="49">
        <v>59.24</v>
      </c>
      <c r="J48" s="49">
        <v>57.1</v>
      </c>
      <c r="K48" s="49">
        <v>63.83</v>
      </c>
      <c r="L48" s="49">
        <v>64.959999999999994</v>
      </c>
      <c r="M48" s="49">
        <v>44.89</v>
      </c>
      <c r="N48" s="49">
        <v>78.7</v>
      </c>
      <c r="O48" s="49">
        <v>70.67</v>
      </c>
      <c r="P48" s="49">
        <v>73.03</v>
      </c>
      <c r="Q48" s="49">
        <v>59.07</v>
      </c>
      <c r="R48" s="49">
        <v>72.2</v>
      </c>
      <c r="S48" s="49">
        <v>69.33</v>
      </c>
      <c r="T48" s="49">
        <v>63.42</v>
      </c>
      <c r="U48" s="49">
        <v>57.74</v>
      </c>
      <c r="V48" s="49">
        <v>59.1</v>
      </c>
      <c r="W48" s="49">
        <v>58.3</v>
      </c>
      <c r="X48" s="49">
        <v>55.91</v>
      </c>
      <c r="Y48" s="49">
        <v>53.69</v>
      </c>
      <c r="Z48" s="49">
        <v>63.15</v>
      </c>
      <c r="AA48" s="49">
        <v>70.09</v>
      </c>
      <c r="AB48" s="49">
        <v>75.900000000000006</v>
      </c>
      <c r="AC48" s="49">
        <v>74.38</v>
      </c>
      <c r="AD48" s="49">
        <v>73.8</v>
      </c>
      <c r="AE48" s="49">
        <v>77.239999999999995</v>
      </c>
      <c r="AF48" s="49">
        <v>74.099999999999994</v>
      </c>
      <c r="AG48" s="57"/>
      <c r="AH48" s="52">
        <f t="shared" si="2"/>
        <v>78.7</v>
      </c>
      <c r="AI48" s="53">
        <f t="shared" si="3"/>
        <v>44.89</v>
      </c>
      <c r="AK48" s="54"/>
    </row>
    <row r="49" spans="1:37" x14ac:dyDescent="0.25">
      <c r="A49" s="58" t="s">
        <v>56</v>
      </c>
      <c r="B49" s="70">
        <v>87.1</v>
      </c>
      <c r="C49" s="70">
        <v>83.9</v>
      </c>
      <c r="D49" s="70">
        <f>80.5</f>
        <v>80.5</v>
      </c>
      <c r="E49" s="70">
        <v>78.3</v>
      </c>
      <c r="F49" s="70">
        <v>75.599999999999994</v>
      </c>
      <c r="G49" s="70">
        <v>80.7</v>
      </c>
      <c r="H49" s="70">
        <v>80</v>
      </c>
      <c r="I49" s="70">
        <v>86.1</v>
      </c>
      <c r="J49" s="70">
        <v>87.6</v>
      </c>
      <c r="K49" s="70">
        <v>33.9</v>
      </c>
      <c r="L49" s="49">
        <v>36.1</v>
      </c>
      <c r="M49" s="49">
        <v>37.6</v>
      </c>
      <c r="N49" s="49">
        <v>103</v>
      </c>
      <c r="O49" s="49">
        <v>97</v>
      </c>
      <c r="P49" s="49">
        <v>84</v>
      </c>
      <c r="Q49" s="49">
        <v>32.4</v>
      </c>
      <c r="R49" s="49">
        <v>36.9</v>
      </c>
      <c r="S49" s="49">
        <v>36.799999999999997</v>
      </c>
      <c r="T49" s="49">
        <v>34.4</v>
      </c>
      <c r="U49" s="79">
        <v>0</v>
      </c>
      <c r="V49" s="79">
        <v>0</v>
      </c>
      <c r="W49" s="79">
        <v>0</v>
      </c>
      <c r="X49" s="79">
        <v>0</v>
      </c>
      <c r="Y49" s="79">
        <v>36.5</v>
      </c>
      <c r="Z49" s="79">
        <v>113</v>
      </c>
      <c r="AA49" s="70">
        <v>109</v>
      </c>
      <c r="AB49" s="70">
        <v>110</v>
      </c>
      <c r="AC49" s="70">
        <v>110</v>
      </c>
      <c r="AD49" s="70">
        <v>103</v>
      </c>
      <c r="AE49" s="70">
        <v>91.9</v>
      </c>
      <c r="AF49" s="70">
        <v>93.5</v>
      </c>
      <c r="AG49" s="59"/>
      <c r="AH49" s="52">
        <f t="shared" si="2"/>
        <v>113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300</v>
      </c>
      <c r="C50" s="70">
        <v>290</v>
      </c>
      <c r="D50" s="70">
        <v>291</v>
      </c>
      <c r="E50" s="70">
        <v>279.60000000000002</v>
      </c>
      <c r="F50" s="70">
        <v>270</v>
      </c>
      <c r="G50" s="49">
        <v>280</v>
      </c>
      <c r="H50" s="49">
        <v>282</v>
      </c>
      <c r="I50" s="49">
        <v>360</v>
      </c>
      <c r="J50" s="49">
        <v>312</v>
      </c>
      <c r="K50" s="49">
        <v>350</v>
      </c>
      <c r="L50" s="70">
        <f>179+182</f>
        <v>361</v>
      </c>
      <c r="M50" s="70">
        <f>211+211</f>
        <v>422</v>
      </c>
      <c r="N50" s="70">
        <f>163+164</f>
        <v>327</v>
      </c>
      <c r="O50" s="70">
        <f>170+169</f>
        <v>339</v>
      </c>
      <c r="P50" s="70">
        <f>155+154</f>
        <v>309</v>
      </c>
      <c r="Q50" s="70">
        <f>172+171</f>
        <v>343</v>
      </c>
      <c r="R50" s="70">
        <v>352</v>
      </c>
      <c r="S50" s="70">
        <v>353.5</v>
      </c>
      <c r="T50" s="70">
        <v>352</v>
      </c>
      <c r="U50" s="80">
        <v>325</v>
      </c>
      <c r="V50" s="80">
        <v>348.6</v>
      </c>
      <c r="W50" s="80">
        <v>350</v>
      </c>
      <c r="X50" s="80">
        <v>338</v>
      </c>
      <c r="Y50" s="80">
        <v>380</v>
      </c>
      <c r="Z50" s="80">
        <v>354</v>
      </c>
      <c r="AA50" s="70">
        <v>330</v>
      </c>
      <c r="AB50" s="70">
        <v>335</v>
      </c>
      <c r="AC50" s="70">
        <v>342</v>
      </c>
      <c r="AD50" s="70">
        <v>346</v>
      </c>
      <c r="AE50" s="70">
        <v>290</v>
      </c>
      <c r="AF50" s="70">
        <v>309</v>
      </c>
      <c r="AG50" s="81"/>
      <c r="AH50" s="52">
        <f t="shared" si="2"/>
        <v>422</v>
      </c>
      <c r="AI50" s="53">
        <f t="shared" si="3"/>
        <v>270</v>
      </c>
      <c r="AK50" s="54"/>
    </row>
    <row r="51" spans="1:37" x14ac:dyDescent="0.25">
      <c r="A51" s="58" t="s">
        <v>58</v>
      </c>
      <c r="B51" s="82">
        <v>20</v>
      </c>
      <c r="C51" s="82">
        <v>21.2</v>
      </c>
      <c r="D51" s="82">
        <v>19</v>
      </c>
      <c r="E51" s="82">
        <v>18</v>
      </c>
      <c r="F51" s="82">
        <v>21</v>
      </c>
      <c r="G51" s="82">
        <v>12</v>
      </c>
      <c r="H51" s="82">
        <v>12</v>
      </c>
      <c r="I51" s="82">
        <v>12</v>
      </c>
      <c r="J51" s="82">
        <v>12</v>
      </c>
      <c r="K51" s="82">
        <v>12</v>
      </c>
      <c r="L51" s="70">
        <v>10</v>
      </c>
      <c r="M51" s="70">
        <v>10</v>
      </c>
      <c r="N51" s="70">
        <v>10</v>
      </c>
      <c r="O51" s="70">
        <v>10</v>
      </c>
      <c r="P51" s="70">
        <v>10</v>
      </c>
      <c r="Q51" s="70">
        <v>9</v>
      </c>
      <c r="R51" s="70">
        <v>10</v>
      </c>
      <c r="S51" s="70">
        <v>12</v>
      </c>
      <c r="T51" s="70">
        <v>12</v>
      </c>
      <c r="U51" s="70">
        <v>12</v>
      </c>
      <c r="V51" s="70">
        <v>12</v>
      </c>
      <c r="W51" s="70">
        <v>12</v>
      </c>
      <c r="X51" s="70">
        <v>12</v>
      </c>
      <c r="Y51" s="70">
        <v>12</v>
      </c>
      <c r="Z51" s="70">
        <v>12</v>
      </c>
      <c r="AA51" s="82">
        <v>12</v>
      </c>
      <c r="AB51" s="82">
        <v>12</v>
      </c>
      <c r="AC51" s="82">
        <v>12</v>
      </c>
      <c r="AD51" s="82">
        <v>12</v>
      </c>
      <c r="AE51" s="82">
        <v>12</v>
      </c>
      <c r="AF51" s="82">
        <v>12</v>
      </c>
      <c r="AG51" s="81"/>
      <c r="AH51" s="52">
        <f t="shared" si="2"/>
        <v>21.2</v>
      </c>
      <c r="AI51" s="53">
        <f t="shared" si="3"/>
        <v>9</v>
      </c>
      <c r="AK51" s="1"/>
    </row>
    <row r="52" spans="1:37" x14ac:dyDescent="0.25">
      <c r="A52" s="58" t="s">
        <v>59</v>
      </c>
      <c r="B52" s="82">
        <v>58.7</v>
      </c>
      <c r="C52" s="82">
        <v>56.7</v>
      </c>
      <c r="D52" s="82">
        <v>56</v>
      </c>
      <c r="E52" s="82">
        <v>54.9</v>
      </c>
      <c r="F52" s="82">
        <v>54</v>
      </c>
      <c r="G52" s="82">
        <v>51</v>
      </c>
      <c r="H52" s="82">
        <v>50</v>
      </c>
      <c r="I52" s="82">
        <v>47.8</v>
      </c>
      <c r="J52" s="82">
        <v>46.9</v>
      </c>
      <c r="K52" s="82">
        <v>48.6</v>
      </c>
      <c r="L52" s="49">
        <v>49.4</v>
      </c>
      <c r="M52" s="49">
        <v>53.1</v>
      </c>
      <c r="N52" s="49">
        <v>53.1</v>
      </c>
      <c r="O52" s="49">
        <v>54.1</v>
      </c>
      <c r="P52" s="49">
        <v>56.3</v>
      </c>
      <c r="Q52" s="49">
        <v>55.6</v>
      </c>
      <c r="R52" s="49">
        <v>51.4</v>
      </c>
      <c r="S52" s="49">
        <v>48.6</v>
      </c>
      <c r="T52" s="49">
        <v>47.5</v>
      </c>
      <c r="U52" s="49">
        <v>46.7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58.7</v>
      </c>
      <c r="AI52" s="53">
        <f t="shared" si="3"/>
        <v>0</v>
      </c>
      <c r="AK52" s="1"/>
    </row>
    <row r="53" spans="1:37" x14ac:dyDescent="0.25">
      <c r="A53" s="58" t="s">
        <v>60</v>
      </c>
      <c r="B53" s="82">
        <v>8</v>
      </c>
      <c r="C53" s="70">
        <v>8</v>
      </c>
      <c r="D53" s="70">
        <v>8</v>
      </c>
      <c r="E53" s="70">
        <v>8</v>
      </c>
      <c r="F53" s="70">
        <v>8</v>
      </c>
      <c r="G53" s="70">
        <v>8</v>
      </c>
      <c r="H53" s="70">
        <v>8</v>
      </c>
      <c r="I53" s="70">
        <v>8</v>
      </c>
      <c r="J53" s="70">
        <v>8</v>
      </c>
      <c r="K53" s="70">
        <v>8</v>
      </c>
      <c r="L53" s="83">
        <v>5.14</v>
      </c>
      <c r="M53" s="83">
        <v>5</v>
      </c>
      <c r="N53" s="83">
        <v>5.0999999999999996</v>
      </c>
      <c r="O53" s="83">
        <v>6.9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8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1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3">
        <v>0</v>
      </c>
      <c r="N56" s="83">
        <v>0</v>
      </c>
      <c r="O56" s="83">
        <v>0</v>
      </c>
      <c r="P56" s="83">
        <v>0</v>
      </c>
      <c r="Q56" s="83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1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3">
        <v>0</v>
      </c>
      <c r="N57" s="83">
        <v>0</v>
      </c>
      <c r="O57" s="83">
        <v>0</v>
      </c>
      <c r="P57" s="83">
        <v>0</v>
      </c>
      <c r="Q57" s="83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1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1"/>
    </row>
    <row r="59" spans="1:37" ht="15.75" thickBot="1" x14ac:dyDescent="0.3">
      <c r="A59" s="68" t="s">
        <v>66</v>
      </c>
      <c r="B59" s="69">
        <f>SUM(B48:B58)</f>
        <v>547.4</v>
      </c>
      <c r="C59" s="69">
        <f t="shared" ref="C59:AF59" si="8">SUM(C48:C58)</f>
        <v>532.1</v>
      </c>
      <c r="D59" s="69">
        <f t="shared" si="8"/>
        <v>520.32999999999993</v>
      </c>
      <c r="E59" s="69">
        <f t="shared" si="8"/>
        <v>501.5</v>
      </c>
      <c r="F59" s="69">
        <f t="shared" si="8"/>
        <v>485.53999999999996</v>
      </c>
      <c r="G59" s="69">
        <f t="shared" si="8"/>
        <v>498.7</v>
      </c>
      <c r="H59" s="69">
        <f t="shared" si="8"/>
        <v>496.45</v>
      </c>
      <c r="I59" s="69">
        <f t="shared" si="8"/>
        <v>573.14</v>
      </c>
      <c r="J59" s="69">
        <f t="shared" si="8"/>
        <v>523.6</v>
      </c>
      <c r="K59" s="69">
        <f t="shared" si="8"/>
        <v>516.33000000000004</v>
      </c>
      <c r="L59" s="69">
        <f t="shared" si="8"/>
        <v>526.6</v>
      </c>
      <c r="M59" s="69">
        <f t="shared" si="8"/>
        <v>572.59</v>
      </c>
      <c r="N59" s="69">
        <f t="shared" si="8"/>
        <v>576.90000000000009</v>
      </c>
      <c r="O59" s="69">
        <f t="shared" si="8"/>
        <v>577.67000000000007</v>
      </c>
      <c r="P59" s="69">
        <f t="shared" si="8"/>
        <v>532.32999999999993</v>
      </c>
      <c r="Q59" s="69">
        <f t="shared" si="8"/>
        <v>499.07000000000005</v>
      </c>
      <c r="R59" s="69">
        <f t="shared" si="8"/>
        <v>522.5</v>
      </c>
      <c r="S59" s="69">
        <f t="shared" si="8"/>
        <v>520.23</v>
      </c>
      <c r="T59" s="69">
        <f t="shared" si="8"/>
        <v>509.32</v>
      </c>
      <c r="U59" s="69">
        <f t="shared" si="8"/>
        <v>441.44</v>
      </c>
      <c r="V59" s="69">
        <f t="shared" si="8"/>
        <v>419.70000000000005</v>
      </c>
      <c r="W59" s="69">
        <f t="shared" si="8"/>
        <v>420.3</v>
      </c>
      <c r="X59" s="69">
        <f t="shared" si="8"/>
        <v>405.90999999999997</v>
      </c>
      <c r="Y59" s="69">
        <f t="shared" si="8"/>
        <v>482.19</v>
      </c>
      <c r="Z59" s="69">
        <f t="shared" si="8"/>
        <v>542.15</v>
      </c>
      <c r="AA59" s="69">
        <f t="shared" si="8"/>
        <v>521.09</v>
      </c>
      <c r="AB59" s="69">
        <f t="shared" si="8"/>
        <v>532.9</v>
      </c>
      <c r="AC59" s="69">
        <f t="shared" si="8"/>
        <v>538.38</v>
      </c>
      <c r="AD59" s="69">
        <f t="shared" si="8"/>
        <v>534.79999999999995</v>
      </c>
      <c r="AE59" s="69">
        <f t="shared" si="8"/>
        <v>471.14</v>
      </c>
      <c r="AF59" s="69">
        <f t="shared" si="8"/>
        <v>488.6</v>
      </c>
      <c r="AG59" s="74">
        <f>SUM(AG48:AG58)</f>
        <v>0</v>
      </c>
      <c r="AH59" s="52">
        <f t="shared" si="2"/>
        <v>577.67000000000007</v>
      </c>
      <c r="AI59" s="53">
        <f t="shared" si="3"/>
        <v>405.90999999999997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>
        <v>20</v>
      </c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20</v>
      </c>
      <c r="AI64" s="53">
        <f t="shared" si="3"/>
        <v>20</v>
      </c>
    </row>
    <row r="65" spans="1:35" ht="15.75" thickBot="1" x14ac:dyDescent="0.3">
      <c r="A65" s="90" t="s">
        <v>72</v>
      </c>
      <c r="B65" s="91">
        <f>B63+B59+B47+B43+B30+B64</f>
        <v>990.2399999999999</v>
      </c>
      <c r="C65" s="91">
        <f t="shared" ref="C65:AF65" si="10">C63+C59+C47+C43+C30+C64</f>
        <v>963.24</v>
      </c>
      <c r="D65" s="91">
        <f t="shared" si="10"/>
        <v>951.86999999999989</v>
      </c>
      <c r="E65" s="91">
        <f t="shared" si="10"/>
        <v>932.33999999999992</v>
      </c>
      <c r="F65" s="91">
        <f t="shared" si="10"/>
        <v>952.98</v>
      </c>
      <c r="G65" s="91">
        <f t="shared" si="10"/>
        <v>950.54</v>
      </c>
      <c r="H65" s="91">
        <f t="shared" si="10"/>
        <v>949.99</v>
      </c>
      <c r="I65" s="91">
        <f t="shared" si="10"/>
        <v>1030.78</v>
      </c>
      <c r="J65" s="91">
        <f t="shared" si="10"/>
        <v>1008.74</v>
      </c>
      <c r="K65" s="91">
        <f t="shared" si="10"/>
        <v>1043.0700000000002</v>
      </c>
      <c r="L65" s="91">
        <f t="shared" si="10"/>
        <v>1057.54</v>
      </c>
      <c r="M65" s="91">
        <f t="shared" si="10"/>
        <v>1093.23</v>
      </c>
      <c r="N65" s="91">
        <f t="shared" si="10"/>
        <v>1093.94</v>
      </c>
      <c r="O65" s="91">
        <f t="shared" si="10"/>
        <v>1061.81</v>
      </c>
      <c r="P65" s="91">
        <f t="shared" si="10"/>
        <v>1048.27</v>
      </c>
      <c r="Q65" s="91">
        <f t="shared" si="10"/>
        <v>1034.6100000000001</v>
      </c>
      <c r="R65" s="91">
        <f t="shared" si="10"/>
        <v>1030.3399999999999</v>
      </c>
      <c r="S65" s="91">
        <f t="shared" si="10"/>
        <v>1000.37</v>
      </c>
      <c r="T65" s="91">
        <f t="shared" si="10"/>
        <v>985.16000000000008</v>
      </c>
      <c r="U65" s="91">
        <f t="shared" si="10"/>
        <v>1018.48</v>
      </c>
      <c r="V65" s="91">
        <f t="shared" si="10"/>
        <v>949.24000000000012</v>
      </c>
      <c r="W65" s="91">
        <f t="shared" si="10"/>
        <v>951.74</v>
      </c>
      <c r="X65" s="91">
        <f t="shared" si="10"/>
        <v>989.14999999999986</v>
      </c>
      <c r="Y65" s="91">
        <f t="shared" si="10"/>
        <v>1095.23</v>
      </c>
      <c r="Z65" s="91">
        <f t="shared" si="10"/>
        <v>1198.79</v>
      </c>
      <c r="AA65" s="91">
        <f t="shared" si="10"/>
        <v>1199.5300000000002</v>
      </c>
      <c r="AB65" s="91">
        <f t="shared" si="10"/>
        <v>1181.74</v>
      </c>
      <c r="AC65" s="91">
        <f t="shared" si="10"/>
        <v>1157.72</v>
      </c>
      <c r="AD65" s="91">
        <f t="shared" si="10"/>
        <v>1068.8399999999999</v>
      </c>
      <c r="AE65" s="91">
        <f t="shared" si="10"/>
        <v>994.98</v>
      </c>
      <c r="AF65" s="91">
        <f t="shared" si="10"/>
        <v>974.24</v>
      </c>
      <c r="AG65" s="74">
        <f>AG63+AG59+AG47+AG43+AG30+AG64</f>
        <v>1355.5100000000002</v>
      </c>
      <c r="AH65" s="52">
        <f t="shared" si="2"/>
        <v>1199.5300000000002</v>
      </c>
      <c r="AI65" s="53">
        <f t="shared" si="3"/>
        <v>932.33999999999992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50.03</v>
      </c>
      <c r="C72" s="94">
        <v>49.984000000000002</v>
      </c>
      <c r="D72" s="94">
        <v>50.01</v>
      </c>
      <c r="E72" s="94">
        <v>49.97</v>
      </c>
      <c r="F72" s="94">
        <v>49.85</v>
      </c>
      <c r="G72" s="94">
        <v>49.96</v>
      </c>
      <c r="H72" s="94">
        <v>50.01</v>
      </c>
      <c r="I72" s="94">
        <v>50.07</v>
      </c>
      <c r="J72" s="94">
        <v>50.07</v>
      </c>
      <c r="K72" s="94">
        <v>50.07</v>
      </c>
      <c r="L72" s="94">
        <v>50.076000000000001</v>
      </c>
      <c r="M72" s="94">
        <v>50.064</v>
      </c>
      <c r="N72" s="94">
        <v>50.116</v>
      </c>
      <c r="O72" s="94">
        <v>49.978999999999999</v>
      </c>
      <c r="P72" s="94">
        <v>49.936</v>
      </c>
      <c r="Q72" s="95">
        <v>49.844999999999999</v>
      </c>
      <c r="R72" s="94">
        <v>50.084000000000003</v>
      </c>
      <c r="S72" s="94">
        <v>50.018000000000001</v>
      </c>
      <c r="T72" s="94">
        <v>50.087000000000003</v>
      </c>
      <c r="U72" s="94">
        <v>49.969000000000001</v>
      </c>
      <c r="V72" s="94">
        <v>49.976999999999997</v>
      </c>
      <c r="W72" s="94">
        <v>49.997999999999998</v>
      </c>
      <c r="X72" s="94">
        <v>49.884</v>
      </c>
      <c r="Y72" s="94">
        <v>50.054000000000002</v>
      </c>
      <c r="Z72" s="94"/>
      <c r="AA72" s="94">
        <v>49.936</v>
      </c>
      <c r="AB72" s="94">
        <v>49.966999999999999</v>
      </c>
      <c r="AC72" s="94">
        <v>50.023000000000003</v>
      </c>
      <c r="AD72" s="94">
        <v>49.968000000000004</v>
      </c>
      <c r="AE72" s="94">
        <v>50.034999999999997</v>
      </c>
      <c r="AF72" s="96">
        <v>50.01</v>
      </c>
      <c r="AG72" s="97"/>
      <c r="AH72" s="52">
        <f t="shared" si="2"/>
        <v>50.116</v>
      </c>
      <c r="AI72" s="53">
        <f t="shared" si="3"/>
        <v>49.844999999999999</v>
      </c>
    </row>
    <row r="73" spans="1:35" x14ac:dyDescent="0.25">
      <c r="A73" s="98" t="s">
        <v>80</v>
      </c>
      <c r="B73" s="70">
        <v>127.7</v>
      </c>
      <c r="C73" s="70">
        <v>127.9</v>
      </c>
      <c r="D73" s="70">
        <v>128.19999999999999</v>
      </c>
      <c r="E73" s="70">
        <v>128.9</v>
      </c>
      <c r="F73" s="70">
        <v>129.30000000000001</v>
      </c>
      <c r="G73" s="70">
        <v>128.19999999999999</v>
      </c>
      <c r="H73" s="70">
        <v>127.8</v>
      </c>
      <c r="I73" s="70">
        <v>124.9</v>
      </c>
      <c r="J73" s="70">
        <v>127</v>
      </c>
      <c r="K73" s="70">
        <v>126</v>
      </c>
      <c r="L73" s="70">
        <v>125.8</v>
      </c>
      <c r="M73" s="70">
        <v>123.6</v>
      </c>
      <c r="N73" s="70">
        <v>125.4</v>
      </c>
      <c r="O73" s="70">
        <v>124.9</v>
      </c>
      <c r="P73" s="70">
        <v>125.7</v>
      </c>
      <c r="Q73" s="99">
        <v>125.4</v>
      </c>
      <c r="R73" s="99">
        <v>125.1</v>
      </c>
      <c r="S73" s="99">
        <v>125.8</v>
      </c>
      <c r="T73" s="99">
        <v>126.6</v>
      </c>
      <c r="U73" s="99">
        <v>127.8</v>
      </c>
      <c r="V73" s="99">
        <v>126.2</v>
      </c>
      <c r="W73" s="99">
        <v>126.9</v>
      </c>
      <c r="X73" s="99">
        <v>127</v>
      </c>
      <c r="Y73" s="99">
        <v>127</v>
      </c>
      <c r="Z73" s="99">
        <v>126.4</v>
      </c>
      <c r="AA73" s="70">
        <v>127.4</v>
      </c>
      <c r="AB73" s="70">
        <v>126.8</v>
      </c>
      <c r="AC73" s="70">
        <v>126.7</v>
      </c>
      <c r="AD73" s="70">
        <v>125.1</v>
      </c>
      <c r="AE73" s="70">
        <v>126.9</v>
      </c>
      <c r="AF73" s="100">
        <v>126.6</v>
      </c>
      <c r="AG73" s="101"/>
      <c r="AH73" s="52">
        <f t="shared" si="2"/>
        <v>129.30000000000001</v>
      </c>
      <c r="AI73" s="53">
        <f t="shared" si="3"/>
        <v>123.6</v>
      </c>
    </row>
    <row r="74" spans="1:35" x14ac:dyDescent="0.25">
      <c r="A74" s="98" t="s">
        <v>81</v>
      </c>
      <c r="B74" s="70">
        <v>130.9</v>
      </c>
      <c r="C74" s="70">
        <v>131.1</v>
      </c>
      <c r="D74" s="70">
        <v>131.19999999999999</v>
      </c>
      <c r="E74" s="70">
        <v>131.9</v>
      </c>
      <c r="F74" s="70">
        <v>132</v>
      </c>
      <c r="G74" s="70">
        <v>130.80000000000001</v>
      </c>
      <c r="H74" s="70">
        <v>130.19999999999999</v>
      </c>
      <c r="I74" s="70">
        <v>127.4</v>
      </c>
      <c r="J74" s="70">
        <v>129</v>
      </c>
      <c r="K74" s="70">
        <v>128.30000000000001</v>
      </c>
      <c r="L74" s="70">
        <v>128.30000000000001</v>
      </c>
      <c r="M74" s="70">
        <v>126.8</v>
      </c>
      <c r="N74" s="70">
        <v>128.6</v>
      </c>
      <c r="O74" s="70">
        <v>128.30000000000001</v>
      </c>
      <c r="P74" s="70">
        <v>129.1</v>
      </c>
      <c r="Q74" s="99">
        <v>128.4</v>
      </c>
      <c r="R74" s="99">
        <v>128</v>
      </c>
      <c r="S74" s="99">
        <v>128.69999999999999</v>
      </c>
      <c r="T74" s="99">
        <v>129.30000000000001</v>
      </c>
      <c r="U74" s="99">
        <v>130.19999999999999</v>
      </c>
      <c r="V74" s="99">
        <v>129.30000000000001</v>
      </c>
      <c r="W74" s="99">
        <v>129.69999999999999</v>
      </c>
      <c r="X74" s="99">
        <v>129.6</v>
      </c>
      <c r="Y74" s="99">
        <v>129.6</v>
      </c>
      <c r="Z74" s="99">
        <v>129</v>
      </c>
      <c r="AA74" s="70">
        <v>129.9</v>
      </c>
      <c r="AB74" s="70">
        <v>129.80000000000001</v>
      </c>
      <c r="AC74" s="70">
        <v>130</v>
      </c>
      <c r="AD74" s="70">
        <v>129</v>
      </c>
      <c r="AE74" s="70">
        <v>130.69999999999999</v>
      </c>
      <c r="AF74" s="100">
        <v>130.6</v>
      </c>
      <c r="AG74" s="101"/>
      <c r="AH74" s="52">
        <f t="shared" si="2"/>
        <v>132</v>
      </c>
      <c r="AI74" s="53">
        <f t="shared" si="3"/>
        <v>126.8</v>
      </c>
    </row>
    <row r="75" spans="1:35" x14ac:dyDescent="0.25">
      <c r="A75" s="98" t="s">
        <v>82</v>
      </c>
      <c r="B75" s="70">
        <v>132.1</v>
      </c>
      <c r="C75" s="70">
        <v>129.9</v>
      </c>
      <c r="D75" s="70">
        <v>131.1</v>
      </c>
      <c r="E75" s="70">
        <v>131.30000000000001</v>
      </c>
      <c r="F75" s="70">
        <v>132</v>
      </c>
      <c r="G75" s="70">
        <v>132.1</v>
      </c>
      <c r="H75" s="70">
        <v>131.6</v>
      </c>
      <c r="I75" s="70">
        <v>130</v>
      </c>
      <c r="J75" s="70">
        <v>129.69999999999999</v>
      </c>
      <c r="K75" s="70">
        <v>132.30000000000001</v>
      </c>
      <c r="L75" s="70">
        <v>126.6</v>
      </c>
      <c r="M75" s="70">
        <v>126.6</v>
      </c>
      <c r="N75" s="70">
        <v>129.19999999999999</v>
      </c>
      <c r="O75" s="70">
        <v>128.5</v>
      </c>
      <c r="P75" s="70">
        <v>129.69999999999999</v>
      </c>
      <c r="Q75" s="70">
        <v>129.4</v>
      </c>
      <c r="R75" s="70">
        <v>131.1</v>
      </c>
      <c r="S75" s="70">
        <v>132.19999999999999</v>
      </c>
      <c r="T75" s="99">
        <v>129.4</v>
      </c>
      <c r="U75" s="99">
        <v>128</v>
      </c>
      <c r="V75" s="99">
        <v>128</v>
      </c>
      <c r="W75" s="99">
        <v>127.1</v>
      </c>
      <c r="X75" s="99">
        <v>124.6</v>
      </c>
      <c r="Y75" s="99">
        <v>126.3</v>
      </c>
      <c r="Z75" s="99">
        <v>127.4</v>
      </c>
      <c r="AA75" s="70">
        <v>128.19999999999999</v>
      </c>
      <c r="AB75" s="70">
        <v>127.3</v>
      </c>
      <c r="AC75" s="70">
        <v>127.8</v>
      </c>
      <c r="AD75" s="70">
        <v>127.9</v>
      </c>
      <c r="AE75" s="70">
        <v>127.8</v>
      </c>
      <c r="AF75" s="100">
        <v>128.30000000000001</v>
      </c>
      <c r="AG75" s="101"/>
      <c r="AH75" s="52">
        <f t="shared" si="2"/>
        <v>132.30000000000001</v>
      </c>
      <c r="AI75" s="53">
        <f t="shared" si="3"/>
        <v>124.6</v>
      </c>
    </row>
    <row r="76" spans="1:35" x14ac:dyDescent="0.25">
      <c r="A76" s="102" t="s">
        <v>83</v>
      </c>
      <c r="B76" s="70">
        <v>132</v>
      </c>
      <c r="C76" s="70">
        <v>132</v>
      </c>
      <c r="D76" s="70">
        <v>132.1</v>
      </c>
      <c r="E76" s="70">
        <v>132.6</v>
      </c>
      <c r="F76" s="70">
        <v>132.9</v>
      </c>
      <c r="G76" s="70">
        <v>133</v>
      </c>
      <c r="H76" s="70">
        <v>132</v>
      </c>
      <c r="I76" s="70">
        <v>129.9</v>
      </c>
      <c r="J76" s="70">
        <v>129.4</v>
      </c>
      <c r="K76" s="70">
        <v>125.4</v>
      </c>
      <c r="L76" s="70">
        <v>129.1</v>
      </c>
      <c r="M76" s="70">
        <v>129.4</v>
      </c>
      <c r="N76" s="70">
        <v>131.5</v>
      </c>
      <c r="O76" s="70">
        <v>129.6</v>
      </c>
      <c r="P76" s="70">
        <v>131.19999999999999</v>
      </c>
      <c r="Q76" s="70">
        <v>131.1</v>
      </c>
      <c r="R76" s="70">
        <v>132.1</v>
      </c>
      <c r="S76" s="70">
        <v>133.1</v>
      </c>
      <c r="T76" s="99">
        <v>130.9</v>
      </c>
      <c r="U76" s="99">
        <v>129.4</v>
      </c>
      <c r="V76" s="99">
        <v>131</v>
      </c>
      <c r="W76" s="99">
        <v>130.5</v>
      </c>
      <c r="X76" s="99">
        <v>128.4</v>
      </c>
      <c r="Y76" s="99">
        <v>129.30000000000001</v>
      </c>
      <c r="Z76" s="99">
        <v>130.4</v>
      </c>
      <c r="AA76" s="70">
        <v>131.30000000000001</v>
      </c>
      <c r="AB76" s="70">
        <v>131.19999999999999</v>
      </c>
      <c r="AC76" s="70">
        <v>131.69999999999999</v>
      </c>
      <c r="AD76" s="70">
        <v>132.6</v>
      </c>
      <c r="AE76" s="70">
        <v>131.1</v>
      </c>
      <c r="AF76" s="100">
        <v>131.80000000000001</v>
      </c>
      <c r="AG76" s="101"/>
      <c r="AH76" s="52">
        <f t="shared" si="2"/>
        <v>133.1</v>
      </c>
      <c r="AI76" s="53">
        <f t="shared" si="3"/>
        <v>125.4</v>
      </c>
    </row>
    <row r="77" spans="1:35" x14ac:dyDescent="0.25">
      <c r="A77" s="102" t="s">
        <v>84</v>
      </c>
      <c r="B77" s="103">
        <v>130.6</v>
      </c>
      <c r="C77" s="103">
        <v>130.80000000000001</v>
      </c>
      <c r="D77" s="103">
        <v>48.3</v>
      </c>
      <c r="E77" s="103">
        <v>48.4</v>
      </c>
      <c r="F77" s="103">
        <v>135</v>
      </c>
      <c r="G77" s="103">
        <v>135</v>
      </c>
      <c r="H77" s="103">
        <v>134.5</v>
      </c>
      <c r="I77" s="103">
        <v>131.6</v>
      </c>
      <c r="J77" s="103">
        <v>87</v>
      </c>
      <c r="K77" s="103">
        <v>134.6</v>
      </c>
      <c r="L77" s="103">
        <v>135.5</v>
      </c>
      <c r="M77" s="103">
        <v>131.4</v>
      </c>
      <c r="N77" s="103">
        <v>131.80000000000001</v>
      </c>
      <c r="O77" s="103">
        <v>131.19999999999999</v>
      </c>
      <c r="P77" s="103">
        <v>131</v>
      </c>
      <c r="Q77" s="103">
        <v>135.5</v>
      </c>
      <c r="R77" s="103">
        <v>133.1</v>
      </c>
      <c r="S77" s="103">
        <v>132.6</v>
      </c>
      <c r="T77" s="99">
        <v>132.9</v>
      </c>
      <c r="U77" s="99">
        <v>130.5</v>
      </c>
      <c r="V77" s="99">
        <v>134.1</v>
      </c>
      <c r="W77" s="99">
        <v>134.5</v>
      </c>
      <c r="X77" s="99">
        <v>134.30000000000001</v>
      </c>
      <c r="Y77" s="99">
        <v>135</v>
      </c>
      <c r="Z77" s="99">
        <v>132.80000000000001</v>
      </c>
      <c r="AA77" s="103">
        <v>131.6</v>
      </c>
      <c r="AB77" s="103">
        <v>129.19999999999999</v>
      </c>
      <c r="AC77" s="103">
        <v>131.9</v>
      </c>
      <c r="AD77" s="103">
        <v>131.69999999999999</v>
      </c>
      <c r="AE77" s="103">
        <v>135</v>
      </c>
      <c r="AF77" s="104">
        <v>131.1</v>
      </c>
      <c r="AG77" s="105"/>
      <c r="AH77" s="52">
        <f t="shared" si="2"/>
        <v>135.5</v>
      </c>
      <c r="AI77" s="53">
        <f t="shared" si="3"/>
        <v>48.3</v>
      </c>
    </row>
    <row r="78" spans="1:35" x14ac:dyDescent="0.25">
      <c r="A78" s="98" t="s">
        <v>85</v>
      </c>
      <c r="B78" s="70">
        <v>134.6</v>
      </c>
      <c r="C78" s="70">
        <v>134.80000000000001</v>
      </c>
      <c r="D78" s="70">
        <v>137.4</v>
      </c>
      <c r="E78" s="70">
        <v>139.5</v>
      </c>
      <c r="F78" s="70">
        <v>136.80000000000001</v>
      </c>
      <c r="G78" s="70">
        <v>137.19999999999999</v>
      </c>
      <c r="H78" s="70">
        <v>138.9</v>
      </c>
      <c r="I78" s="70">
        <v>133.4</v>
      </c>
      <c r="J78" s="70">
        <v>133.30000000000001</v>
      </c>
      <c r="K78" s="70">
        <v>131.4</v>
      </c>
      <c r="L78" s="70">
        <v>130.5</v>
      </c>
      <c r="M78" s="70">
        <v>129</v>
      </c>
      <c r="N78" s="70">
        <v>128.5</v>
      </c>
      <c r="O78" s="70">
        <v>129.30000000000001</v>
      </c>
      <c r="P78" s="70">
        <v>128.1</v>
      </c>
      <c r="Q78" s="70">
        <v>134.69999999999999</v>
      </c>
      <c r="R78" s="70">
        <v>130.19999999999999</v>
      </c>
      <c r="S78" s="70">
        <v>134.80000000000001</v>
      </c>
      <c r="T78" s="99">
        <v>130.19999999999999</v>
      </c>
      <c r="U78" s="99">
        <v>132</v>
      </c>
      <c r="V78" s="99">
        <v>130.80000000000001</v>
      </c>
      <c r="W78" s="99">
        <v>132.6</v>
      </c>
      <c r="X78" s="99">
        <v>131.9</v>
      </c>
      <c r="Y78" s="99">
        <v>124.8</v>
      </c>
      <c r="Z78" s="99">
        <v>136.4</v>
      </c>
      <c r="AA78" s="70">
        <v>135.5</v>
      </c>
      <c r="AB78" s="70">
        <v>127.9</v>
      </c>
      <c r="AC78" s="70">
        <v>128.30000000000001</v>
      </c>
      <c r="AD78" s="70">
        <v>130.5</v>
      </c>
      <c r="AE78" s="70">
        <v>131.80000000000001</v>
      </c>
      <c r="AF78" s="100">
        <v>133.4</v>
      </c>
      <c r="AG78" s="101"/>
      <c r="AH78" s="52">
        <f>MAX(B78:AF78)</f>
        <v>139.5</v>
      </c>
      <c r="AI78" s="53">
        <f>MIN(B78:AF78)</f>
        <v>124.8</v>
      </c>
    </row>
    <row r="79" spans="1:35" ht="15.75" thickBot="1" x14ac:dyDescent="0.3">
      <c r="A79" s="98" t="s">
        <v>86</v>
      </c>
      <c r="B79" s="106">
        <v>67</v>
      </c>
      <c r="C79" s="106">
        <v>67</v>
      </c>
      <c r="D79" s="106">
        <v>67.099999999999994</v>
      </c>
      <c r="E79" s="106">
        <v>67.400000000000006</v>
      </c>
      <c r="F79" s="106">
        <v>67.400000000000006</v>
      </c>
      <c r="G79" s="106">
        <v>66.7</v>
      </c>
      <c r="H79" s="106">
        <v>66.400000000000006</v>
      </c>
      <c r="I79" s="106">
        <v>65.599999999999994</v>
      </c>
      <c r="J79" s="106">
        <v>66.3</v>
      </c>
      <c r="K79" s="106">
        <v>65.599999999999994</v>
      </c>
      <c r="L79" s="106">
        <v>65.599999999999994</v>
      </c>
      <c r="M79" s="106">
        <v>65.099999999999994</v>
      </c>
      <c r="N79" s="106">
        <v>65.8</v>
      </c>
      <c r="O79" s="106">
        <v>65.7</v>
      </c>
      <c r="P79" s="106">
        <v>66</v>
      </c>
      <c r="Q79" s="106">
        <v>65.7</v>
      </c>
      <c r="R79" s="106">
        <v>65.3</v>
      </c>
      <c r="S79" s="106">
        <v>66</v>
      </c>
      <c r="T79" s="106">
        <v>66.3</v>
      </c>
      <c r="U79" s="106">
        <v>66.400000000000006</v>
      </c>
      <c r="V79" s="106">
        <v>66</v>
      </c>
      <c r="W79" s="106">
        <v>66.3</v>
      </c>
      <c r="X79" s="106">
        <v>66.2</v>
      </c>
      <c r="Y79" s="106">
        <v>66.3</v>
      </c>
      <c r="Z79" s="106">
        <v>65.900000000000006</v>
      </c>
      <c r="AA79" s="106">
        <v>66.5</v>
      </c>
      <c r="AB79" s="106">
        <v>66.5</v>
      </c>
      <c r="AC79" s="106">
        <v>66.7</v>
      </c>
      <c r="AD79" s="106">
        <v>66.2</v>
      </c>
      <c r="AE79" s="106">
        <v>67.099999999999994</v>
      </c>
      <c r="AF79" s="107">
        <v>67</v>
      </c>
      <c r="AG79" s="108"/>
      <c r="AH79" s="52">
        <f>MAX(B79:AF79)</f>
        <v>67.400000000000006</v>
      </c>
      <c r="AI79" s="53">
        <f>MIN(B79:AF79)</f>
        <v>65.099999999999994</v>
      </c>
    </row>
    <row r="80" spans="1:35" x14ac:dyDescent="0.25">
      <c r="A80" s="109" t="s">
        <v>87</v>
      </c>
      <c r="B80" s="110">
        <f t="shared" ref="B80:AF80" si="19">SUMIF(B48:B57,"&gt;0")</f>
        <v>547.4</v>
      </c>
      <c r="C80" s="110">
        <f t="shared" si="19"/>
        <v>532.1</v>
      </c>
      <c r="D80" s="110">
        <f t="shared" si="19"/>
        <v>520.32999999999993</v>
      </c>
      <c r="E80" s="110">
        <f t="shared" si="19"/>
        <v>501.5</v>
      </c>
      <c r="F80" s="110">
        <f t="shared" si="19"/>
        <v>485.53999999999996</v>
      </c>
      <c r="G80" s="110">
        <f t="shared" si="19"/>
        <v>498.7</v>
      </c>
      <c r="H80" s="110">
        <f t="shared" si="19"/>
        <v>496.45</v>
      </c>
      <c r="I80" s="110">
        <f t="shared" si="19"/>
        <v>573.14</v>
      </c>
      <c r="J80" s="110">
        <f t="shared" si="19"/>
        <v>523.6</v>
      </c>
      <c r="K80" s="110">
        <f t="shared" si="19"/>
        <v>516.33000000000004</v>
      </c>
      <c r="L80" s="110">
        <f t="shared" si="19"/>
        <v>526.6</v>
      </c>
      <c r="M80" s="110">
        <f t="shared" si="19"/>
        <v>572.59</v>
      </c>
      <c r="N80" s="110">
        <f t="shared" si="19"/>
        <v>576.90000000000009</v>
      </c>
      <c r="O80" s="110">
        <f t="shared" si="19"/>
        <v>577.67000000000007</v>
      </c>
      <c r="P80" s="110">
        <f t="shared" si="19"/>
        <v>532.32999999999993</v>
      </c>
      <c r="Q80" s="110">
        <f t="shared" si="19"/>
        <v>499.07000000000005</v>
      </c>
      <c r="R80" s="110">
        <f t="shared" si="19"/>
        <v>522.5</v>
      </c>
      <c r="S80" s="110">
        <f t="shared" si="19"/>
        <v>520.23</v>
      </c>
      <c r="T80" s="110">
        <f t="shared" si="19"/>
        <v>509.32</v>
      </c>
      <c r="U80" s="110">
        <f t="shared" si="19"/>
        <v>441.44</v>
      </c>
      <c r="V80" s="110">
        <f t="shared" si="19"/>
        <v>419.70000000000005</v>
      </c>
      <c r="W80" s="110">
        <f t="shared" si="19"/>
        <v>420.3</v>
      </c>
      <c r="X80" s="110">
        <f t="shared" si="19"/>
        <v>405.90999999999997</v>
      </c>
      <c r="Y80" s="110">
        <f t="shared" si="19"/>
        <v>482.19</v>
      </c>
      <c r="Z80" s="110">
        <f t="shared" si="19"/>
        <v>542.15</v>
      </c>
      <c r="AA80" s="110">
        <f t="shared" si="19"/>
        <v>521.09</v>
      </c>
      <c r="AB80" s="110">
        <f t="shared" si="19"/>
        <v>532.9</v>
      </c>
      <c r="AC80" s="110">
        <f t="shared" si="19"/>
        <v>538.38</v>
      </c>
      <c r="AD80" s="110">
        <f t="shared" si="19"/>
        <v>534.79999999999995</v>
      </c>
      <c r="AE80" s="110">
        <f t="shared" si="19"/>
        <v>471.14</v>
      </c>
      <c r="AF80" s="110">
        <f t="shared" si="19"/>
        <v>488.6</v>
      </c>
      <c r="AG80" s="111"/>
      <c r="AH80" s="52">
        <f>MAX(B80:AF80)</f>
        <v>577.67000000000007</v>
      </c>
      <c r="AI80" s="53">
        <f>MIN(B80:AF80)</f>
        <v>405.90999999999997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184.21999999999997</v>
      </c>
      <c r="C82" s="115">
        <f t="shared" ref="C82:AF82" si="20">C11+C13+C17+C34+C36+C38+C40+C94+C108+C110+C121+C127+C130+C139+C143+C144+C147+C154+C159+C162+C163+C164+C172+C177+C83+C84+C85+C86+C99</f>
        <v>138.21999999999997</v>
      </c>
      <c r="D82" s="115">
        <f t="shared" si="20"/>
        <v>139.31999999999996</v>
      </c>
      <c r="E82" s="115">
        <f t="shared" si="20"/>
        <v>145.01999999999998</v>
      </c>
      <c r="F82" s="115">
        <f t="shared" si="20"/>
        <v>157.22</v>
      </c>
      <c r="G82" s="115">
        <f t="shared" si="20"/>
        <v>172.82</v>
      </c>
      <c r="H82" s="115">
        <f t="shared" si="20"/>
        <v>193.51999999999995</v>
      </c>
      <c r="I82" s="115">
        <f t="shared" si="20"/>
        <v>218.01999999999998</v>
      </c>
      <c r="J82" s="115">
        <f t="shared" si="20"/>
        <v>231.42000000000002</v>
      </c>
      <c r="K82" s="115">
        <f t="shared" si="20"/>
        <v>245.31999999999996</v>
      </c>
      <c r="L82" s="115">
        <f t="shared" si="20"/>
        <v>252.12</v>
      </c>
      <c r="M82" s="115">
        <f t="shared" si="20"/>
        <v>257.92</v>
      </c>
      <c r="N82" s="115">
        <f t="shared" si="20"/>
        <v>249.51999999999995</v>
      </c>
      <c r="O82" s="115">
        <f t="shared" si="20"/>
        <v>225.72</v>
      </c>
      <c r="P82" s="115">
        <f t="shared" si="20"/>
        <v>219.72</v>
      </c>
      <c r="Q82" s="115">
        <f t="shared" si="20"/>
        <v>214.31999999999996</v>
      </c>
      <c r="R82" s="115">
        <f t="shared" si="20"/>
        <v>203.87</v>
      </c>
      <c r="S82" s="115">
        <f t="shared" si="20"/>
        <v>220.02</v>
      </c>
      <c r="T82" s="115">
        <f t="shared" si="20"/>
        <v>220.82000000000002</v>
      </c>
      <c r="U82" s="115">
        <f t="shared" si="20"/>
        <v>224.92</v>
      </c>
      <c r="V82" s="115">
        <f t="shared" si="20"/>
        <v>225.02</v>
      </c>
      <c r="W82" s="115">
        <f t="shared" si="20"/>
        <v>227.42000000000002</v>
      </c>
      <c r="X82" s="115">
        <f t="shared" si="20"/>
        <v>285.21999999999991</v>
      </c>
      <c r="Y82" s="115">
        <f t="shared" si="20"/>
        <v>294.11999999999995</v>
      </c>
      <c r="Z82" s="115">
        <f t="shared" si="20"/>
        <v>306.82</v>
      </c>
      <c r="AA82" s="115">
        <f t="shared" si="20"/>
        <v>284.32</v>
      </c>
      <c r="AB82" s="115">
        <f t="shared" si="20"/>
        <v>256.32</v>
      </c>
      <c r="AC82" s="115">
        <f t="shared" si="20"/>
        <v>233.32000000000002</v>
      </c>
      <c r="AD82" s="115">
        <f t="shared" si="20"/>
        <v>189.61999999999995</v>
      </c>
      <c r="AE82" s="115">
        <f t="shared" si="20"/>
        <v>154.22</v>
      </c>
      <c r="AF82" s="115">
        <f t="shared" si="20"/>
        <v>145.72</v>
      </c>
      <c r="AG82" s="116"/>
      <c r="AH82" s="52">
        <f>MAX(B82:AF82)</f>
        <v>306.82</v>
      </c>
      <c r="AI82" s="53">
        <f>MIN(B82:AF82)</f>
        <v>138.21999999999997</v>
      </c>
    </row>
    <row r="83" spans="1:37" x14ac:dyDescent="0.25">
      <c r="A83" s="117" t="s">
        <v>89</v>
      </c>
      <c r="B83" s="118">
        <v>-20.9</v>
      </c>
      <c r="C83" s="118">
        <v>-24.3</v>
      </c>
      <c r="D83" s="118">
        <v>-24.4</v>
      </c>
      <c r="E83" s="118">
        <v>-23.2</v>
      </c>
      <c r="F83" s="118">
        <v>-8.1</v>
      </c>
      <c r="G83" s="118">
        <v>-8.3000000000000007</v>
      </c>
      <c r="H83" s="118">
        <v>-10.4</v>
      </c>
      <c r="I83" s="118">
        <v>-11</v>
      </c>
      <c r="J83" s="118">
        <v>4.9000000000000004</v>
      </c>
      <c r="K83" s="118">
        <v>23.4</v>
      </c>
      <c r="L83" s="118">
        <v>32.4</v>
      </c>
      <c r="M83" s="118">
        <v>22.3</v>
      </c>
      <c r="N83" s="118">
        <v>15.5</v>
      </c>
      <c r="O83" s="118">
        <v>4.3</v>
      </c>
      <c r="P83" s="118">
        <v>9.3000000000000007</v>
      </c>
      <c r="Q83" s="118">
        <v>11</v>
      </c>
      <c r="R83" s="118">
        <v>6.6</v>
      </c>
      <c r="S83" s="118">
        <v>7.3</v>
      </c>
      <c r="T83" s="118">
        <v>8</v>
      </c>
      <c r="U83" s="118">
        <v>19.600000000000001</v>
      </c>
      <c r="V83" s="118">
        <v>32.9</v>
      </c>
      <c r="W83" s="118">
        <v>32.5</v>
      </c>
      <c r="X83" s="118">
        <v>50.7</v>
      </c>
      <c r="Y83" s="118">
        <v>47</v>
      </c>
      <c r="Z83" s="118">
        <v>31.9</v>
      </c>
      <c r="AA83" s="50">
        <v>29.3</v>
      </c>
      <c r="AB83" s="50">
        <v>23.5</v>
      </c>
      <c r="AC83" s="50">
        <v>16.399999999999999</v>
      </c>
      <c r="AD83" s="50">
        <v>0.1</v>
      </c>
      <c r="AE83" s="50">
        <v>4</v>
      </c>
      <c r="AF83" s="119">
        <v>-13</v>
      </c>
      <c r="AG83" s="120">
        <v>75</v>
      </c>
      <c r="AH83" s="52">
        <f>IF(ABS(MAX(B83:AF83))&gt;ABS(MIN(B83:AF83)),MAX(B83:AF83),MIN(B83:AF83))</f>
        <v>50.7</v>
      </c>
      <c r="AI83" s="121">
        <f>INDEX($B$9:$AF$9,1,MATCH(AH83,B83:AF83,0))</f>
        <v>0.77083333333333337</v>
      </c>
    </row>
    <row r="84" spans="1:37" x14ac:dyDescent="0.25">
      <c r="A84" s="122" t="s">
        <v>90</v>
      </c>
      <c r="B84" s="83">
        <v>21</v>
      </c>
      <c r="C84" s="83">
        <v>-22</v>
      </c>
      <c r="D84" s="83">
        <v>-21.7</v>
      </c>
      <c r="E84" s="83">
        <v>-20.100000000000001</v>
      </c>
      <c r="F84" s="83">
        <v>-16</v>
      </c>
      <c r="G84" s="83">
        <v>13.6</v>
      </c>
      <c r="H84" s="83">
        <v>21.3</v>
      </c>
      <c r="I84" s="83">
        <v>31.9</v>
      </c>
      <c r="J84" s="83">
        <v>22.7</v>
      </c>
      <c r="K84" s="83">
        <v>12.7</v>
      </c>
      <c r="L84" s="83">
        <f>1.9+2.5</f>
        <v>4.4000000000000004</v>
      </c>
      <c r="M84" s="83">
        <f>8.8+10.3</f>
        <v>19.100000000000001</v>
      </c>
      <c r="N84" s="83">
        <f>10.7+11.9</f>
        <v>22.6</v>
      </c>
      <c r="O84" s="83">
        <f>11.9+13.2</f>
        <v>25.1</v>
      </c>
      <c r="P84" s="83">
        <f>9+10</f>
        <v>19</v>
      </c>
      <c r="Q84" s="83">
        <f>8.6+9.2</f>
        <v>17.799999999999997</v>
      </c>
      <c r="R84" s="83">
        <v>18</v>
      </c>
      <c r="S84" s="83">
        <v>23</v>
      </c>
      <c r="T84" s="83">
        <v>23</v>
      </c>
      <c r="U84" s="83">
        <v>8</v>
      </c>
      <c r="V84" s="83">
        <v>-2.6</v>
      </c>
      <c r="W84" s="83">
        <v>-3.2</v>
      </c>
      <c r="X84" s="83">
        <v>13</v>
      </c>
      <c r="Y84" s="83">
        <v>-5</v>
      </c>
      <c r="Z84" s="83">
        <v>21</v>
      </c>
      <c r="AA84" s="70">
        <v>10.3</v>
      </c>
      <c r="AB84" s="70">
        <v>8</v>
      </c>
      <c r="AC84" s="70">
        <v>0.4</v>
      </c>
      <c r="AD84" s="70">
        <v>6</v>
      </c>
      <c r="AE84" s="70">
        <v>-28</v>
      </c>
      <c r="AF84" s="123">
        <v>-28</v>
      </c>
      <c r="AG84" s="120">
        <v>240</v>
      </c>
      <c r="AH84" s="52">
        <f>IF(ABS(MAX(B84:AF84))&gt;ABS(MIN(B84:AF84)),MAX(B84:AF84),MIN(B84:AF84))</f>
        <v>31.9</v>
      </c>
      <c r="AI84" s="121">
        <f>INDEX($B$9:$AF$9,1,MATCH(AH84,B84:AF84,0))</f>
        <v>0.27083333333333331</v>
      </c>
    </row>
    <row r="85" spans="1:37" x14ac:dyDescent="0.25">
      <c r="A85" s="122" t="s">
        <v>91</v>
      </c>
      <c r="B85" s="83">
        <v>2.5</v>
      </c>
      <c r="C85" s="83">
        <v>2.7</v>
      </c>
      <c r="D85" s="83">
        <v>1.5</v>
      </c>
      <c r="E85" s="83">
        <v>5.9</v>
      </c>
      <c r="F85" s="83">
        <v>4.7</v>
      </c>
      <c r="G85" s="83">
        <v>9.8000000000000007</v>
      </c>
      <c r="H85" s="83">
        <v>12.2</v>
      </c>
      <c r="I85" s="83">
        <v>15</v>
      </c>
      <c r="J85" s="83">
        <v>13.8</v>
      </c>
      <c r="K85" s="83">
        <v>12.4</v>
      </c>
      <c r="L85" s="83">
        <v>11.5</v>
      </c>
      <c r="M85" s="83">
        <v>12.8</v>
      </c>
      <c r="N85" s="83">
        <v>14.1</v>
      </c>
      <c r="O85" s="83">
        <v>13.3</v>
      </c>
      <c r="P85" s="83">
        <v>12.3</v>
      </c>
      <c r="Q85" s="83">
        <v>10.7</v>
      </c>
      <c r="R85" s="83">
        <v>10.050000000000001</v>
      </c>
      <c r="S85" s="83">
        <v>11.5</v>
      </c>
      <c r="T85" s="83">
        <v>11.6</v>
      </c>
      <c r="U85" s="83">
        <v>10.1</v>
      </c>
      <c r="V85" s="83">
        <v>7</v>
      </c>
      <c r="W85" s="83">
        <v>9.3000000000000007</v>
      </c>
      <c r="X85" s="83">
        <v>16.100000000000001</v>
      </c>
      <c r="Y85" s="83">
        <v>25.9</v>
      </c>
      <c r="Z85" s="83">
        <v>34.799999999999997</v>
      </c>
      <c r="AA85" s="70">
        <v>36</v>
      </c>
      <c r="AB85" s="70">
        <v>31</v>
      </c>
      <c r="AC85" s="70">
        <v>23.2</v>
      </c>
      <c r="AD85" s="70">
        <v>15.6</v>
      </c>
      <c r="AE85" s="70">
        <v>9.1999999999999993</v>
      </c>
      <c r="AF85" s="123">
        <v>9.3000000000000007</v>
      </c>
      <c r="AG85" s="120">
        <v>60</v>
      </c>
      <c r="AH85" s="52">
        <f>IF(ABS(MAX(B85:AF85))&gt;ABS(MIN(B85:AF85)),MAX(B85:AF85),MIN(B85:AF85))</f>
        <v>36</v>
      </c>
      <c r="AI85" s="121">
        <f>INDEX($B$9:$AF$9,1,MATCH(AH85,B85:AF85,0))</f>
        <v>0.83333333333333337</v>
      </c>
    </row>
    <row r="86" spans="1:37" x14ac:dyDescent="0.25">
      <c r="A86" s="124" t="s">
        <v>92</v>
      </c>
      <c r="B86" s="85">
        <v>31.1</v>
      </c>
      <c r="C86" s="85">
        <v>31.7</v>
      </c>
      <c r="D86" s="85">
        <v>33.200000000000003</v>
      </c>
      <c r="E86" s="85">
        <v>33.200000000000003</v>
      </c>
      <c r="F86" s="85">
        <v>28.1</v>
      </c>
      <c r="G86" s="85">
        <v>10.8</v>
      </c>
      <c r="H86" s="85">
        <v>22.7</v>
      </c>
      <c r="I86" s="85">
        <v>37</v>
      </c>
      <c r="J86" s="85">
        <v>44</v>
      </c>
      <c r="K86" s="85">
        <v>50.5</v>
      </c>
      <c r="L86" s="85">
        <v>57.4</v>
      </c>
      <c r="M86" s="85">
        <v>59.5</v>
      </c>
      <c r="N86" s="85">
        <v>51.8</v>
      </c>
      <c r="O86" s="85">
        <v>37.6</v>
      </c>
      <c r="P86" s="85">
        <v>33.799999999999997</v>
      </c>
      <c r="Q86" s="85">
        <v>32.299999999999997</v>
      </c>
      <c r="R86" s="85">
        <v>24.5</v>
      </c>
      <c r="S86" s="85">
        <v>34.4</v>
      </c>
      <c r="T86" s="85">
        <v>39.200000000000003</v>
      </c>
      <c r="U86" s="85">
        <v>43.4</v>
      </c>
      <c r="V86" s="85">
        <v>44.2</v>
      </c>
      <c r="W86" s="85">
        <v>44.9</v>
      </c>
      <c r="X86" s="85">
        <v>64</v>
      </c>
      <c r="Y86" s="85">
        <v>83.7</v>
      </c>
      <c r="Z86" s="85">
        <v>76.8</v>
      </c>
      <c r="AA86" s="125">
        <v>64.900000000000006</v>
      </c>
      <c r="AB86" s="125">
        <v>48.4</v>
      </c>
      <c r="AC86" s="125">
        <v>47.8</v>
      </c>
      <c r="AD86" s="125">
        <v>22.1</v>
      </c>
      <c r="AE86" s="125">
        <v>25.7</v>
      </c>
      <c r="AF86" s="126">
        <v>32.6</v>
      </c>
      <c r="AG86" s="127">
        <v>120</v>
      </c>
      <c r="AH86" s="52">
        <f>IF(ABS(MAX(B86:AF86))&gt;ABS(MIN(B86:AF86)),MAX(B86:AF86),MIN(B86:AF86))</f>
        <v>83.7</v>
      </c>
      <c r="AI86" s="121">
        <f>INDEX($B$9:$AF$9,1,MATCH(AH86,B86:AF86,0))</f>
        <v>0.79166666666666663</v>
      </c>
    </row>
    <row r="87" spans="1:37" ht="15.75" thickBot="1" x14ac:dyDescent="0.3">
      <c r="A87" s="124" t="s">
        <v>93</v>
      </c>
      <c r="B87" s="85">
        <v>73</v>
      </c>
      <c r="C87" s="85">
        <v>73.5</v>
      </c>
      <c r="D87" s="85">
        <v>74.7</v>
      </c>
      <c r="E87" s="85">
        <v>73.900000000000006</v>
      </c>
      <c r="F87" s="85">
        <v>68.099999999999994</v>
      </c>
      <c r="G87" s="85">
        <v>90</v>
      </c>
      <c r="H87" s="85">
        <v>95.6</v>
      </c>
      <c r="I87" s="85">
        <v>100</v>
      </c>
      <c r="J87" s="85">
        <v>86.8</v>
      </c>
      <c r="K87" s="85">
        <v>70.400000000000006</v>
      </c>
      <c r="L87" s="85">
        <v>65.7</v>
      </c>
      <c r="M87" s="85">
        <v>88.6</v>
      </c>
      <c r="N87" s="85">
        <v>95.4</v>
      </c>
      <c r="O87" s="85">
        <v>103.8</v>
      </c>
      <c r="P87" s="85">
        <v>94.7</v>
      </c>
      <c r="Q87" s="85">
        <v>85.6</v>
      </c>
      <c r="R87" s="85">
        <v>88.5</v>
      </c>
      <c r="S87" s="85">
        <v>87.3</v>
      </c>
      <c r="T87" s="85">
        <v>84.1</v>
      </c>
      <c r="U87" s="85">
        <v>62.1</v>
      </c>
      <c r="V87" s="85">
        <v>66.3</v>
      </c>
      <c r="W87" s="85">
        <v>64.8</v>
      </c>
      <c r="X87" s="85">
        <v>46.4</v>
      </c>
      <c r="Y87" s="85">
        <v>47.6</v>
      </c>
      <c r="Z87" s="85">
        <v>75.900000000000006</v>
      </c>
      <c r="AA87" s="125">
        <v>66.400000000000006</v>
      </c>
      <c r="AB87" s="125">
        <v>75</v>
      </c>
      <c r="AC87" s="125">
        <v>79.8</v>
      </c>
      <c r="AD87" s="125">
        <v>100.9</v>
      </c>
      <c r="AE87" s="125">
        <v>72</v>
      </c>
      <c r="AF87" s="126">
        <v>81.099999999999994</v>
      </c>
      <c r="AG87" s="127"/>
      <c r="AH87" s="52">
        <f>IF(ABS(MAX(B87:AF87))&gt;ABS(MIN(B87:AF87)),MAX(B87:AF87),MIN(B87:AF87))</f>
        <v>103.8</v>
      </c>
      <c r="AI87" s="121">
        <f>INDEX($B$9:$AF$9,1,MATCH(AH87,B87:AF87,0))</f>
        <v>0.45833333333333298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1093.23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4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4)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4)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990.2399999999999</v>
      </c>
      <c r="U193" s="173">
        <f t="shared" si="37"/>
        <v>963.24</v>
      </c>
      <c r="V193" s="173">
        <f t="shared" si="37"/>
        <v>951.86999999999989</v>
      </c>
      <c r="W193" s="173">
        <f t="shared" si="37"/>
        <v>932.33999999999992</v>
      </c>
      <c r="X193" s="173">
        <f t="shared" si="37"/>
        <v>952.98</v>
      </c>
      <c r="Y193" s="173">
        <f t="shared" si="37"/>
        <v>950.54</v>
      </c>
      <c r="Z193" s="173">
        <f t="shared" si="37"/>
        <v>949.99</v>
      </c>
      <c r="AA193" s="173">
        <f t="shared" si="37"/>
        <v>1030.78</v>
      </c>
      <c r="AB193" s="173">
        <f t="shared" si="37"/>
        <v>1008.74</v>
      </c>
      <c r="AC193" s="173">
        <f t="shared" si="37"/>
        <v>1043.0700000000002</v>
      </c>
      <c r="AD193" s="173">
        <f t="shared" si="37"/>
        <v>1057.54</v>
      </c>
      <c r="AE193" s="173">
        <f t="shared" si="37"/>
        <v>1093.23</v>
      </c>
      <c r="AF193" s="173">
        <f t="shared" si="37"/>
        <v>1093.94</v>
      </c>
      <c r="AG193" s="173">
        <f t="shared" si="37"/>
        <v>1061.81</v>
      </c>
      <c r="AH193" s="173">
        <f t="shared" si="37"/>
        <v>1048.27</v>
      </c>
      <c r="AI193" s="173">
        <f t="shared" si="37"/>
        <v>1034.6100000000001</v>
      </c>
      <c r="AJ193" s="173">
        <f t="shared" si="37"/>
        <v>1030.3399999999999</v>
      </c>
      <c r="AK193" s="173">
        <f t="shared" si="37"/>
        <v>1000.37</v>
      </c>
      <c r="AL193" s="173">
        <f t="shared" si="37"/>
        <v>985.16000000000008</v>
      </c>
      <c r="AM193" s="173">
        <f t="shared" si="37"/>
        <v>1018.48</v>
      </c>
      <c r="AN193" s="173">
        <f t="shared" si="37"/>
        <v>949.24000000000012</v>
      </c>
      <c r="AO193" s="173">
        <f t="shared" si="37"/>
        <v>951.74</v>
      </c>
      <c r="AP193" s="173">
        <f t="shared" si="37"/>
        <v>989.14999999999986</v>
      </c>
      <c r="AQ193" s="173">
        <f t="shared" si="37"/>
        <v>1095.23</v>
      </c>
      <c r="AR193" s="173">
        <f t="shared" si="37"/>
        <v>1198.79</v>
      </c>
      <c r="AS193" s="173">
        <f t="shared" si="37"/>
        <v>1199.5300000000002</v>
      </c>
      <c r="AT193" s="173">
        <f t="shared" si="37"/>
        <v>1181.74</v>
      </c>
      <c r="AU193" s="173">
        <f t="shared" si="37"/>
        <v>1157.72</v>
      </c>
      <c r="AV193" s="173">
        <f t="shared" si="37"/>
        <v>1068.8399999999999</v>
      </c>
      <c r="AW193" s="173">
        <f t="shared" si="37"/>
        <v>994.98</v>
      </c>
      <c r="AX193" s="173">
        <f t="shared" si="37"/>
        <v>974.24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347" priority="181">
      <formula>S$9&gt;=20/24</formula>
    </cfRule>
    <cfRule type="expression" dxfId="5346" priority="182">
      <formula>AND(S$9&gt;=14/24,S$9&lt;20/24)</formula>
    </cfRule>
    <cfRule type="expression" dxfId="5345" priority="183">
      <formula>AND(S$9&gt;=8/24,S$9&lt;14/24)</formula>
    </cfRule>
    <cfRule type="expression" dxfId="5344" priority="184">
      <formula>S$9&lt;8/24</formula>
    </cfRule>
  </conditionalFormatting>
  <conditionalFormatting sqref="B8:AF10 AA70:AF70 B70:Q70 L32:Z33 L31:Q31 B47:AF47 B71:AF71 B48:K52 B72:Q72 C173:AF179 M36 L34:Q34 L49:T50 B73:Z79 AA72:AF79 AA48:AF51 R11:T11 B59:AF69 U11:Z12 B53:B58 C54:L58 N35:Q39 L51:Q58 L29:R29 R38:R39 W34:Z35 S34:V34 L44:AF46">
    <cfRule type="expression" dxfId="5343" priority="177">
      <formula>B$9&gt;=20/24</formula>
    </cfRule>
    <cfRule type="expression" dxfId="5342" priority="178">
      <formula>AND(B$9&gt;=14/24,B$9&lt;20/24)</formula>
    </cfRule>
    <cfRule type="expression" dxfId="5341" priority="179">
      <formula>AND(B$9&gt;=8/24,B$9&lt;14/24)</formula>
    </cfRule>
    <cfRule type="expression" dxfId="5340" priority="180">
      <formula>B$9&lt;8/24</formula>
    </cfRule>
  </conditionalFormatting>
  <conditionalFormatting sqref="B171:AF171">
    <cfRule type="expression" dxfId="5339" priority="173">
      <formula>B$9&gt;=20/24</formula>
    </cfRule>
    <cfRule type="expression" dxfId="5338" priority="174">
      <formula>AND(B$9&gt;=14/24,B$9&lt;20/24)</formula>
    </cfRule>
    <cfRule type="expression" dxfId="5337" priority="175">
      <formula>AND(B$9&gt;=8/24,B$9&lt;14/24)</formula>
    </cfRule>
    <cfRule type="expression" dxfId="5336" priority="176">
      <formula>B$9&lt;8/24</formula>
    </cfRule>
  </conditionalFormatting>
  <conditionalFormatting sqref="AL4:AL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5335" priority="168">
      <formula>L$9&gt;=20/24</formula>
    </cfRule>
    <cfRule type="expression" dxfId="5334" priority="169">
      <formula>AND(L$9&gt;=14/24,L$9&lt;20/24)</formula>
    </cfRule>
    <cfRule type="expression" dxfId="5333" priority="170">
      <formula>AND(L$9&gt;=8/24,L$9&lt;14/24)</formula>
    </cfRule>
    <cfRule type="expression" dxfId="5332" priority="171">
      <formula>L$9&lt;8/24</formula>
    </cfRule>
  </conditionalFormatting>
  <conditionalFormatting sqref="L35:M35">
    <cfRule type="expression" dxfId="5331" priority="164">
      <formula>L$9&gt;=20/24</formula>
    </cfRule>
    <cfRule type="expression" dxfId="5330" priority="165">
      <formula>AND(L$9&gt;=14/24,L$9&lt;20/24)</formula>
    </cfRule>
    <cfRule type="expression" dxfId="5329" priority="166">
      <formula>AND(L$9&gt;=8/24,L$9&lt;14/24)</formula>
    </cfRule>
    <cfRule type="expression" dxfId="5328" priority="167">
      <formula>L$9&lt;8/24</formula>
    </cfRule>
  </conditionalFormatting>
  <conditionalFormatting sqref="U13:Z13">
    <cfRule type="expression" dxfId="5327" priority="160">
      <formula>U$9&gt;=20/24</formula>
    </cfRule>
    <cfRule type="expression" dxfId="5326" priority="161">
      <formula>AND(U$9&gt;=14/24,U$9&lt;20/24)</formula>
    </cfRule>
    <cfRule type="expression" dxfId="5325" priority="162">
      <formula>AND(U$9&gt;=8/24,U$9&lt;14/24)</formula>
    </cfRule>
    <cfRule type="expression" dxfId="5324" priority="163">
      <formula>U$9&lt;8/24</formula>
    </cfRule>
  </conditionalFormatting>
  <conditionalFormatting sqref="R31:Z31">
    <cfRule type="expression" dxfId="5323" priority="156">
      <formula>R$9&gt;=20/24</formula>
    </cfRule>
    <cfRule type="expression" dxfId="5322" priority="157">
      <formula>AND(R$9&gt;=14/24,R$9&lt;20/24)</formula>
    </cfRule>
    <cfRule type="expression" dxfId="5321" priority="158">
      <formula>AND(R$9&gt;=8/24,R$9&lt;14/24)</formula>
    </cfRule>
    <cfRule type="expression" dxfId="5320" priority="159">
      <formula>R$9&lt;8/24</formula>
    </cfRule>
  </conditionalFormatting>
  <conditionalFormatting sqref="R48:Z48">
    <cfRule type="expression" dxfId="5319" priority="152">
      <formula>R$9&gt;=20/24</formula>
    </cfRule>
    <cfRule type="expression" dxfId="5318" priority="153">
      <formula>AND(R$9&gt;=14/24,R$9&lt;20/24)</formula>
    </cfRule>
    <cfRule type="expression" dxfId="5317" priority="154">
      <formula>AND(R$9&gt;=8/24,R$9&lt;14/24)</formula>
    </cfRule>
    <cfRule type="expression" dxfId="5316" priority="155">
      <formula>R$9&lt;8/24</formula>
    </cfRule>
  </conditionalFormatting>
  <conditionalFormatting sqref="R70:Z70">
    <cfRule type="expression" dxfId="5315" priority="148">
      <formula>R$9&gt;=20/24</formula>
    </cfRule>
    <cfRule type="expression" dxfId="5314" priority="149">
      <formula>AND(R$9&gt;=14/24,R$9&lt;20/24)</formula>
    </cfRule>
    <cfRule type="expression" dxfId="5313" priority="150">
      <formula>AND(R$9&gt;=8/24,R$9&lt;14/24)</formula>
    </cfRule>
    <cfRule type="expression" dxfId="5312" priority="151">
      <formula>R$9&lt;8/24</formula>
    </cfRule>
  </conditionalFormatting>
  <conditionalFormatting sqref="R72:Z72">
    <cfRule type="expression" dxfId="5311" priority="144">
      <formula>R$9&gt;=20/24</formula>
    </cfRule>
    <cfRule type="expression" dxfId="5310" priority="145">
      <formula>AND(R$9&gt;=14/24,R$9&lt;20/24)</formula>
    </cfRule>
    <cfRule type="expression" dxfId="5309" priority="146">
      <formula>AND(R$9&gt;=8/24,R$9&lt;14/24)</formula>
    </cfRule>
    <cfRule type="expression" dxfId="5308" priority="147">
      <formula>R$9&lt;8/24</formula>
    </cfRule>
  </conditionalFormatting>
  <conditionalFormatting sqref="L11:Q27 R14:R27 S21:T27">
    <cfRule type="expression" dxfId="5307" priority="140">
      <formula>L$9&gt;=20/24</formula>
    </cfRule>
    <cfRule type="expression" dxfId="5306" priority="141">
      <formula>AND(L$9&gt;=14/24,L$9&lt;20/24)</formula>
    </cfRule>
    <cfRule type="expression" dxfId="5305" priority="142">
      <formula>AND(L$9&gt;=8/24,L$9&lt;14/24)</formula>
    </cfRule>
    <cfRule type="expression" dxfId="5304" priority="143">
      <formula>L$9&lt;8/24</formula>
    </cfRule>
  </conditionalFormatting>
  <conditionalFormatting sqref="L40:R40">
    <cfRule type="expression" dxfId="5303" priority="136">
      <formula>L$9&gt;=20/24</formula>
    </cfRule>
    <cfRule type="expression" dxfId="5302" priority="137">
      <formula>AND(L$9&gt;=14/24,L$9&lt;20/24)</formula>
    </cfRule>
    <cfRule type="expression" dxfId="5301" priority="138">
      <formula>AND(L$9&gt;=8/24,L$9&lt;14/24)</formula>
    </cfRule>
    <cfRule type="expression" dxfId="5300" priority="139">
      <formula>L$9&lt;8/24</formula>
    </cfRule>
  </conditionalFormatting>
  <conditionalFormatting sqref="L41:R41">
    <cfRule type="expression" dxfId="5299" priority="132">
      <formula>L$9&gt;=20/24</formula>
    </cfRule>
    <cfRule type="expression" dxfId="5298" priority="133">
      <formula>AND(L$9&gt;=14/24,L$9&lt;20/24)</formula>
    </cfRule>
    <cfRule type="expression" dxfId="5297" priority="134">
      <formula>AND(L$9&gt;=8/24,L$9&lt;14/24)</formula>
    </cfRule>
    <cfRule type="expression" dxfId="5296" priority="135">
      <formula>L$9&lt;8/24</formula>
    </cfRule>
  </conditionalFormatting>
  <conditionalFormatting sqref="L36:L39 M37:N39 O39">
    <cfRule type="expression" dxfId="5295" priority="128">
      <formula>L$9&gt;=20/24</formula>
    </cfRule>
    <cfRule type="expression" dxfId="5294" priority="129">
      <formula>AND(L$9&gt;=14/24,L$9&lt;20/24)</formula>
    </cfRule>
    <cfRule type="expression" dxfId="5293" priority="130">
      <formula>AND(L$9&gt;=8/24,L$9&lt;14/24)</formula>
    </cfRule>
    <cfRule type="expression" dxfId="5292" priority="131">
      <formula>L$9&lt;8/24</formula>
    </cfRule>
  </conditionalFormatting>
  <conditionalFormatting sqref="S29:AD29">
    <cfRule type="expression" dxfId="5291" priority="124">
      <formula>S$9&gt;=20/24</formula>
    </cfRule>
    <cfRule type="expression" dxfId="5290" priority="125">
      <formula>AND(S$9&gt;=14/24,S$9&lt;20/24)</formula>
    </cfRule>
    <cfRule type="expression" dxfId="5289" priority="126">
      <formula>AND(S$9&gt;=8/24,S$9&lt;14/24)</formula>
    </cfRule>
    <cfRule type="expression" dxfId="5288" priority="127">
      <formula>S$9&lt;8/24</formula>
    </cfRule>
  </conditionalFormatting>
  <conditionalFormatting sqref="R12:T13 S14:Z27 AA16:AF27">
    <cfRule type="expression" dxfId="5287" priority="120">
      <formula>R$9&gt;=20/24</formula>
    </cfRule>
    <cfRule type="expression" dxfId="5286" priority="121">
      <formula>AND(R$9&gt;=14/24,R$9&lt;20/24)</formula>
    </cfRule>
    <cfRule type="expression" dxfId="5285" priority="122">
      <formula>AND(R$9&gt;=8/24,R$9&lt;14/24)</formula>
    </cfRule>
    <cfRule type="expression" dxfId="5284" priority="123">
      <formula>R$9&lt;8/24</formula>
    </cfRule>
  </conditionalFormatting>
  <conditionalFormatting sqref="R34:R39 W36:Z39 S35:V39">
    <cfRule type="expression" dxfId="5283" priority="116">
      <formula>R$9&gt;=20/24</formula>
    </cfRule>
    <cfRule type="expression" dxfId="5282" priority="117">
      <formula>AND(R$9&gt;=14/24,R$9&lt;20/24)</formula>
    </cfRule>
    <cfRule type="expression" dxfId="5281" priority="118">
      <formula>AND(R$9&gt;=8/24,R$9&lt;14/24)</formula>
    </cfRule>
    <cfRule type="expression" dxfId="5280" priority="119">
      <formula>R$9&lt;8/24</formula>
    </cfRule>
  </conditionalFormatting>
  <conditionalFormatting sqref="R40:Z40">
    <cfRule type="expression" dxfId="5279" priority="112">
      <formula>R$9&gt;=20/24</formula>
    </cfRule>
    <cfRule type="expression" dxfId="5278" priority="113">
      <formula>AND(R$9&gt;=14/24,R$9&lt;20/24)</formula>
    </cfRule>
    <cfRule type="expression" dxfId="5277" priority="114">
      <formula>AND(R$9&gt;=8/24,R$9&lt;14/24)</formula>
    </cfRule>
    <cfRule type="expression" dxfId="5276" priority="115">
      <formula>R$9&lt;8/24</formula>
    </cfRule>
  </conditionalFormatting>
  <conditionalFormatting sqref="R41:Z41">
    <cfRule type="expression" dxfId="5275" priority="108">
      <formula>R$9&gt;=20/24</formula>
    </cfRule>
    <cfRule type="expression" dxfId="5274" priority="109">
      <formula>AND(R$9&gt;=14/24,R$9&lt;20/24)</formula>
    </cfRule>
    <cfRule type="expression" dxfId="5273" priority="110">
      <formula>AND(R$9&gt;=8/24,R$9&lt;14/24)</formula>
    </cfRule>
    <cfRule type="expression" dxfId="5272" priority="111">
      <formula>R$9&lt;8/24</formula>
    </cfRule>
  </conditionalFormatting>
  <conditionalFormatting sqref="R51:Z58 AA52:AF58">
    <cfRule type="expression" dxfId="5271" priority="104">
      <formula>R$9&gt;=20/24</formula>
    </cfRule>
    <cfRule type="expression" dxfId="5270" priority="105">
      <formula>AND(R$9&gt;=14/24,R$9&lt;20/24)</formula>
    </cfRule>
    <cfRule type="expression" dxfId="5269" priority="106">
      <formula>AND(R$9&gt;=8/24,R$9&lt;14/24)</formula>
    </cfRule>
    <cfRule type="expression" dxfId="5268" priority="107">
      <formula>R$9&lt;8/24</formula>
    </cfRule>
  </conditionalFormatting>
  <conditionalFormatting sqref="AA83:AF86">
    <cfRule type="expression" dxfId="5267" priority="100">
      <formula>AA$9&gt;=20/24</formula>
    </cfRule>
    <cfRule type="expression" dxfId="5266" priority="101">
      <formula>AND(AA$9&gt;=14/24,AA$9&lt;20/24)</formula>
    </cfRule>
    <cfRule type="expression" dxfId="5265" priority="102">
      <formula>AND(AA$9&gt;=8/24,AA$9&lt;14/24)</formula>
    </cfRule>
    <cfRule type="expression" dxfId="5264" priority="103">
      <formula>AA$9&lt;8/24</formula>
    </cfRule>
  </conditionalFormatting>
  <conditionalFormatting sqref="C53:K53">
    <cfRule type="expression" dxfId="5263" priority="96">
      <formula>C$9&gt;=20/24</formula>
    </cfRule>
    <cfRule type="expression" dxfId="5262" priority="97">
      <formula>AND(C$9&gt;=14/24,C$9&lt;20/24)</formula>
    </cfRule>
    <cfRule type="expression" dxfId="5261" priority="98">
      <formula>AND(C$9&gt;=8/24,C$9&lt;14/24)</formula>
    </cfRule>
    <cfRule type="expression" dxfId="5260" priority="99">
      <formula>C$9&lt;8/24</formula>
    </cfRule>
  </conditionalFormatting>
  <conditionalFormatting sqref="B83:K86">
    <cfRule type="expression" dxfId="5259" priority="92">
      <formula>B$9&gt;=20/24</formula>
    </cfRule>
    <cfRule type="expression" dxfId="5258" priority="93">
      <formula>AND(B$9&gt;=14/24,B$9&lt;20/24)</formula>
    </cfRule>
    <cfRule type="expression" dxfId="5257" priority="94">
      <formula>AND(B$9&gt;=8/24,B$9&lt;14/24)</formula>
    </cfRule>
    <cfRule type="expression" dxfId="5256" priority="95">
      <formula>B$9&lt;8/24</formula>
    </cfRule>
  </conditionalFormatting>
  <conditionalFormatting sqref="L83:Q86">
    <cfRule type="expression" dxfId="5255" priority="88">
      <formula>L$9&gt;=20/24</formula>
    </cfRule>
    <cfRule type="expression" dxfId="5254" priority="89">
      <formula>AND(L$9&gt;=14/24,L$9&lt;20/24)</formula>
    </cfRule>
    <cfRule type="expression" dxfId="5253" priority="90">
      <formula>AND(L$9&gt;=8/24,L$9&lt;14/24)</formula>
    </cfRule>
    <cfRule type="expression" dxfId="5252" priority="91">
      <formula>L$9&lt;8/24</formula>
    </cfRule>
  </conditionalFormatting>
  <conditionalFormatting sqref="R83:Z86">
    <cfRule type="expression" dxfId="5251" priority="84">
      <formula>R$9&gt;=20/24</formula>
    </cfRule>
    <cfRule type="expression" dxfId="5250" priority="85">
      <formula>AND(R$9&gt;=14/24,R$9&lt;20/24)</formula>
    </cfRule>
    <cfRule type="expression" dxfId="5249" priority="86">
      <formula>AND(R$9&gt;=8/24,R$9&lt;14/24)</formula>
    </cfRule>
    <cfRule type="expression" dxfId="5248" priority="87">
      <formula>R$9&lt;8/24</formula>
    </cfRule>
  </conditionalFormatting>
  <conditionalFormatting sqref="AG42 B11:AF13 B30:AF33 C41:L41 L14:Q16 B17:Q19 L20:Q28 B37:L40 B29:Q29 M37:U41 B34:U36 V34:AF41 B42:AF47 R14:AF29">
    <cfRule type="expression" dxfId="5247" priority="83">
      <formula>B11&gt;$AG11</formula>
    </cfRule>
  </conditionalFormatting>
  <conditionalFormatting sqref="T192:AX192">
    <cfRule type="expression" dxfId="5246" priority="79">
      <formula>T$9&gt;=20/24</formula>
    </cfRule>
    <cfRule type="expression" dxfId="5245" priority="80">
      <formula>AND(T$9&gt;=14/24,T$9&lt;20/24)</formula>
    </cfRule>
    <cfRule type="expression" dxfId="5244" priority="81">
      <formula>AND(T$9&gt;=8/24,T$9&lt;14/24)</formula>
    </cfRule>
    <cfRule type="expression" dxfId="5243" priority="82">
      <formula>T$9&lt;8/24</formula>
    </cfRule>
  </conditionalFormatting>
  <conditionalFormatting sqref="A11:A86 A88:A180">
    <cfRule type="expression" dxfId="5242" priority="78">
      <formula>$AH11=0</formula>
    </cfRule>
  </conditionalFormatting>
  <conditionalFormatting sqref="AA87:AF87">
    <cfRule type="expression" dxfId="5241" priority="74">
      <formula>AA$9&gt;=20/24</formula>
    </cfRule>
    <cfRule type="expression" dxfId="5240" priority="75">
      <formula>AND(AA$9&gt;=14/24,AA$9&lt;20/24)</formula>
    </cfRule>
    <cfRule type="expression" dxfId="5239" priority="76">
      <formula>AND(AA$9&gt;=8/24,AA$9&lt;14/24)</formula>
    </cfRule>
    <cfRule type="expression" dxfId="5238" priority="77">
      <formula>AA$9&lt;8/24</formula>
    </cfRule>
  </conditionalFormatting>
  <conditionalFormatting sqref="B87:K87">
    <cfRule type="expression" dxfId="5237" priority="70">
      <formula>B$9&gt;=20/24</formula>
    </cfRule>
    <cfRule type="expression" dxfId="5236" priority="71">
      <formula>AND(B$9&gt;=14/24,B$9&lt;20/24)</formula>
    </cfRule>
    <cfRule type="expression" dxfId="5235" priority="72">
      <formula>AND(B$9&gt;=8/24,B$9&lt;14/24)</formula>
    </cfRule>
    <cfRule type="expression" dxfId="5234" priority="73">
      <formula>B$9&lt;8/24</formula>
    </cfRule>
  </conditionalFormatting>
  <conditionalFormatting sqref="L87:Q87">
    <cfRule type="expression" dxfId="5233" priority="66">
      <formula>L$9&gt;=20/24</formula>
    </cfRule>
    <cfRule type="expression" dxfId="5232" priority="67">
      <formula>AND(L$9&gt;=14/24,L$9&lt;20/24)</formula>
    </cfRule>
    <cfRule type="expression" dxfId="5231" priority="68">
      <formula>AND(L$9&gt;=8/24,L$9&lt;14/24)</formula>
    </cfRule>
    <cfRule type="expression" dxfId="5230" priority="69">
      <formula>L$9&lt;8/24</formula>
    </cfRule>
  </conditionalFormatting>
  <conditionalFormatting sqref="R87:Z87">
    <cfRule type="expression" dxfId="5229" priority="62">
      <formula>R$9&gt;=20/24</formula>
    </cfRule>
    <cfRule type="expression" dxfId="5228" priority="63">
      <formula>AND(R$9&gt;=14/24,R$9&lt;20/24)</formula>
    </cfRule>
    <cfRule type="expression" dxfId="5227" priority="64">
      <formula>AND(R$9&gt;=8/24,R$9&lt;14/24)</formula>
    </cfRule>
    <cfRule type="expression" dxfId="5226" priority="65">
      <formula>R$9&lt;8/24</formula>
    </cfRule>
  </conditionalFormatting>
  <conditionalFormatting sqref="A87">
    <cfRule type="expression" dxfId="5225" priority="61">
      <formula>$AH87=0</formula>
    </cfRule>
  </conditionalFormatting>
  <conditionalFormatting sqref="L28:AF28">
    <cfRule type="expression" dxfId="5224" priority="57">
      <formula>L$9&gt;=20/24</formula>
    </cfRule>
    <cfRule type="expression" dxfId="5223" priority="58">
      <formula>AND(L$9&gt;=14/24,L$9&lt;20/24)</formula>
    </cfRule>
    <cfRule type="expression" dxfId="5222" priority="59">
      <formula>AND(L$9&gt;=8/24,L$9&lt;14/24)</formula>
    </cfRule>
    <cfRule type="expression" dxfId="5221" priority="60">
      <formula>L$9&lt;8/24</formula>
    </cfRule>
  </conditionalFormatting>
  <conditionalFormatting sqref="S28:AA28">
    <cfRule type="expression" dxfId="5220" priority="53">
      <formula>S$9&gt;=20/24</formula>
    </cfRule>
    <cfRule type="expression" dxfId="5219" priority="54">
      <formula>AND(S$9&gt;=14/24,S$9&lt;20/24)</formula>
    </cfRule>
    <cfRule type="expression" dxfId="5218" priority="55">
      <formula>AND(S$9&gt;=8/24,S$9&lt;14/24)</formula>
    </cfRule>
    <cfRule type="expression" dxfId="5217" priority="56">
      <formula>S$9&lt;8/24</formula>
    </cfRule>
  </conditionalFormatting>
  <conditionalFormatting sqref="B15:K15">
    <cfRule type="expression" dxfId="5216" priority="49">
      <formula>B$9&gt;=20/24</formula>
    </cfRule>
    <cfRule type="expression" dxfId="5215" priority="50">
      <formula>AND(B$9&gt;=14/24,B$9&lt;20/24)</formula>
    </cfRule>
    <cfRule type="expression" dxfId="5214" priority="51">
      <formula>AND(B$9&gt;=8/24,B$9&lt;14/24)</formula>
    </cfRule>
    <cfRule type="expression" dxfId="5213" priority="52">
      <formula>B$9&lt;8/24</formula>
    </cfRule>
  </conditionalFormatting>
  <conditionalFormatting sqref="B15:K15">
    <cfRule type="expression" dxfId="5212" priority="48">
      <formula>B15&gt;$AG15</formula>
    </cfRule>
  </conditionalFormatting>
  <conditionalFormatting sqref="B14:K14 B16:K16">
    <cfRule type="expression" dxfId="5211" priority="44">
      <formula>B$9&gt;=20/24</formula>
    </cfRule>
    <cfRule type="expression" dxfId="5210" priority="45">
      <formula>AND(B$9&gt;=14/24,B$9&lt;20/24)</formula>
    </cfRule>
    <cfRule type="expression" dxfId="5209" priority="46">
      <formula>AND(B$9&gt;=8/24,B$9&lt;14/24)</formula>
    </cfRule>
    <cfRule type="expression" dxfId="5208" priority="47">
      <formula>B$9&lt;8/24</formula>
    </cfRule>
  </conditionalFormatting>
  <conditionalFormatting sqref="B14:K14 B16:K16">
    <cfRule type="expression" dxfId="5207" priority="40">
      <formula>B$9&gt;=20/24</formula>
    </cfRule>
    <cfRule type="expression" dxfId="5206" priority="41">
      <formula>AND(B$9&gt;=14/24,B$9&lt;20/24)</formula>
    </cfRule>
    <cfRule type="expression" dxfId="5205" priority="42">
      <formula>AND(B$9&gt;=8/24,B$9&lt;14/24)</formula>
    </cfRule>
    <cfRule type="expression" dxfId="5204" priority="43">
      <formula>B$9&lt;8/24</formula>
    </cfRule>
  </conditionalFormatting>
  <conditionalFormatting sqref="B14:K14 B16:K16">
    <cfRule type="expression" dxfId="5203" priority="39">
      <formula>B14&gt;$AG14</formula>
    </cfRule>
  </conditionalFormatting>
  <conditionalFormatting sqref="B20:K27">
    <cfRule type="expression" dxfId="5202" priority="35">
      <formula>B$9&gt;=20/24</formula>
    </cfRule>
    <cfRule type="expression" dxfId="5201" priority="36">
      <formula>AND(B$9&gt;=14/24,B$9&lt;20/24)</formula>
    </cfRule>
    <cfRule type="expression" dxfId="5200" priority="37">
      <formula>AND(B$9&gt;=8/24,B$9&lt;14/24)</formula>
    </cfRule>
    <cfRule type="expression" dxfId="5199" priority="38">
      <formula>B$9&lt;8/24</formula>
    </cfRule>
  </conditionalFormatting>
  <conditionalFormatting sqref="B20:K27">
    <cfRule type="expression" dxfId="5198" priority="31">
      <formula>B$9&gt;=20/24</formula>
    </cfRule>
    <cfRule type="expression" dxfId="5197" priority="32">
      <formula>AND(B$9&gt;=14/24,B$9&lt;20/24)</formula>
    </cfRule>
    <cfRule type="expression" dxfId="5196" priority="33">
      <formula>AND(B$9&gt;=8/24,B$9&lt;14/24)</formula>
    </cfRule>
    <cfRule type="expression" dxfId="5195" priority="34">
      <formula>B$9&lt;8/24</formula>
    </cfRule>
  </conditionalFormatting>
  <conditionalFormatting sqref="B20:K28">
    <cfRule type="expression" dxfId="5194" priority="30">
      <formula>B20&gt;$AG20</formula>
    </cfRule>
  </conditionalFormatting>
  <conditionalFormatting sqref="B28:K28">
    <cfRule type="expression" dxfId="5193" priority="26">
      <formula>B$9&gt;=20/24</formula>
    </cfRule>
    <cfRule type="expression" dxfId="5192" priority="27">
      <formula>AND(B$9&gt;=14/24,B$9&lt;20/24)</formula>
    </cfRule>
    <cfRule type="expression" dxfId="5191" priority="28">
      <formula>AND(B$9&gt;=8/24,B$9&lt;14/24)</formula>
    </cfRule>
    <cfRule type="expression" dxfId="5190" priority="29">
      <formula>B$9&lt;8/24</formula>
    </cfRule>
  </conditionalFormatting>
  <conditionalFormatting sqref="B28:K28">
    <cfRule type="expression" dxfId="5189" priority="22">
      <formula>B$9&gt;=20/24</formula>
    </cfRule>
    <cfRule type="expression" dxfId="5188" priority="23">
      <formula>AND(B$9&gt;=14/24,B$9&lt;20/24)</formula>
    </cfRule>
    <cfRule type="expression" dxfId="5187" priority="24">
      <formula>AND(B$9&gt;=8/24,B$9&lt;14/24)</formula>
    </cfRule>
    <cfRule type="expression" dxfId="5186" priority="25">
      <formula>B$9&lt;8/24</formula>
    </cfRule>
  </conditionalFormatting>
  <conditionalFormatting sqref="B41">
    <cfRule type="expression" dxfId="5185" priority="18">
      <formula>B$9&gt;=20/24</formula>
    </cfRule>
    <cfRule type="expression" dxfId="5184" priority="19">
      <formula>AND(B$9&gt;=14/24,B$9&lt;20/24)</formula>
    </cfRule>
    <cfRule type="expression" dxfId="5183" priority="20">
      <formula>AND(B$9&gt;=8/24,B$9&lt;14/24)</formula>
    </cfRule>
    <cfRule type="expression" dxfId="5182" priority="21">
      <formula>B$9&lt;8/24</formula>
    </cfRule>
  </conditionalFormatting>
  <conditionalFormatting sqref="B41">
    <cfRule type="expression" dxfId="5181" priority="14">
      <formula>B$9&gt;=20/24</formula>
    </cfRule>
    <cfRule type="expression" dxfId="5180" priority="15">
      <formula>AND(B$9&gt;=14/24,B$9&lt;20/24)</formula>
    </cfRule>
    <cfRule type="expression" dxfId="5179" priority="16">
      <formula>AND(B$9&gt;=8/24,B$9&lt;14/24)</formula>
    </cfRule>
    <cfRule type="expression" dxfId="5178" priority="17">
      <formula>B$9&lt;8/24</formula>
    </cfRule>
  </conditionalFormatting>
  <conditionalFormatting sqref="B41">
    <cfRule type="expression" dxfId="5177" priority="13">
      <formula>B41&gt;$AG41</formula>
    </cfRule>
  </conditionalFormatting>
  <conditionalFormatting sqref="U21:U27">
    <cfRule type="expression" dxfId="5176" priority="9">
      <formula>U$9&gt;=20/24</formula>
    </cfRule>
    <cfRule type="expression" dxfId="5175" priority="10">
      <formula>AND(U$9&gt;=14/24,U$9&lt;20/24)</formula>
    </cfRule>
    <cfRule type="expression" dxfId="5174" priority="11">
      <formula>AND(U$9&gt;=8/24,U$9&lt;14/24)</formula>
    </cfRule>
    <cfRule type="expression" dxfId="5173" priority="12">
      <formula>U$9&lt;8/24</formula>
    </cfRule>
  </conditionalFormatting>
  <conditionalFormatting sqref="V21:Z27">
    <cfRule type="expression" dxfId="5172" priority="5">
      <formula>V$9&gt;=20/24</formula>
    </cfRule>
    <cfRule type="expression" dxfId="5171" priority="6">
      <formula>AND(V$9&gt;=14/24,V$9&lt;20/24)</formula>
    </cfRule>
    <cfRule type="expression" dxfId="5170" priority="7">
      <formula>AND(V$9&gt;=8/24,V$9&lt;14/24)</formula>
    </cfRule>
    <cfRule type="expression" dxfId="5169" priority="8">
      <formula>V$9&lt;8/24</formula>
    </cfRule>
  </conditionalFormatting>
  <conditionalFormatting sqref="AA21:AA27">
    <cfRule type="expression" dxfId="5168" priority="1">
      <formula>AA$9&gt;=20/24</formula>
    </cfRule>
    <cfRule type="expression" dxfId="5167" priority="2">
      <formula>AND(AA$9&gt;=14/24,AA$9&lt;20/24)</formula>
    </cfRule>
    <cfRule type="expression" dxfId="5166" priority="3">
      <formula>AND(AA$9&gt;=8/24,AA$9&lt;14/24)</formula>
    </cfRule>
    <cfRule type="expression" dxfId="5165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K33" sqref="K33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5</v>
      </c>
      <c r="D4" s="324">
        <f ca="1">IFERROR(DATE(2021,5,14)+C4,"")</f>
        <v>44335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486.52</v>
      </c>
      <c r="C5" s="32">
        <f t="shared" ref="C5:AF5" si="0">C59</f>
        <v>443.1</v>
      </c>
      <c r="D5" s="32">
        <f t="shared" si="0"/>
        <v>504.5</v>
      </c>
      <c r="E5" s="32">
        <f t="shared" si="0"/>
        <v>524.87</v>
      </c>
      <c r="F5" s="32">
        <f t="shared" si="0"/>
        <v>529.70000000000005</v>
      </c>
      <c r="G5" s="32">
        <f t="shared" si="0"/>
        <v>519.99</v>
      </c>
      <c r="H5" s="32">
        <f t="shared" si="0"/>
        <v>520</v>
      </c>
      <c r="I5" s="32">
        <f t="shared" si="0"/>
        <v>502.29999999999995</v>
      </c>
      <c r="J5" s="32">
        <f t="shared" si="0"/>
        <v>505.5</v>
      </c>
      <c r="K5" s="32">
        <f t="shared" si="0"/>
        <v>557.4</v>
      </c>
      <c r="L5" s="32">
        <f t="shared" si="0"/>
        <v>550.88000000000011</v>
      </c>
      <c r="M5" s="32">
        <f t="shared" si="0"/>
        <v>552</v>
      </c>
      <c r="N5" s="32">
        <f t="shared" si="0"/>
        <v>554.6</v>
      </c>
      <c r="O5" s="32">
        <f t="shared" si="0"/>
        <v>506.78000000000003</v>
      </c>
      <c r="P5" s="32">
        <f t="shared" si="0"/>
        <v>483.8</v>
      </c>
      <c r="Q5" s="32">
        <f t="shared" si="0"/>
        <v>445.3</v>
      </c>
      <c r="R5" s="32">
        <f t="shared" si="0"/>
        <v>457</v>
      </c>
      <c r="S5" s="32">
        <f t="shared" si="0"/>
        <v>453</v>
      </c>
      <c r="T5" s="32">
        <f t="shared" si="0"/>
        <v>457.2</v>
      </c>
      <c r="U5" s="32">
        <f t="shared" si="0"/>
        <v>433.3</v>
      </c>
      <c r="V5" s="32">
        <f t="shared" si="0"/>
        <v>438</v>
      </c>
      <c r="W5" s="32">
        <f t="shared" si="0"/>
        <v>429</v>
      </c>
      <c r="X5" s="32">
        <f t="shared" si="0"/>
        <v>423</v>
      </c>
      <c r="Y5" s="32">
        <f t="shared" si="0"/>
        <v>487</v>
      </c>
      <c r="Z5" s="32">
        <f t="shared" si="0"/>
        <v>511.4</v>
      </c>
      <c r="AA5" s="32">
        <f t="shared" si="0"/>
        <v>494.14</v>
      </c>
      <c r="AB5" s="32">
        <f t="shared" si="0"/>
        <v>486.99</v>
      </c>
      <c r="AC5" s="32">
        <f t="shared" si="0"/>
        <v>472.84</v>
      </c>
      <c r="AD5" s="32">
        <f t="shared" si="0"/>
        <v>460.39</v>
      </c>
      <c r="AE5" s="32">
        <f t="shared" si="0"/>
        <v>379.38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7"/>
      <c r="E6" s="177"/>
      <c r="F6" s="177"/>
      <c r="G6" s="177"/>
      <c r="H6" s="177"/>
      <c r="I6" s="17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1041MW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Load=141</v>
      </c>
      <c r="B7" s="36">
        <f t="shared" ref="B7:AF7" si="1">B65</f>
        <v>950.76</v>
      </c>
      <c r="C7" s="36">
        <f t="shared" si="1"/>
        <v>929.54</v>
      </c>
      <c r="D7" s="36">
        <f t="shared" si="1"/>
        <v>923.04</v>
      </c>
      <c r="E7" s="36">
        <f t="shared" si="1"/>
        <v>908.51</v>
      </c>
      <c r="F7" s="36">
        <f t="shared" si="1"/>
        <v>920.04000000000008</v>
      </c>
      <c r="G7" s="36">
        <f t="shared" si="1"/>
        <v>925.63000000000011</v>
      </c>
      <c r="H7" s="36">
        <f t="shared" si="1"/>
        <v>924.74</v>
      </c>
      <c r="I7" s="36">
        <f t="shared" si="1"/>
        <v>976.24</v>
      </c>
      <c r="J7" s="36">
        <f t="shared" si="1"/>
        <v>981.84</v>
      </c>
      <c r="K7" s="36">
        <f t="shared" si="1"/>
        <v>1028.54</v>
      </c>
      <c r="L7" s="36">
        <f>L65</f>
        <v>1040.52</v>
      </c>
      <c r="M7" s="36">
        <f t="shared" si="1"/>
        <v>1039.6400000000001</v>
      </c>
      <c r="N7" s="36">
        <f t="shared" si="1"/>
        <v>1043.1399999999999</v>
      </c>
      <c r="O7" s="36">
        <f t="shared" si="1"/>
        <v>1039.72</v>
      </c>
      <c r="P7" s="36">
        <f t="shared" si="1"/>
        <v>1006.4399999999999</v>
      </c>
      <c r="Q7" s="36">
        <f t="shared" si="1"/>
        <v>982.94</v>
      </c>
      <c r="R7" s="36">
        <f t="shared" si="1"/>
        <v>971.74</v>
      </c>
      <c r="S7" s="36">
        <f t="shared" si="1"/>
        <v>971.34</v>
      </c>
      <c r="T7" s="36">
        <f t="shared" si="1"/>
        <v>966.14</v>
      </c>
      <c r="U7" s="36">
        <f t="shared" si="1"/>
        <v>949.6400000000001</v>
      </c>
      <c r="V7" s="36">
        <f t="shared" si="1"/>
        <v>947.54000000000008</v>
      </c>
      <c r="W7" s="36">
        <f t="shared" si="1"/>
        <v>949.1400000000001</v>
      </c>
      <c r="X7" s="36">
        <f t="shared" si="1"/>
        <v>975.54000000000008</v>
      </c>
      <c r="Y7" s="36">
        <f t="shared" si="1"/>
        <v>1078.1399999999999</v>
      </c>
      <c r="Z7" s="36">
        <f t="shared" si="1"/>
        <v>1158.8399999999999</v>
      </c>
      <c r="AA7" s="36">
        <f t="shared" si="1"/>
        <v>1134.6799999999998</v>
      </c>
      <c r="AB7" s="36">
        <f t="shared" si="1"/>
        <v>1123.03</v>
      </c>
      <c r="AC7" s="36">
        <f t="shared" si="1"/>
        <v>1064.6799999999998</v>
      </c>
      <c r="AD7" s="36">
        <f t="shared" si="1"/>
        <v>980.12999999999988</v>
      </c>
      <c r="AE7" s="36">
        <f t="shared" si="1"/>
        <v>911.12</v>
      </c>
      <c r="AF7" s="36">
        <f t="shared" si="1"/>
        <v>140.73999999999998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24.9</v>
      </c>
      <c r="C11" s="48">
        <v>23.3</v>
      </c>
      <c r="D11" s="48">
        <v>24.8</v>
      </c>
      <c r="E11" s="48">
        <v>24.3</v>
      </c>
      <c r="F11" s="48">
        <v>24.6</v>
      </c>
      <c r="G11" s="48">
        <v>25.8</v>
      </c>
      <c r="H11" s="48">
        <v>25.3</v>
      </c>
      <c r="I11" s="48">
        <v>24.5</v>
      </c>
      <c r="J11" s="48">
        <v>24.8</v>
      </c>
      <c r="K11" s="48">
        <v>24.8</v>
      </c>
      <c r="L11" s="48">
        <v>24.8</v>
      </c>
      <c r="M11" s="48">
        <v>24.8</v>
      </c>
      <c r="N11" s="49">
        <v>24.6</v>
      </c>
      <c r="O11" s="49">
        <v>25.6</v>
      </c>
      <c r="P11" s="49">
        <v>25.2</v>
      </c>
      <c r="Q11" s="49">
        <v>24.2</v>
      </c>
      <c r="R11" s="49">
        <v>25.6</v>
      </c>
      <c r="S11" s="49">
        <v>27.8</v>
      </c>
      <c r="T11" s="49">
        <v>27.8</v>
      </c>
      <c r="U11" s="49">
        <v>25.2</v>
      </c>
      <c r="V11" s="49">
        <v>25.2</v>
      </c>
      <c r="W11" s="49">
        <v>26.5</v>
      </c>
      <c r="X11" s="49">
        <v>26.5</v>
      </c>
      <c r="Y11" s="49">
        <v>26.5</v>
      </c>
      <c r="Z11" s="49">
        <v>25.7</v>
      </c>
      <c r="AA11" s="48">
        <v>27.5</v>
      </c>
      <c r="AB11" s="48">
        <v>27.2</v>
      </c>
      <c r="AC11" s="48">
        <v>25.8</v>
      </c>
      <c r="AD11" s="48">
        <v>26</v>
      </c>
      <c r="AE11" s="48">
        <v>25.2</v>
      </c>
      <c r="AF11" s="48"/>
      <c r="AG11" s="51">
        <v>60</v>
      </c>
      <c r="AH11" s="52">
        <f>MAX(B11:AF11)</f>
        <v>27.8</v>
      </c>
      <c r="AI11" s="53">
        <f>MIN(B11:AF11)</f>
        <v>23.3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35.200000000000003</v>
      </c>
      <c r="C12" s="56">
        <v>35.799999999999997</v>
      </c>
      <c r="D12" s="56">
        <v>35.700000000000003</v>
      </c>
      <c r="E12" s="56">
        <v>35.9</v>
      </c>
      <c r="F12" s="56">
        <v>35.9</v>
      </c>
      <c r="G12" s="56">
        <v>36.200000000000003</v>
      </c>
      <c r="H12" s="56">
        <v>35.6</v>
      </c>
      <c r="I12" s="56">
        <v>36</v>
      </c>
      <c r="J12" s="56">
        <v>35.9</v>
      </c>
      <c r="K12" s="56">
        <v>35.6</v>
      </c>
      <c r="L12" s="49">
        <v>35.9</v>
      </c>
      <c r="M12" s="49">
        <v>36.1</v>
      </c>
      <c r="N12" s="49">
        <v>36</v>
      </c>
      <c r="O12" s="49">
        <v>36.1</v>
      </c>
      <c r="P12" s="49">
        <v>38.1</v>
      </c>
      <c r="Q12" s="49">
        <v>38.200000000000003</v>
      </c>
      <c r="R12" s="49">
        <v>38.700000000000003</v>
      </c>
      <c r="S12" s="49">
        <v>38.9</v>
      </c>
      <c r="T12" s="49">
        <v>38.9</v>
      </c>
      <c r="U12" s="49">
        <v>40.5</v>
      </c>
      <c r="V12" s="49">
        <v>40.5</v>
      </c>
      <c r="W12" s="49">
        <v>41</v>
      </c>
      <c r="X12" s="49">
        <v>41</v>
      </c>
      <c r="Y12" s="49">
        <v>41</v>
      </c>
      <c r="Z12" s="49">
        <v>46.2</v>
      </c>
      <c r="AA12" s="56">
        <v>46.3</v>
      </c>
      <c r="AB12" s="56">
        <v>50.4</v>
      </c>
      <c r="AC12" s="56">
        <v>49.8</v>
      </c>
      <c r="AD12" s="56">
        <v>50.2</v>
      </c>
      <c r="AE12" s="56">
        <v>50.6</v>
      </c>
      <c r="AF12" s="56"/>
      <c r="AG12" s="57">
        <v>50</v>
      </c>
      <c r="AH12" s="52">
        <f t="shared" ref="AH12:AH77" si="2">MAX(B12:AF12)</f>
        <v>50.6</v>
      </c>
      <c r="AI12" s="53">
        <f t="shared" ref="AI12:AI77" si="3">MIN(B12:AF12)</f>
        <v>35.200000000000003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19.3</v>
      </c>
      <c r="C13" s="56">
        <v>19.2</v>
      </c>
      <c r="D13" s="56">
        <v>19.600000000000001</v>
      </c>
      <c r="E13" s="56">
        <v>18.899999999999999</v>
      </c>
      <c r="F13" s="56">
        <v>18.899999999999999</v>
      </c>
      <c r="G13" s="56">
        <v>19.399999999999999</v>
      </c>
      <c r="H13" s="56">
        <v>18.899999999999999</v>
      </c>
      <c r="I13" s="56">
        <v>18.8</v>
      </c>
      <c r="J13" s="56">
        <v>18.8</v>
      </c>
      <c r="K13" s="56">
        <v>18.8</v>
      </c>
      <c r="L13" s="56">
        <v>18.8</v>
      </c>
      <c r="M13" s="49">
        <v>18.8</v>
      </c>
      <c r="N13" s="49">
        <v>18.100000000000001</v>
      </c>
      <c r="O13" s="49">
        <v>18.2</v>
      </c>
      <c r="P13" s="49">
        <v>18.3</v>
      </c>
      <c r="Q13" s="49">
        <v>18.2</v>
      </c>
      <c r="R13" s="49">
        <v>18.600000000000001</v>
      </c>
      <c r="S13" s="49">
        <v>19.7</v>
      </c>
      <c r="T13" s="49">
        <v>19.7</v>
      </c>
      <c r="U13" s="49">
        <v>19.7</v>
      </c>
      <c r="V13" s="49">
        <v>19.7</v>
      </c>
      <c r="W13" s="49">
        <v>22.7</v>
      </c>
      <c r="X13" s="49">
        <v>22.7</v>
      </c>
      <c r="Y13" s="49">
        <v>22.7</v>
      </c>
      <c r="Z13" s="49">
        <v>30</v>
      </c>
      <c r="AA13" s="56">
        <v>35</v>
      </c>
      <c r="AB13" s="56">
        <v>34.200000000000003</v>
      </c>
      <c r="AC13" s="56">
        <v>35</v>
      </c>
      <c r="AD13" s="56">
        <v>34.9</v>
      </c>
      <c r="AE13" s="56">
        <v>29.5</v>
      </c>
      <c r="AF13" s="56"/>
      <c r="AG13" s="59">
        <v>45</v>
      </c>
      <c r="AH13" s="52">
        <f t="shared" si="2"/>
        <v>35</v>
      </c>
      <c r="AI13" s="53">
        <f t="shared" si="3"/>
        <v>18.100000000000001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49">
        <v>16</v>
      </c>
      <c r="M14" s="49">
        <v>16</v>
      </c>
      <c r="N14" s="49">
        <v>16</v>
      </c>
      <c r="O14" s="49">
        <v>16</v>
      </c>
      <c r="P14" s="49">
        <v>16</v>
      </c>
      <c r="Q14" s="49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56">
        <v>16</v>
      </c>
      <c r="AB14" s="56">
        <v>16</v>
      </c>
      <c r="AC14" s="56">
        <v>16</v>
      </c>
      <c r="AD14" s="56">
        <v>16</v>
      </c>
      <c r="AE14" s="56">
        <v>16</v>
      </c>
      <c r="AF14" s="56"/>
      <c r="AG14" s="59">
        <v>25</v>
      </c>
      <c r="AH14" s="52">
        <f t="shared" si="2"/>
        <v>16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9.8000000000000007</v>
      </c>
      <c r="C15" s="56">
        <v>9.9</v>
      </c>
      <c r="D15" s="56">
        <v>9.6999999999999993</v>
      </c>
      <c r="E15" s="56">
        <v>10.1</v>
      </c>
      <c r="F15" s="56">
        <v>9.4</v>
      </c>
      <c r="G15" s="56">
        <v>10</v>
      </c>
      <c r="H15" s="56">
        <v>10.1</v>
      </c>
      <c r="I15" s="56">
        <v>10</v>
      </c>
      <c r="J15" s="56">
        <v>9.6999999999999993</v>
      </c>
      <c r="K15" s="56">
        <v>9.8000000000000007</v>
      </c>
      <c r="L15" s="49">
        <v>10.1</v>
      </c>
      <c r="M15" s="49">
        <v>10.1</v>
      </c>
      <c r="N15" s="49">
        <v>10.1</v>
      </c>
      <c r="O15" s="49">
        <v>11</v>
      </c>
      <c r="P15" s="49">
        <v>11</v>
      </c>
      <c r="Q15" s="49">
        <v>12.8</v>
      </c>
      <c r="R15" s="49">
        <v>13.1</v>
      </c>
      <c r="S15" s="49">
        <v>12.9</v>
      </c>
      <c r="T15" s="49">
        <v>12.9</v>
      </c>
      <c r="U15" s="49">
        <v>13.1</v>
      </c>
      <c r="V15" s="49">
        <v>13.1</v>
      </c>
      <c r="W15" s="49">
        <v>13</v>
      </c>
      <c r="X15" s="49">
        <v>13</v>
      </c>
      <c r="Y15" s="49">
        <v>13</v>
      </c>
      <c r="Z15" s="49">
        <v>13</v>
      </c>
      <c r="AA15" s="56">
        <v>13</v>
      </c>
      <c r="AB15" s="56">
        <v>13.1</v>
      </c>
      <c r="AC15" s="56">
        <v>13.1</v>
      </c>
      <c r="AD15" s="56">
        <v>13.1</v>
      </c>
      <c r="AE15" s="56">
        <v>13.5</v>
      </c>
      <c r="AF15" s="56"/>
      <c r="AG15" s="59">
        <v>25</v>
      </c>
      <c r="AH15" s="52">
        <f t="shared" si="2"/>
        <v>13.5</v>
      </c>
      <c r="AI15" s="53">
        <f t="shared" si="3"/>
        <v>9.4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14.7</v>
      </c>
      <c r="C17" s="56">
        <v>13.9</v>
      </c>
      <c r="D17" s="56">
        <v>14</v>
      </c>
      <c r="E17" s="56">
        <v>14</v>
      </c>
      <c r="F17" s="56">
        <v>14.2</v>
      </c>
      <c r="G17" s="56">
        <v>13.6</v>
      </c>
      <c r="H17" s="56">
        <v>13.5</v>
      </c>
      <c r="I17" s="56">
        <v>13.6</v>
      </c>
      <c r="J17" s="56">
        <v>13.5</v>
      </c>
      <c r="K17" s="56">
        <v>13.4</v>
      </c>
      <c r="L17" s="49">
        <v>13.7</v>
      </c>
      <c r="M17" s="49">
        <v>13.7</v>
      </c>
      <c r="N17" s="49">
        <v>13.3</v>
      </c>
      <c r="O17" s="49">
        <v>14.5</v>
      </c>
      <c r="P17" s="49">
        <v>14.7</v>
      </c>
      <c r="Q17" s="49">
        <v>14.8</v>
      </c>
      <c r="R17" s="49">
        <v>15</v>
      </c>
      <c r="S17" s="49">
        <v>14.9</v>
      </c>
      <c r="T17" s="49">
        <v>14.9</v>
      </c>
      <c r="U17" s="49">
        <v>13.6</v>
      </c>
      <c r="V17" s="49">
        <v>13.6</v>
      </c>
      <c r="W17" s="49">
        <v>15.8</v>
      </c>
      <c r="X17" s="49">
        <v>17.399999999999999</v>
      </c>
      <c r="Y17" s="49">
        <v>17.399999999999999</v>
      </c>
      <c r="Z17" s="49">
        <v>18.5</v>
      </c>
      <c r="AA17" s="49">
        <v>17.8</v>
      </c>
      <c r="AB17" s="49">
        <v>16.899999999999999</v>
      </c>
      <c r="AC17" s="49">
        <v>16.899999999999999</v>
      </c>
      <c r="AD17" s="49">
        <v>18.2</v>
      </c>
      <c r="AE17" s="49">
        <v>18.5</v>
      </c>
      <c r="AF17" s="49"/>
      <c r="AG17" s="59">
        <v>22.1</v>
      </c>
      <c r="AH17" s="52">
        <f t="shared" si="2"/>
        <v>18.5</v>
      </c>
      <c r="AI17" s="53">
        <f t="shared" si="3"/>
        <v>13.3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10.7</v>
      </c>
      <c r="C19" s="56">
        <v>9.6</v>
      </c>
      <c r="D19" s="56">
        <v>9.5</v>
      </c>
      <c r="E19" s="56">
        <v>9.1999999999999993</v>
      </c>
      <c r="F19" s="56">
        <v>9.5</v>
      </c>
      <c r="G19" s="56">
        <v>9.5</v>
      </c>
      <c r="H19" s="56">
        <v>9.6999999999999993</v>
      </c>
      <c r="I19" s="56">
        <v>9.5</v>
      </c>
      <c r="J19" s="56">
        <v>9.5</v>
      </c>
      <c r="K19" s="56">
        <v>9.5</v>
      </c>
      <c r="L19" s="49">
        <v>8.9</v>
      </c>
      <c r="M19" s="49">
        <v>9</v>
      </c>
      <c r="N19" s="49">
        <v>7.8</v>
      </c>
      <c r="O19" s="49">
        <v>7.7</v>
      </c>
      <c r="P19" s="49">
        <v>7.4</v>
      </c>
      <c r="Q19" s="49">
        <v>7.2</v>
      </c>
      <c r="R19" s="49">
        <v>6</v>
      </c>
      <c r="S19" s="49">
        <v>6.2</v>
      </c>
      <c r="T19" s="49">
        <v>6.2</v>
      </c>
      <c r="U19" s="49">
        <v>6.9</v>
      </c>
      <c r="V19" s="49">
        <v>6.9</v>
      </c>
      <c r="W19" s="49">
        <v>7.5</v>
      </c>
      <c r="X19" s="49">
        <v>8.3000000000000007</v>
      </c>
      <c r="Y19" s="49">
        <v>8.3000000000000007</v>
      </c>
      <c r="Z19" s="49">
        <v>9.4</v>
      </c>
      <c r="AA19" s="49">
        <v>9.8000000000000007</v>
      </c>
      <c r="AB19" s="49">
        <v>9.6999999999999993</v>
      </c>
      <c r="AC19" s="49">
        <v>10.1</v>
      </c>
      <c r="AD19" s="49">
        <v>10.6</v>
      </c>
      <c r="AE19" s="49">
        <v>10.6</v>
      </c>
      <c r="AF19" s="49"/>
      <c r="AG19" s="59">
        <v>22</v>
      </c>
      <c r="AH19" s="52">
        <f t="shared" si="2"/>
        <v>10.7</v>
      </c>
      <c r="AI19" s="53">
        <f t="shared" si="3"/>
        <v>6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7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49">
        <v>3.5</v>
      </c>
      <c r="M21" s="49">
        <v>3.5</v>
      </c>
      <c r="N21" s="49">
        <v>3.5</v>
      </c>
      <c r="O21" s="49">
        <v>3.5</v>
      </c>
      <c r="P21" s="49">
        <v>3.5</v>
      </c>
      <c r="Q21" s="49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3.5</v>
      </c>
      <c r="AA24" s="56">
        <v>3.5</v>
      </c>
      <c r="AB24" s="56">
        <v>3.5</v>
      </c>
      <c r="AC24" s="56">
        <v>3.5</v>
      </c>
      <c r="AD24" s="56">
        <v>3.5</v>
      </c>
      <c r="AE24" s="56">
        <v>3.5</v>
      </c>
      <c r="AF24" s="56">
        <v>3.5</v>
      </c>
      <c r="AG24" s="59">
        <v>12</v>
      </c>
      <c r="AH24" s="52">
        <f t="shared" si="2"/>
        <v>3.5</v>
      </c>
      <c r="AI24" s="53">
        <f t="shared" si="3"/>
        <v>3.5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43.3</v>
      </c>
      <c r="C29" s="56">
        <v>43.8</v>
      </c>
      <c r="D29" s="56">
        <v>44.7</v>
      </c>
      <c r="E29" s="56">
        <v>45.2</v>
      </c>
      <c r="F29" s="56">
        <v>42.9</v>
      </c>
      <c r="G29" s="56">
        <v>41.9</v>
      </c>
      <c r="H29" s="56">
        <v>41.9</v>
      </c>
      <c r="I29" s="56">
        <v>41.8</v>
      </c>
      <c r="J29" s="56">
        <v>40.6</v>
      </c>
      <c r="K29" s="56">
        <v>39.6</v>
      </c>
      <c r="L29" s="67">
        <v>39.9</v>
      </c>
      <c r="M29" s="67">
        <v>39.200000000000003</v>
      </c>
      <c r="N29" s="67">
        <v>39.799999999999997</v>
      </c>
      <c r="O29" s="67">
        <v>43.3</v>
      </c>
      <c r="P29" s="67">
        <v>39.9</v>
      </c>
      <c r="Q29" s="67">
        <v>38.1</v>
      </c>
      <c r="R29" s="67">
        <v>40.700000000000003</v>
      </c>
      <c r="S29" s="67">
        <v>40.9</v>
      </c>
      <c r="T29" s="67">
        <v>38.799999999999997</v>
      </c>
      <c r="U29" s="67">
        <v>38.6</v>
      </c>
      <c r="V29" s="67">
        <v>38.4</v>
      </c>
      <c r="W29" s="67">
        <v>39</v>
      </c>
      <c r="X29" s="67">
        <v>38.799999999999997</v>
      </c>
      <c r="Y29" s="67">
        <v>36.799999999999997</v>
      </c>
      <c r="Z29" s="67">
        <v>36.299999999999997</v>
      </c>
      <c r="AA29" s="67">
        <v>35.700000000000003</v>
      </c>
      <c r="AB29" s="67">
        <v>36.9</v>
      </c>
      <c r="AC29" s="67">
        <v>37.1</v>
      </c>
      <c r="AD29" s="67">
        <v>38.5</v>
      </c>
      <c r="AE29" s="56">
        <v>38.9</v>
      </c>
      <c r="AF29" s="56"/>
      <c r="AG29" s="59">
        <v>240</v>
      </c>
      <c r="AH29" s="52">
        <f t="shared" si="2"/>
        <v>45.2</v>
      </c>
      <c r="AI29" s="53">
        <f t="shared" si="3"/>
        <v>35.700000000000003</v>
      </c>
      <c r="AK29" s="54"/>
    </row>
    <row r="30" spans="1:88" ht="15.75" thickBot="1" x14ac:dyDescent="0.3">
      <c r="A30" s="68" t="s">
        <v>37</v>
      </c>
      <c r="B30" s="69">
        <f t="shared" ref="B30:AF30" si="4">SUM(B11:B28)</f>
        <v>267.8</v>
      </c>
      <c r="C30" s="69">
        <f t="shared" si="4"/>
        <v>264.89999999999998</v>
      </c>
      <c r="D30" s="69">
        <f t="shared" si="4"/>
        <v>266.5</v>
      </c>
      <c r="E30" s="69">
        <f t="shared" si="4"/>
        <v>265.59999999999997</v>
      </c>
      <c r="F30" s="69">
        <f t="shared" si="4"/>
        <v>265.70000000000005</v>
      </c>
      <c r="G30" s="69">
        <f t="shared" si="4"/>
        <v>267.7</v>
      </c>
      <c r="H30" s="69">
        <f t="shared" si="4"/>
        <v>266.3</v>
      </c>
      <c r="I30" s="69">
        <f t="shared" si="4"/>
        <v>265.60000000000002</v>
      </c>
      <c r="J30" s="69">
        <f t="shared" si="4"/>
        <v>265.39999999999998</v>
      </c>
      <c r="K30" s="69">
        <f t="shared" si="4"/>
        <v>265.10000000000002</v>
      </c>
      <c r="L30" s="69">
        <f t="shared" si="4"/>
        <v>265.39999999999998</v>
      </c>
      <c r="M30" s="69">
        <f t="shared" si="4"/>
        <v>265.7</v>
      </c>
      <c r="N30" s="69">
        <f t="shared" si="4"/>
        <v>263.10000000000002</v>
      </c>
      <c r="O30" s="69">
        <f t="shared" si="4"/>
        <v>266.3</v>
      </c>
      <c r="P30" s="69">
        <f t="shared" si="4"/>
        <v>267.89999999999998</v>
      </c>
      <c r="Q30" s="69">
        <f t="shared" si="4"/>
        <v>268.60000000000002</v>
      </c>
      <c r="R30" s="69">
        <f t="shared" si="4"/>
        <v>270.2</v>
      </c>
      <c r="S30" s="69">
        <f t="shared" si="4"/>
        <v>273.60000000000002</v>
      </c>
      <c r="T30" s="69">
        <f t="shared" si="4"/>
        <v>273.60000000000002</v>
      </c>
      <c r="U30" s="69">
        <f t="shared" si="4"/>
        <v>272.20000000000005</v>
      </c>
      <c r="V30" s="69">
        <f>SUM(V11:V28)</f>
        <v>272.20000000000005</v>
      </c>
      <c r="W30" s="69">
        <f t="shared" si="4"/>
        <v>279.70000000000005</v>
      </c>
      <c r="X30" s="69">
        <f t="shared" si="4"/>
        <v>282.10000000000002</v>
      </c>
      <c r="Y30" s="69">
        <f t="shared" si="4"/>
        <v>282.10000000000002</v>
      </c>
      <c r="Z30" s="69">
        <f t="shared" si="4"/>
        <v>296</v>
      </c>
      <c r="AA30" s="69">
        <f t="shared" si="4"/>
        <v>302.60000000000002</v>
      </c>
      <c r="AB30" s="69">
        <f t="shared" si="4"/>
        <v>304.7</v>
      </c>
      <c r="AC30" s="69">
        <f t="shared" si="4"/>
        <v>303.89999999999998</v>
      </c>
      <c r="AD30" s="69">
        <f t="shared" si="4"/>
        <v>306.19999999999993</v>
      </c>
      <c r="AE30" s="69">
        <f t="shared" si="4"/>
        <v>301.10000000000002</v>
      </c>
      <c r="AF30" s="69">
        <f t="shared" si="4"/>
        <v>137.19999999999999</v>
      </c>
      <c r="AG30" s="59">
        <f>SUM(AG11:AG29)</f>
        <v>729.2</v>
      </c>
      <c r="AH30" s="52">
        <f t="shared" si="2"/>
        <v>306.19999999999993</v>
      </c>
      <c r="AI30" s="53">
        <f t="shared" si="3"/>
        <v>137.19999999999999</v>
      </c>
      <c r="AK30" s="54"/>
    </row>
    <row r="31" spans="1:88" x14ac:dyDescent="0.25">
      <c r="A31" s="55" t="s">
        <v>38</v>
      </c>
      <c r="B31" s="56">
        <v>59.7</v>
      </c>
      <c r="C31" s="56">
        <v>71.099999999999994</v>
      </c>
      <c r="D31" s="56">
        <v>40.6</v>
      </c>
      <c r="E31" s="56">
        <v>30.7</v>
      </c>
      <c r="F31" s="56">
        <v>40.4</v>
      </c>
      <c r="G31" s="56">
        <v>48</v>
      </c>
      <c r="H31" s="56">
        <v>48.6</v>
      </c>
      <c r="I31" s="56">
        <v>65.900000000000006</v>
      </c>
      <c r="J31" s="56">
        <v>65.599999999999994</v>
      </c>
      <c r="K31" s="56">
        <v>65.599999999999994</v>
      </c>
      <c r="L31" s="49">
        <v>66.2</v>
      </c>
      <c r="M31" s="49">
        <v>65.400000000000006</v>
      </c>
      <c r="N31" s="49">
        <v>65.3</v>
      </c>
      <c r="O31" s="49">
        <v>75.8</v>
      </c>
      <c r="P31" s="49">
        <v>75.8</v>
      </c>
      <c r="Q31" s="49">
        <v>81</v>
      </c>
      <c r="R31" s="49">
        <v>60.8</v>
      </c>
      <c r="S31" s="49">
        <v>60.8</v>
      </c>
      <c r="T31" s="49">
        <v>60.9</v>
      </c>
      <c r="U31" s="49">
        <v>61</v>
      </c>
      <c r="V31" s="49">
        <v>70.8</v>
      </c>
      <c r="W31" s="49">
        <v>71</v>
      </c>
      <c r="X31" s="49">
        <v>91</v>
      </c>
      <c r="Y31" s="49">
        <v>90</v>
      </c>
      <c r="Z31" s="49">
        <v>96.5</v>
      </c>
      <c r="AA31" s="48">
        <v>96.9</v>
      </c>
      <c r="AB31" s="48">
        <v>97</v>
      </c>
      <c r="AC31" s="48">
        <v>97</v>
      </c>
      <c r="AD31" s="48">
        <v>60.5</v>
      </c>
      <c r="AE31" s="48">
        <v>70.8</v>
      </c>
      <c r="AF31" s="48"/>
      <c r="AG31" s="57">
        <v>144</v>
      </c>
      <c r="AH31" s="52">
        <f t="shared" si="2"/>
        <v>97</v>
      </c>
      <c r="AI31" s="53">
        <f t="shared" si="3"/>
        <v>30.7</v>
      </c>
      <c r="AK31" s="54"/>
    </row>
    <row r="32" spans="1:88" x14ac:dyDescent="0.25">
      <c r="A32" s="58" t="s">
        <v>39</v>
      </c>
      <c r="B32" s="56">
        <v>25.2</v>
      </c>
      <c r="C32" s="56">
        <v>27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30.2</v>
      </c>
      <c r="J32" s="56">
        <v>35</v>
      </c>
      <c r="K32" s="56">
        <v>25.7</v>
      </c>
      <c r="L32" s="70">
        <v>34.1</v>
      </c>
      <c r="M32" s="70">
        <v>35.700000000000003</v>
      </c>
      <c r="N32" s="70">
        <v>34.700000000000003</v>
      </c>
      <c r="O32" s="70">
        <v>62.1</v>
      </c>
      <c r="P32" s="70">
        <v>51.3</v>
      </c>
      <c r="Q32" s="70">
        <v>54.9</v>
      </c>
      <c r="R32" s="70">
        <v>49.4</v>
      </c>
      <c r="S32" s="70">
        <v>49.6</v>
      </c>
      <c r="T32" s="70">
        <v>45.1</v>
      </c>
      <c r="U32" s="70">
        <v>49.2</v>
      </c>
      <c r="V32" s="70">
        <v>35</v>
      </c>
      <c r="W32" s="70">
        <v>35</v>
      </c>
      <c r="X32" s="70">
        <v>45</v>
      </c>
      <c r="Y32" s="70">
        <v>46</v>
      </c>
      <c r="Z32" s="70">
        <v>68.400000000000006</v>
      </c>
      <c r="AA32" s="56">
        <v>69.3</v>
      </c>
      <c r="AB32" s="56">
        <v>69.099999999999994</v>
      </c>
      <c r="AC32" s="56">
        <v>43.9</v>
      </c>
      <c r="AD32" s="56">
        <v>20.2</v>
      </c>
      <c r="AE32" s="56">
        <v>25</v>
      </c>
      <c r="AF32" s="56"/>
      <c r="AG32" s="59">
        <v>70</v>
      </c>
      <c r="AH32" s="52">
        <f t="shared" si="2"/>
        <v>69.3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34</v>
      </c>
      <c r="C33" s="56">
        <v>45.5</v>
      </c>
      <c r="D33" s="56">
        <v>33.5</v>
      </c>
      <c r="E33" s="56">
        <v>20.8</v>
      </c>
      <c r="F33" s="56">
        <v>17.5</v>
      </c>
      <c r="G33" s="56">
        <v>23.3</v>
      </c>
      <c r="H33" s="56">
        <v>23.1</v>
      </c>
      <c r="I33" s="56">
        <v>45.6</v>
      </c>
      <c r="J33" s="56">
        <v>43.7</v>
      </c>
      <c r="K33" s="56">
        <v>38</v>
      </c>
      <c r="L33" s="70">
        <v>46.5</v>
      </c>
      <c r="M33" s="70">
        <v>43.6</v>
      </c>
      <c r="N33" s="70">
        <v>43.3</v>
      </c>
      <c r="O33" s="70">
        <v>36.6</v>
      </c>
      <c r="P33" s="70">
        <v>36.4</v>
      </c>
      <c r="Q33" s="70">
        <v>36.299999999999997</v>
      </c>
      <c r="R33" s="70">
        <v>36.4</v>
      </c>
      <c r="S33" s="70">
        <v>36.4</v>
      </c>
      <c r="T33" s="70">
        <v>36.4</v>
      </c>
      <c r="U33" s="70">
        <v>36.5</v>
      </c>
      <c r="V33" s="70">
        <v>36.6</v>
      </c>
      <c r="W33" s="70">
        <v>36.6</v>
      </c>
      <c r="X33" s="70">
        <v>36.6</v>
      </c>
      <c r="Y33" s="70">
        <v>53</v>
      </c>
      <c r="Z33" s="70">
        <v>67</v>
      </c>
      <c r="AA33" s="56">
        <v>66.8</v>
      </c>
      <c r="AB33" s="56">
        <v>66.599999999999994</v>
      </c>
      <c r="AC33" s="56">
        <v>59.9</v>
      </c>
      <c r="AD33" s="56">
        <v>33.700000000000003</v>
      </c>
      <c r="AE33" s="56">
        <v>33.700000000000003</v>
      </c>
      <c r="AF33" s="56"/>
      <c r="AG33" s="59">
        <v>69</v>
      </c>
      <c r="AH33" s="52">
        <f t="shared" si="2"/>
        <v>67</v>
      </c>
      <c r="AI33" s="53">
        <f t="shared" si="3"/>
        <v>17.5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28.5</v>
      </c>
      <c r="E34" s="56">
        <v>28.5</v>
      </c>
      <c r="F34" s="56">
        <v>28.7</v>
      </c>
      <c r="G34" s="56">
        <v>28.5</v>
      </c>
      <c r="H34" s="56">
        <v>28.5</v>
      </c>
      <c r="I34" s="56">
        <v>28.5</v>
      </c>
      <c r="J34" s="56">
        <v>28.5</v>
      </c>
      <c r="K34" s="56">
        <v>28.5</v>
      </c>
      <c r="L34" s="70">
        <v>28.5</v>
      </c>
      <c r="M34" s="70">
        <v>28.5</v>
      </c>
      <c r="N34" s="70">
        <v>28.5</v>
      </c>
      <c r="O34" s="70">
        <v>28.5</v>
      </c>
      <c r="P34" s="70">
        <v>28.5</v>
      </c>
      <c r="Q34" s="70">
        <v>28.5</v>
      </c>
      <c r="R34" s="70">
        <v>28.5</v>
      </c>
      <c r="S34" s="70">
        <v>28.5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16.899999999999999</v>
      </c>
      <c r="AD34" s="56">
        <v>28.7</v>
      </c>
      <c r="AE34" s="56">
        <v>29</v>
      </c>
      <c r="AF34" s="56"/>
      <c r="AG34" s="59">
        <v>60</v>
      </c>
      <c r="AH34" s="52">
        <f t="shared" si="2"/>
        <v>29</v>
      </c>
      <c r="AI34" s="53">
        <f t="shared" si="3"/>
        <v>16.899999999999999</v>
      </c>
      <c r="AK34" s="54"/>
    </row>
    <row r="35" spans="1:41" x14ac:dyDescent="0.25">
      <c r="A35" s="58" t="s">
        <v>42</v>
      </c>
      <c r="B35" s="56">
        <v>10</v>
      </c>
      <c r="C35" s="56">
        <v>10</v>
      </c>
      <c r="D35" s="56">
        <v>10.199999999999999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10</v>
      </c>
      <c r="L35" s="49">
        <v>10.5</v>
      </c>
      <c r="M35" s="49">
        <v>10.3</v>
      </c>
      <c r="N35" s="49">
        <v>15.1</v>
      </c>
      <c r="O35" s="49">
        <v>25.1</v>
      </c>
      <c r="P35" s="49">
        <v>24.3</v>
      </c>
      <c r="Q35" s="49">
        <v>29.8</v>
      </c>
      <c r="R35" s="49">
        <v>30</v>
      </c>
      <c r="S35" s="49">
        <v>30</v>
      </c>
      <c r="T35" s="49">
        <v>25</v>
      </c>
      <c r="U35" s="49">
        <v>29.5</v>
      </c>
      <c r="V35" s="49">
        <v>27</v>
      </c>
      <c r="W35" s="70">
        <v>30</v>
      </c>
      <c r="X35" s="70">
        <v>30</v>
      </c>
      <c r="Y35" s="70">
        <v>30</v>
      </c>
      <c r="Z35" s="70">
        <v>30</v>
      </c>
      <c r="AA35" s="56">
        <v>29.9</v>
      </c>
      <c r="AB35" s="56">
        <v>29.9</v>
      </c>
      <c r="AC35" s="56">
        <v>29.9</v>
      </c>
      <c r="AD35" s="56">
        <v>30</v>
      </c>
      <c r="AE35" s="56">
        <v>30</v>
      </c>
      <c r="AF35" s="56"/>
      <c r="AG35" s="59">
        <v>30</v>
      </c>
      <c r="AH35" s="52">
        <f t="shared" si="2"/>
        <v>30</v>
      </c>
      <c r="AI35" s="53">
        <f t="shared" si="3"/>
        <v>0</v>
      </c>
      <c r="AK35" s="54"/>
    </row>
    <row r="36" spans="1:41" x14ac:dyDescent="0.25">
      <c r="A36" s="58" t="s">
        <v>43</v>
      </c>
      <c r="B36" s="71">
        <v>15.6</v>
      </c>
      <c r="C36" s="71">
        <v>15.6</v>
      </c>
      <c r="D36" s="71">
        <v>15.4</v>
      </c>
      <c r="E36" s="71">
        <v>14.2</v>
      </c>
      <c r="F36" s="71">
        <v>14.2</v>
      </c>
      <c r="G36" s="71">
        <v>14.3</v>
      </c>
      <c r="H36" s="71">
        <v>14.4</v>
      </c>
      <c r="I36" s="71">
        <v>14.3</v>
      </c>
      <c r="J36" s="71">
        <v>14.3</v>
      </c>
      <c r="K36" s="71">
        <v>14.4</v>
      </c>
      <c r="L36" s="49">
        <v>14.4</v>
      </c>
      <c r="M36" s="49">
        <v>14.5</v>
      </c>
      <c r="N36" s="49">
        <v>14.5</v>
      </c>
      <c r="O36" s="49">
        <v>14.5</v>
      </c>
      <c r="P36" s="49">
        <v>14.4</v>
      </c>
      <c r="Q36" s="49">
        <v>14.5</v>
      </c>
      <c r="R36" s="49">
        <v>15.4</v>
      </c>
      <c r="S36" s="49">
        <v>15.4</v>
      </c>
      <c r="T36" s="49">
        <v>15.4</v>
      </c>
      <c r="U36" s="49">
        <v>15.4</v>
      </c>
      <c r="V36" s="49">
        <v>15.4</v>
      </c>
      <c r="W36" s="49">
        <v>15.3</v>
      </c>
      <c r="X36" s="49">
        <v>15.3</v>
      </c>
      <c r="Y36" s="49">
        <v>15.3</v>
      </c>
      <c r="Z36" s="49">
        <v>15.3</v>
      </c>
      <c r="AA36" s="56">
        <v>16.2</v>
      </c>
      <c r="AB36" s="56">
        <v>16.2</v>
      </c>
      <c r="AC36" s="56">
        <v>16.2</v>
      </c>
      <c r="AD36" s="56">
        <v>16.2</v>
      </c>
      <c r="AE36" s="56">
        <v>16.2</v>
      </c>
      <c r="AF36" s="56"/>
      <c r="AG36" s="59">
        <v>24</v>
      </c>
      <c r="AH36" s="52">
        <f t="shared" si="2"/>
        <v>16.2</v>
      </c>
      <c r="AI36" s="53">
        <f t="shared" si="3"/>
        <v>14.2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/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/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49">
        <v>3.9</v>
      </c>
      <c r="M39" s="49">
        <v>3.9</v>
      </c>
      <c r="N39" s="49">
        <v>3.9</v>
      </c>
      <c r="O39" s="49">
        <v>3.9</v>
      </c>
      <c r="P39" s="49">
        <v>3.9</v>
      </c>
      <c r="Q39" s="49">
        <v>3.9</v>
      </c>
      <c r="R39" s="49">
        <v>3.9</v>
      </c>
      <c r="S39" s="49">
        <v>3.9</v>
      </c>
      <c r="T39" s="49">
        <v>3.9</v>
      </c>
      <c r="U39" s="49">
        <v>3.9</v>
      </c>
      <c r="V39" s="49">
        <v>3.9</v>
      </c>
      <c r="W39" s="49">
        <v>3.9</v>
      </c>
      <c r="X39" s="49">
        <v>3.9</v>
      </c>
      <c r="Y39" s="49">
        <v>3.9</v>
      </c>
      <c r="Z39" s="49">
        <v>3.9</v>
      </c>
      <c r="AA39" s="56">
        <v>3.9</v>
      </c>
      <c r="AB39" s="56">
        <v>3.9</v>
      </c>
      <c r="AC39" s="56">
        <v>3.9</v>
      </c>
      <c r="AD39" s="56">
        <v>3.9</v>
      </c>
      <c r="AE39" s="56">
        <v>3.9</v>
      </c>
      <c r="AF39" s="56"/>
      <c r="AG39" s="59">
        <v>14</v>
      </c>
      <c r="AH39" s="52">
        <f t="shared" si="2"/>
        <v>3.9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3.5</v>
      </c>
      <c r="C40" s="56">
        <v>3.9</v>
      </c>
      <c r="D40" s="56">
        <v>3.9</v>
      </c>
      <c r="E40" s="56">
        <v>3.9</v>
      </c>
      <c r="F40" s="56">
        <v>3.9</v>
      </c>
      <c r="G40" s="56">
        <v>3.9</v>
      </c>
      <c r="H40" s="56">
        <v>3.9</v>
      </c>
      <c r="I40" s="56">
        <v>3.9</v>
      </c>
      <c r="J40" s="56">
        <v>3.9</v>
      </c>
      <c r="K40" s="56">
        <v>3.9</v>
      </c>
      <c r="L40" s="49">
        <v>4.0999999999999996</v>
      </c>
      <c r="M40" s="49">
        <v>4</v>
      </c>
      <c r="N40" s="49">
        <v>4.0999999999999996</v>
      </c>
      <c r="O40" s="49">
        <v>4.0999999999999996</v>
      </c>
      <c r="P40" s="49">
        <v>4.0999999999999996</v>
      </c>
      <c r="Q40" s="49">
        <v>4.0999999999999996</v>
      </c>
      <c r="R40" s="49">
        <v>4.0999999999999996</v>
      </c>
      <c r="S40" s="49">
        <v>4.0999999999999996</v>
      </c>
      <c r="T40" s="49">
        <v>4.0999999999999996</v>
      </c>
      <c r="U40" s="49">
        <v>4.0999999999999996</v>
      </c>
      <c r="V40" s="49">
        <v>4.0999999999999996</v>
      </c>
      <c r="W40" s="49">
        <v>4.0999999999999996</v>
      </c>
      <c r="X40" s="49">
        <v>4.0999999999999996</v>
      </c>
      <c r="Y40" s="49">
        <v>4.0999999999999996</v>
      </c>
      <c r="Z40" s="49">
        <v>3.5</v>
      </c>
      <c r="AA40" s="56">
        <v>4.2</v>
      </c>
      <c r="AB40" s="56">
        <v>4.0999999999999996</v>
      </c>
      <c r="AC40" s="56">
        <v>4.2</v>
      </c>
      <c r="AD40" s="56">
        <v>4.3</v>
      </c>
      <c r="AE40" s="56">
        <v>6</v>
      </c>
      <c r="AF40" s="56"/>
      <c r="AG40" s="59">
        <v>10.050000000000001</v>
      </c>
      <c r="AH40" s="52">
        <f t="shared" si="2"/>
        <v>6</v>
      </c>
      <c r="AI40" s="53">
        <f t="shared" si="3"/>
        <v>3.5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2.5</v>
      </c>
      <c r="S41" s="49">
        <v>2.5</v>
      </c>
      <c r="T41" s="49">
        <v>2.5</v>
      </c>
      <c r="U41" s="49">
        <v>2.5</v>
      </c>
      <c r="V41" s="49">
        <v>2.5</v>
      </c>
      <c r="W41" s="49">
        <v>2.5</v>
      </c>
      <c r="X41" s="49">
        <v>2.5</v>
      </c>
      <c r="Y41" s="49">
        <v>2.5</v>
      </c>
      <c r="Z41" s="49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/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196.44</v>
      </c>
      <c r="C43" s="69">
        <f t="shared" si="6"/>
        <v>221.54</v>
      </c>
      <c r="D43" s="69">
        <f t="shared" si="6"/>
        <v>152.04</v>
      </c>
      <c r="E43" s="69">
        <f t="shared" si="6"/>
        <v>118.04000000000002</v>
      </c>
      <c r="F43" s="69">
        <f t="shared" si="6"/>
        <v>124.64000000000001</v>
      </c>
      <c r="G43" s="69">
        <f t="shared" si="6"/>
        <v>137.94</v>
      </c>
      <c r="H43" s="69">
        <f t="shared" si="6"/>
        <v>138.44</v>
      </c>
      <c r="I43" s="69">
        <f t="shared" si="6"/>
        <v>208.34000000000003</v>
      </c>
      <c r="J43" s="69">
        <f t="shared" si="6"/>
        <v>210.94000000000003</v>
      </c>
      <c r="K43" s="69">
        <f t="shared" si="6"/>
        <v>206.04000000000002</v>
      </c>
      <c r="L43" s="69">
        <f t="shared" si="6"/>
        <v>224.24</v>
      </c>
      <c r="M43" s="69">
        <f t="shared" si="6"/>
        <v>221.94000000000003</v>
      </c>
      <c r="N43" s="69">
        <f t="shared" si="6"/>
        <v>225.44</v>
      </c>
      <c r="O43" s="69">
        <f t="shared" si="6"/>
        <v>266.64000000000004</v>
      </c>
      <c r="P43" s="69">
        <f t="shared" si="6"/>
        <v>254.74</v>
      </c>
      <c r="Q43" s="69">
        <f t="shared" si="6"/>
        <v>269.04000000000002</v>
      </c>
      <c r="R43" s="69">
        <f t="shared" si="6"/>
        <v>244.54</v>
      </c>
      <c r="S43" s="69">
        <f t="shared" si="6"/>
        <v>244.74</v>
      </c>
      <c r="T43" s="69">
        <f t="shared" si="6"/>
        <v>235.34</v>
      </c>
      <c r="U43" s="69">
        <f t="shared" si="6"/>
        <v>244.14</v>
      </c>
      <c r="V43" s="69">
        <f t="shared" si="6"/>
        <v>237.34</v>
      </c>
      <c r="W43" s="69">
        <f t="shared" si="6"/>
        <v>240.44</v>
      </c>
      <c r="X43" s="69">
        <f t="shared" si="6"/>
        <v>270.44</v>
      </c>
      <c r="Y43" s="69">
        <f t="shared" si="6"/>
        <v>286.84000000000003</v>
      </c>
      <c r="Z43" s="69">
        <f t="shared" si="6"/>
        <v>329.14</v>
      </c>
      <c r="AA43" s="69">
        <f t="shared" si="6"/>
        <v>331.73999999999995</v>
      </c>
      <c r="AB43" s="69">
        <f t="shared" si="6"/>
        <v>331.34</v>
      </c>
      <c r="AC43" s="69">
        <f t="shared" si="6"/>
        <v>287.94</v>
      </c>
      <c r="AD43" s="69">
        <f t="shared" si="6"/>
        <v>213.54</v>
      </c>
      <c r="AE43" s="69">
        <f t="shared" si="6"/>
        <v>230.64</v>
      </c>
      <c r="AF43" s="69">
        <f t="shared" si="6"/>
        <v>3.54</v>
      </c>
      <c r="AG43" s="74">
        <f>SUM(AG31:AG42)</f>
        <v>464.91</v>
      </c>
      <c r="AH43" s="52">
        <f t="shared" si="2"/>
        <v>331.73999999999995</v>
      </c>
      <c r="AI43" s="53">
        <f t="shared" si="3"/>
        <v>3.54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75">
        <v>0</v>
      </c>
      <c r="N44" s="75">
        <v>0</v>
      </c>
      <c r="O44" s="75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14</v>
      </c>
      <c r="Z44" s="49">
        <v>14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/>
      <c r="AG44" s="57">
        <v>60</v>
      </c>
      <c r="AH44" s="52">
        <f t="shared" si="2"/>
        <v>14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75">
        <v>0</v>
      </c>
      <c r="N45" s="75">
        <v>0</v>
      </c>
      <c r="O45" s="75">
        <v>0</v>
      </c>
      <c r="P45" s="49">
        <v>0</v>
      </c>
      <c r="Q45" s="70">
        <v>0</v>
      </c>
      <c r="R45" s="70">
        <v>0</v>
      </c>
      <c r="S45" s="70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70">
        <v>6</v>
      </c>
      <c r="Z45" s="70">
        <v>6.1</v>
      </c>
      <c r="AA45" s="70">
        <v>4.5</v>
      </c>
      <c r="AB45" s="70">
        <v>0</v>
      </c>
      <c r="AC45" s="70">
        <v>0</v>
      </c>
      <c r="AD45" s="70">
        <v>0</v>
      </c>
      <c r="AE45" s="70">
        <v>0</v>
      </c>
      <c r="AF45" s="70"/>
      <c r="AG45" s="59">
        <v>32</v>
      </c>
      <c r="AH45" s="52">
        <f t="shared" si="2"/>
        <v>6.1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75">
        <v>0</v>
      </c>
      <c r="N46" s="75">
        <v>0</v>
      </c>
      <c r="O46" s="75">
        <v>0</v>
      </c>
      <c r="P46" s="49">
        <v>0</v>
      </c>
      <c r="Q46" s="77">
        <v>0</v>
      </c>
      <c r="R46" s="77">
        <v>0</v>
      </c>
      <c r="S46" s="77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77">
        <v>2.2000000000000002</v>
      </c>
      <c r="Z46" s="77">
        <v>2.2000000000000002</v>
      </c>
      <c r="AA46" s="77">
        <v>1.7</v>
      </c>
      <c r="AB46" s="77">
        <v>0</v>
      </c>
      <c r="AC46" s="77">
        <v>0</v>
      </c>
      <c r="AD46" s="77">
        <v>0</v>
      </c>
      <c r="AE46" s="77">
        <v>0</v>
      </c>
      <c r="AF46" s="77"/>
      <c r="AG46" s="78">
        <v>14</v>
      </c>
      <c r="AH46" s="52">
        <f t="shared" si="2"/>
        <v>2.2000000000000002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0</v>
      </c>
      <c r="C47" s="69">
        <f t="shared" si="7"/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22.2</v>
      </c>
      <c r="Z47" s="69">
        <f t="shared" si="7"/>
        <v>22.3</v>
      </c>
      <c r="AA47" s="69">
        <f t="shared" si="7"/>
        <v>6.2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22.3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70.819999999999993</v>
      </c>
      <c r="C48" s="49">
        <v>66.099999999999994</v>
      </c>
      <c r="D48" s="49">
        <v>62.9</v>
      </c>
      <c r="E48" s="49">
        <v>65.37</v>
      </c>
      <c r="F48" s="49">
        <v>62.9</v>
      </c>
      <c r="G48" s="49">
        <v>64.39</v>
      </c>
      <c r="H48" s="49">
        <v>62.6</v>
      </c>
      <c r="I48" s="49">
        <v>62</v>
      </c>
      <c r="J48" s="49">
        <v>60</v>
      </c>
      <c r="K48" s="49">
        <v>62.9</v>
      </c>
      <c r="L48" s="49">
        <v>64.680000000000007</v>
      </c>
      <c r="M48" s="49">
        <v>67.7</v>
      </c>
      <c r="N48" s="49">
        <v>64.099999999999994</v>
      </c>
      <c r="O48" s="49">
        <v>62.68</v>
      </c>
      <c r="P48" s="49">
        <v>68.3</v>
      </c>
      <c r="Q48" s="49">
        <v>70</v>
      </c>
      <c r="R48" s="49">
        <v>73</v>
      </c>
      <c r="S48" s="49">
        <v>67</v>
      </c>
      <c r="T48" s="49">
        <v>65.400000000000006</v>
      </c>
      <c r="U48" s="49">
        <v>61</v>
      </c>
      <c r="V48" s="49">
        <v>61</v>
      </c>
      <c r="W48" s="49">
        <v>58</v>
      </c>
      <c r="X48" s="49">
        <v>52.4</v>
      </c>
      <c r="Y48" s="49">
        <v>59</v>
      </c>
      <c r="Z48" s="49">
        <v>69</v>
      </c>
      <c r="AA48" s="49">
        <v>72.14</v>
      </c>
      <c r="AB48" s="49">
        <v>70.69</v>
      </c>
      <c r="AC48" s="49">
        <v>67.739999999999995</v>
      </c>
      <c r="AD48" s="49">
        <v>58.79</v>
      </c>
      <c r="AE48" s="49">
        <v>59.58</v>
      </c>
      <c r="AF48" s="49"/>
      <c r="AG48" s="57"/>
      <c r="AH48" s="52">
        <f t="shared" si="2"/>
        <v>73</v>
      </c>
      <c r="AI48" s="53">
        <f t="shared" si="3"/>
        <v>52.4</v>
      </c>
      <c r="AK48" s="54"/>
    </row>
    <row r="49" spans="1:37" x14ac:dyDescent="0.25">
      <c r="A49" s="58" t="s">
        <v>56</v>
      </c>
      <c r="B49" s="70">
        <v>90.7</v>
      </c>
      <c r="C49" s="70">
        <v>85</v>
      </c>
      <c r="D49" s="70">
        <v>85.6</v>
      </c>
      <c r="E49" s="70">
        <v>85.3</v>
      </c>
      <c r="F49" s="70">
        <v>87.2</v>
      </c>
      <c r="G49" s="70">
        <v>88.6</v>
      </c>
      <c r="H49" s="70">
        <v>88.6</v>
      </c>
      <c r="I49" s="70">
        <v>27.9</v>
      </c>
      <c r="J49" s="70">
        <v>28.5</v>
      </c>
      <c r="K49" s="70">
        <v>95</v>
      </c>
      <c r="L49" s="49">
        <v>92.5</v>
      </c>
      <c r="M49" s="49">
        <v>113</v>
      </c>
      <c r="N49" s="49">
        <v>111</v>
      </c>
      <c r="O49" s="49">
        <v>37</v>
      </c>
      <c r="P49" s="49">
        <v>30.7</v>
      </c>
      <c r="Q49" s="49">
        <v>35.299999999999997</v>
      </c>
      <c r="R49" s="49">
        <v>36</v>
      </c>
      <c r="S49" s="49">
        <v>36</v>
      </c>
      <c r="T49" s="49">
        <v>31.8</v>
      </c>
      <c r="U49" s="79">
        <v>30.3</v>
      </c>
      <c r="V49" s="79">
        <v>30</v>
      </c>
      <c r="W49" s="79">
        <v>30</v>
      </c>
      <c r="X49" s="79">
        <v>30.6</v>
      </c>
      <c r="Y49" s="79">
        <v>108</v>
      </c>
      <c r="Z49" s="79">
        <v>74.400000000000006</v>
      </c>
      <c r="AA49" s="70">
        <v>76.5</v>
      </c>
      <c r="AB49" s="70">
        <v>78.3</v>
      </c>
      <c r="AC49" s="70">
        <v>76.099999999999994</v>
      </c>
      <c r="AD49" s="70">
        <v>71.599999999999994</v>
      </c>
      <c r="AE49" s="70">
        <v>33.799999999999997</v>
      </c>
      <c r="AF49" s="70"/>
      <c r="AG49" s="59"/>
      <c r="AH49" s="52">
        <f t="shared" si="2"/>
        <v>113</v>
      </c>
      <c r="AI49" s="53">
        <f t="shared" si="3"/>
        <v>27.9</v>
      </c>
      <c r="AK49" s="54"/>
    </row>
    <row r="50" spans="1:37" x14ac:dyDescent="0.25">
      <c r="A50" s="58" t="s">
        <v>57</v>
      </c>
      <c r="B50" s="70">
        <v>313</v>
      </c>
      <c r="C50" s="70">
        <v>280</v>
      </c>
      <c r="D50" s="70">
        <v>294</v>
      </c>
      <c r="E50" s="70">
        <v>312</v>
      </c>
      <c r="F50" s="70">
        <v>320</v>
      </c>
      <c r="G50" s="49">
        <v>312</v>
      </c>
      <c r="H50" s="49">
        <v>316</v>
      </c>
      <c r="I50" s="49">
        <v>360</v>
      </c>
      <c r="J50" s="49">
        <v>365</v>
      </c>
      <c r="K50" s="49">
        <v>350</v>
      </c>
      <c r="L50" s="70">
        <f>170.9+170.8</f>
        <v>341.70000000000005</v>
      </c>
      <c r="M50" s="70">
        <f>159+160</f>
        <v>319</v>
      </c>
      <c r="N50" s="70">
        <f>163+163</f>
        <v>326</v>
      </c>
      <c r="O50" s="70">
        <f>174+173</f>
        <v>347</v>
      </c>
      <c r="P50" s="70">
        <v>336</v>
      </c>
      <c r="Q50" s="70">
        <v>340</v>
      </c>
      <c r="R50" s="70">
        <v>348</v>
      </c>
      <c r="S50" s="70">
        <v>350</v>
      </c>
      <c r="T50" s="70">
        <v>360</v>
      </c>
      <c r="U50" s="80">
        <v>342</v>
      </c>
      <c r="V50" s="80">
        <v>347</v>
      </c>
      <c r="W50" s="80">
        <v>341</v>
      </c>
      <c r="X50" s="80">
        <v>340</v>
      </c>
      <c r="Y50" s="80">
        <v>320</v>
      </c>
      <c r="Z50" s="80">
        <v>368</v>
      </c>
      <c r="AA50" s="70">
        <v>345.5</v>
      </c>
      <c r="AB50" s="70">
        <v>338</v>
      </c>
      <c r="AC50" s="70">
        <v>329</v>
      </c>
      <c r="AD50" s="70">
        <v>330</v>
      </c>
      <c r="AE50" s="70">
        <v>286</v>
      </c>
      <c r="AF50" s="70"/>
      <c r="AG50" s="81"/>
      <c r="AH50" s="52">
        <f t="shared" si="2"/>
        <v>368</v>
      </c>
      <c r="AI50" s="53">
        <f t="shared" si="3"/>
        <v>280</v>
      </c>
      <c r="AK50" s="54"/>
    </row>
    <row r="51" spans="1:37" x14ac:dyDescent="0.25">
      <c r="A51" s="58" t="s">
        <v>58</v>
      </c>
      <c r="B51" s="82">
        <v>12</v>
      </c>
      <c r="C51" s="82">
        <v>12</v>
      </c>
      <c r="D51" s="82">
        <v>12</v>
      </c>
      <c r="E51" s="82">
        <v>12</v>
      </c>
      <c r="F51" s="82">
        <v>12</v>
      </c>
      <c r="G51" s="82">
        <v>12</v>
      </c>
      <c r="H51" s="82">
        <v>12</v>
      </c>
      <c r="I51" s="82">
        <v>12</v>
      </c>
      <c r="J51" s="82">
        <v>12</v>
      </c>
      <c r="K51" s="82">
        <v>12</v>
      </c>
      <c r="L51" s="70">
        <v>12</v>
      </c>
      <c r="M51" s="70">
        <v>12</v>
      </c>
      <c r="N51" s="70">
        <v>12</v>
      </c>
      <c r="O51" s="70">
        <v>12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/>
      <c r="AG51" s="81"/>
      <c r="AH51" s="52">
        <f t="shared" si="2"/>
        <v>12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50</v>
      </c>
      <c r="E52" s="82">
        <v>50.2</v>
      </c>
      <c r="F52" s="82">
        <v>47.6</v>
      </c>
      <c r="G52" s="82">
        <v>43</v>
      </c>
      <c r="H52" s="82">
        <v>40.799999999999997</v>
      </c>
      <c r="I52" s="82">
        <v>40.4</v>
      </c>
      <c r="J52" s="82">
        <v>40</v>
      </c>
      <c r="K52" s="82">
        <v>37.5</v>
      </c>
      <c r="L52" s="49">
        <v>40</v>
      </c>
      <c r="M52" s="49">
        <v>40.299999999999997</v>
      </c>
      <c r="N52" s="49">
        <v>41.5</v>
      </c>
      <c r="O52" s="49">
        <v>48.1</v>
      </c>
      <c r="P52" s="49">
        <v>48.8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/>
      <c r="AG52" s="81"/>
      <c r="AH52" s="52">
        <f t="shared" si="2"/>
        <v>50.2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/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/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/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/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/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82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/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 t="shared" ref="B59:AF59" si="8">SUM(B48:B58)</f>
        <v>486.52</v>
      </c>
      <c r="C59" s="69">
        <f t="shared" si="8"/>
        <v>443.1</v>
      </c>
      <c r="D59" s="69">
        <f t="shared" si="8"/>
        <v>504.5</v>
      </c>
      <c r="E59" s="69">
        <f t="shared" si="8"/>
        <v>524.87</v>
      </c>
      <c r="F59" s="69">
        <f t="shared" si="8"/>
        <v>529.70000000000005</v>
      </c>
      <c r="G59" s="69">
        <f t="shared" si="8"/>
        <v>519.99</v>
      </c>
      <c r="H59" s="69">
        <f t="shared" si="8"/>
        <v>520</v>
      </c>
      <c r="I59" s="69">
        <f t="shared" si="8"/>
        <v>502.29999999999995</v>
      </c>
      <c r="J59" s="69">
        <f t="shared" si="8"/>
        <v>505.5</v>
      </c>
      <c r="K59" s="69">
        <f t="shared" si="8"/>
        <v>557.4</v>
      </c>
      <c r="L59" s="69">
        <f t="shared" si="8"/>
        <v>550.88000000000011</v>
      </c>
      <c r="M59" s="69">
        <f t="shared" si="8"/>
        <v>552</v>
      </c>
      <c r="N59" s="69">
        <f t="shared" si="8"/>
        <v>554.6</v>
      </c>
      <c r="O59" s="69">
        <f t="shared" si="8"/>
        <v>506.78000000000003</v>
      </c>
      <c r="P59" s="69">
        <f t="shared" si="8"/>
        <v>483.8</v>
      </c>
      <c r="Q59" s="69">
        <f t="shared" si="8"/>
        <v>445.3</v>
      </c>
      <c r="R59" s="69">
        <f t="shared" si="8"/>
        <v>457</v>
      </c>
      <c r="S59" s="69">
        <f t="shared" si="8"/>
        <v>453</v>
      </c>
      <c r="T59" s="69">
        <f t="shared" si="8"/>
        <v>457.2</v>
      </c>
      <c r="U59" s="69">
        <f t="shared" si="8"/>
        <v>433.3</v>
      </c>
      <c r="V59" s="69">
        <f t="shared" si="8"/>
        <v>438</v>
      </c>
      <c r="W59" s="69">
        <f t="shared" si="8"/>
        <v>429</v>
      </c>
      <c r="X59" s="69">
        <f t="shared" si="8"/>
        <v>423</v>
      </c>
      <c r="Y59" s="69">
        <f t="shared" si="8"/>
        <v>487</v>
      </c>
      <c r="Z59" s="69">
        <f t="shared" si="8"/>
        <v>511.4</v>
      </c>
      <c r="AA59" s="69">
        <f t="shared" si="8"/>
        <v>494.14</v>
      </c>
      <c r="AB59" s="69">
        <f t="shared" si="8"/>
        <v>486.99</v>
      </c>
      <c r="AC59" s="69">
        <f t="shared" si="8"/>
        <v>472.84</v>
      </c>
      <c r="AD59" s="69">
        <f t="shared" si="8"/>
        <v>460.39</v>
      </c>
      <c r="AE59" s="69">
        <f t="shared" si="8"/>
        <v>379.38</v>
      </c>
      <c r="AF59" s="69">
        <f t="shared" si="8"/>
        <v>0</v>
      </c>
      <c r="AG59" s="74">
        <f>SUM(AG48:AG58)</f>
        <v>0</v>
      </c>
      <c r="AH59" s="52">
        <f t="shared" si="2"/>
        <v>557.4</v>
      </c>
      <c r="AI59" s="53">
        <f t="shared" si="3"/>
        <v>0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950.76</v>
      </c>
      <c r="C65" s="91">
        <f t="shared" ref="C65:AF65" si="10">C63+C59+C47+C43+C30+C64</f>
        <v>929.54</v>
      </c>
      <c r="D65" s="91">
        <f t="shared" si="10"/>
        <v>923.04</v>
      </c>
      <c r="E65" s="91">
        <f t="shared" si="10"/>
        <v>908.51</v>
      </c>
      <c r="F65" s="91">
        <f t="shared" si="10"/>
        <v>920.04000000000008</v>
      </c>
      <c r="G65" s="91">
        <f t="shared" si="10"/>
        <v>925.63000000000011</v>
      </c>
      <c r="H65" s="91">
        <f t="shared" si="10"/>
        <v>924.74</v>
      </c>
      <c r="I65" s="91">
        <f t="shared" si="10"/>
        <v>976.24</v>
      </c>
      <c r="J65" s="91">
        <f t="shared" si="10"/>
        <v>981.84</v>
      </c>
      <c r="K65" s="91">
        <f t="shared" si="10"/>
        <v>1028.54</v>
      </c>
      <c r="L65" s="91">
        <f t="shared" si="10"/>
        <v>1040.52</v>
      </c>
      <c r="M65" s="91">
        <f t="shared" si="10"/>
        <v>1039.6400000000001</v>
      </c>
      <c r="N65" s="91">
        <f t="shared" si="10"/>
        <v>1043.1399999999999</v>
      </c>
      <c r="O65" s="91">
        <f t="shared" si="10"/>
        <v>1039.72</v>
      </c>
      <c r="P65" s="91">
        <f t="shared" si="10"/>
        <v>1006.4399999999999</v>
      </c>
      <c r="Q65" s="91">
        <f t="shared" si="10"/>
        <v>982.94</v>
      </c>
      <c r="R65" s="91">
        <f t="shared" si="10"/>
        <v>971.74</v>
      </c>
      <c r="S65" s="91">
        <f t="shared" si="10"/>
        <v>971.34</v>
      </c>
      <c r="T65" s="91">
        <f t="shared" si="10"/>
        <v>966.14</v>
      </c>
      <c r="U65" s="91">
        <f t="shared" si="10"/>
        <v>949.6400000000001</v>
      </c>
      <c r="V65" s="91">
        <f t="shared" si="10"/>
        <v>947.54000000000008</v>
      </c>
      <c r="W65" s="91">
        <f t="shared" si="10"/>
        <v>949.1400000000001</v>
      </c>
      <c r="X65" s="91">
        <f t="shared" si="10"/>
        <v>975.54000000000008</v>
      </c>
      <c r="Y65" s="91">
        <f t="shared" si="10"/>
        <v>1078.1399999999999</v>
      </c>
      <c r="Z65" s="91">
        <f t="shared" si="10"/>
        <v>1158.8399999999999</v>
      </c>
      <c r="AA65" s="91">
        <f t="shared" si="10"/>
        <v>1134.6799999999998</v>
      </c>
      <c r="AB65" s="91">
        <f t="shared" si="10"/>
        <v>1123.03</v>
      </c>
      <c r="AC65" s="91">
        <f t="shared" si="10"/>
        <v>1064.6799999999998</v>
      </c>
      <c r="AD65" s="91">
        <f t="shared" si="10"/>
        <v>980.12999999999988</v>
      </c>
      <c r="AE65" s="91">
        <f t="shared" si="10"/>
        <v>911.12</v>
      </c>
      <c r="AF65" s="91">
        <f t="shared" si="10"/>
        <v>140.73999999999998</v>
      </c>
      <c r="AG65" s="74">
        <f>AG63+AG59+AG47+AG43+AG30+AG64</f>
        <v>1355.5100000000002</v>
      </c>
      <c r="AH65" s="52">
        <f t="shared" si="2"/>
        <v>1158.8399999999999</v>
      </c>
      <c r="AI65" s="53">
        <f t="shared" si="3"/>
        <v>140.73999999999998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49.96</v>
      </c>
      <c r="C72" s="94">
        <v>49.777999999999999</v>
      </c>
      <c r="D72" s="94">
        <v>50.031999999999996</v>
      </c>
      <c r="E72" s="94">
        <v>50.052999999999997</v>
      </c>
      <c r="F72" s="94">
        <v>50</v>
      </c>
      <c r="G72" s="94">
        <v>49.988999999999997</v>
      </c>
      <c r="H72" s="94">
        <v>49.954999999999998</v>
      </c>
      <c r="I72" s="94">
        <v>49.987000000000002</v>
      </c>
      <c r="J72" s="94">
        <v>49.948</v>
      </c>
      <c r="K72" s="94">
        <v>49.930999999999997</v>
      </c>
      <c r="L72" s="94">
        <v>50.04</v>
      </c>
      <c r="M72" s="94">
        <v>50.023000000000003</v>
      </c>
      <c r="N72" s="94">
        <v>50.045000000000002</v>
      </c>
      <c r="O72" s="94">
        <v>50.054000000000002</v>
      </c>
      <c r="P72" s="94">
        <v>50.012999999999998</v>
      </c>
      <c r="Q72" s="95">
        <v>49.994999999999997</v>
      </c>
      <c r="R72" s="94">
        <v>50.031999999999996</v>
      </c>
      <c r="S72" s="94">
        <v>50.015000000000001</v>
      </c>
      <c r="T72" s="94">
        <v>50</v>
      </c>
      <c r="U72" s="94">
        <v>49.951999999999998</v>
      </c>
      <c r="V72" s="94">
        <v>50.002000000000002</v>
      </c>
      <c r="W72" s="94">
        <v>50.018000000000001</v>
      </c>
      <c r="X72" s="94">
        <v>49.98</v>
      </c>
      <c r="Y72" s="94">
        <v>49.944000000000003</v>
      </c>
      <c r="Z72" s="94">
        <v>49.948</v>
      </c>
      <c r="AA72" s="94">
        <v>50.02</v>
      </c>
      <c r="AB72" s="94">
        <v>50.048999999999999</v>
      </c>
      <c r="AC72" s="94">
        <v>49.987000000000002</v>
      </c>
      <c r="AD72" s="94">
        <v>49.975999999999999</v>
      </c>
      <c r="AE72" s="94">
        <v>50.024000000000001</v>
      </c>
      <c r="AF72" s="96"/>
      <c r="AG72" s="97"/>
      <c r="AH72" s="52">
        <f t="shared" si="2"/>
        <v>50.054000000000002</v>
      </c>
      <c r="AI72" s="53">
        <f t="shared" si="3"/>
        <v>49.777999999999999</v>
      </c>
    </row>
    <row r="73" spans="1:35" x14ac:dyDescent="0.25">
      <c r="A73" s="98" t="s">
        <v>80</v>
      </c>
      <c r="B73" s="70">
        <v>126</v>
      </c>
      <c r="C73" s="70">
        <v>127</v>
      </c>
      <c r="D73" s="70">
        <v>127.6</v>
      </c>
      <c r="E73" s="70">
        <v>127.4</v>
      </c>
      <c r="F73" s="70">
        <v>126.3</v>
      </c>
      <c r="G73" s="70">
        <v>126.7</v>
      </c>
      <c r="H73" s="70">
        <v>125.2</v>
      </c>
      <c r="I73" s="70">
        <v>127.3</v>
      </c>
      <c r="J73" s="70">
        <v>126.1</v>
      </c>
      <c r="K73" s="70">
        <v>124.4</v>
      </c>
      <c r="L73" s="70">
        <v>124.7</v>
      </c>
      <c r="M73" s="70">
        <v>126.3</v>
      </c>
      <c r="N73" s="70">
        <v>126.1</v>
      </c>
      <c r="O73" s="70">
        <v>127.4</v>
      </c>
      <c r="P73" s="70">
        <v>127.6</v>
      </c>
      <c r="Q73" s="99">
        <v>125.4</v>
      </c>
      <c r="R73" s="99">
        <v>125.5</v>
      </c>
      <c r="S73" s="99">
        <v>125.5</v>
      </c>
      <c r="T73" s="99">
        <v>124.6</v>
      </c>
      <c r="U73" s="99">
        <v>126.3</v>
      </c>
      <c r="V73" s="99">
        <v>126.3</v>
      </c>
      <c r="W73" s="99">
        <v>126.9</v>
      </c>
      <c r="X73" s="99">
        <v>129.9</v>
      </c>
      <c r="Y73" s="99">
        <v>127.5</v>
      </c>
      <c r="Z73" s="99">
        <v>126.3</v>
      </c>
      <c r="AA73" s="70">
        <v>125.4</v>
      </c>
      <c r="AB73" s="70">
        <v>125.9</v>
      </c>
      <c r="AC73" s="70">
        <v>126.4</v>
      </c>
      <c r="AD73" s="70">
        <v>127.3</v>
      </c>
      <c r="AE73" s="70">
        <v>126.3</v>
      </c>
      <c r="AF73" s="100"/>
      <c r="AG73" s="101"/>
      <c r="AH73" s="52">
        <f t="shared" si="2"/>
        <v>129.9</v>
      </c>
      <c r="AI73" s="53">
        <f t="shared" si="3"/>
        <v>124.4</v>
      </c>
    </row>
    <row r="74" spans="1:35" x14ac:dyDescent="0.25">
      <c r="A74" s="98" t="s">
        <v>81</v>
      </c>
      <c r="B74" s="70">
        <v>129.9</v>
      </c>
      <c r="C74" s="70">
        <v>130.69999999999999</v>
      </c>
      <c r="D74" s="70">
        <v>131</v>
      </c>
      <c r="E74" s="70">
        <v>130.4</v>
      </c>
      <c r="F74" s="70">
        <v>129.4</v>
      </c>
      <c r="G74" s="70">
        <v>129.5</v>
      </c>
      <c r="H74" s="70">
        <v>127.8</v>
      </c>
      <c r="I74" s="70">
        <v>129.4</v>
      </c>
      <c r="J74" s="70">
        <v>128.4</v>
      </c>
      <c r="K74" s="70">
        <v>127</v>
      </c>
      <c r="L74" s="70">
        <v>127.7</v>
      </c>
      <c r="M74" s="70">
        <v>129</v>
      </c>
      <c r="N74" s="70">
        <v>129</v>
      </c>
      <c r="O74" s="70">
        <v>130.19999999999999</v>
      </c>
      <c r="P74" s="70">
        <v>130</v>
      </c>
      <c r="Q74" s="99">
        <v>128.6</v>
      </c>
      <c r="R74" s="99">
        <v>128</v>
      </c>
      <c r="S74" s="99">
        <v>128</v>
      </c>
      <c r="T74" s="99">
        <v>127.3</v>
      </c>
      <c r="U74" s="99">
        <v>128.80000000000001</v>
      </c>
      <c r="V74" s="99">
        <v>128.80000000000001</v>
      </c>
      <c r="W74" s="99">
        <v>129.4</v>
      </c>
      <c r="X74" s="99">
        <v>128.80000000000001</v>
      </c>
      <c r="Y74" s="99">
        <v>130.1</v>
      </c>
      <c r="Z74" s="99">
        <v>128.9</v>
      </c>
      <c r="AA74" s="70">
        <v>128.30000000000001</v>
      </c>
      <c r="AB74" s="70">
        <v>129.1</v>
      </c>
      <c r="AC74" s="70">
        <v>129.80000000000001</v>
      </c>
      <c r="AD74" s="70">
        <v>130.80000000000001</v>
      </c>
      <c r="AE74" s="70">
        <v>129.4</v>
      </c>
      <c r="AF74" s="100"/>
      <c r="AG74" s="101"/>
      <c r="AH74" s="52">
        <f t="shared" si="2"/>
        <v>131</v>
      </c>
      <c r="AI74" s="53">
        <f t="shared" si="3"/>
        <v>127</v>
      </c>
    </row>
    <row r="75" spans="1:35" x14ac:dyDescent="0.25">
      <c r="A75" s="98" t="s">
        <v>82</v>
      </c>
      <c r="B75" s="70">
        <v>128</v>
      </c>
      <c r="C75" s="70">
        <v>128.69999999999999</v>
      </c>
      <c r="D75" s="70">
        <v>130.6</v>
      </c>
      <c r="E75" s="70">
        <v>131.19999999999999</v>
      </c>
      <c r="F75" s="70">
        <v>131.6</v>
      </c>
      <c r="G75" s="70">
        <v>132</v>
      </c>
      <c r="H75" s="70">
        <v>129.69999999999999</v>
      </c>
      <c r="I75" s="70">
        <v>129.4</v>
      </c>
      <c r="J75" s="70">
        <v>127.2</v>
      </c>
      <c r="K75" s="70">
        <v>128.19999999999999</v>
      </c>
      <c r="L75" s="70">
        <v>125.8</v>
      </c>
      <c r="M75" s="70">
        <v>127.8</v>
      </c>
      <c r="N75" s="70">
        <v>128.4</v>
      </c>
      <c r="O75" s="70">
        <v>125.9</v>
      </c>
      <c r="P75" s="70">
        <v>128.30000000000001</v>
      </c>
      <c r="Q75" s="70">
        <v>126.2</v>
      </c>
      <c r="R75" s="70">
        <v>127.5</v>
      </c>
      <c r="S75" s="70">
        <v>127.5</v>
      </c>
      <c r="T75" s="99">
        <v>127</v>
      </c>
      <c r="U75" s="99">
        <v>129.9</v>
      </c>
      <c r="V75" s="99">
        <v>129.9</v>
      </c>
      <c r="W75" s="99">
        <v>129.30000000000001</v>
      </c>
      <c r="X75" s="99">
        <v>128.5</v>
      </c>
      <c r="Y75" s="99">
        <v>127.4</v>
      </c>
      <c r="Z75" s="99">
        <v>125.8</v>
      </c>
      <c r="AA75" s="70">
        <v>126.3</v>
      </c>
      <c r="AB75" s="70">
        <v>128.5</v>
      </c>
      <c r="AC75" s="70">
        <v>129.1</v>
      </c>
      <c r="AD75" s="70">
        <v>129.69999999999999</v>
      </c>
      <c r="AE75" s="70">
        <v>128.6</v>
      </c>
      <c r="AF75" s="100"/>
      <c r="AG75" s="101"/>
      <c r="AH75" s="52">
        <f t="shared" si="2"/>
        <v>132</v>
      </c>
      <c r="AI75" s="53">
        <f t="shared" si="3"/>
        <v>125.8</v>
      </c>
    </row>
    <row r="76" spans="1:35" x14ac:dyDescent="0.25">
      <c r="A76" s="102" t="s">
        <v>83</v>
      </c>
      <c r="B76" s="70">
        <v>131.9</v>
      </c>
      <c r="C76" s="70">
        <v>132.5</v>
      </c>
      <c r="D76" s="70">
        <v>134.6</v>
      </c>
      <c r="E76" s="70">
        <v>135.30000000000001</v>
      </c>
      <c r="F76" s="70">
        <v>135.6</v>
      </c>
      <c r="G76" s="70">
        <v>135.69999999999999</v>
      </c>
      <c r="H76" s="70">
        <v>131.4</v>
      </c>
      <c r="I76" s="70">
        <v>130.30000000000001</v>
      </c>
      <c r="J76" s="70">
        <v>128.1</v>
      </c>
      <c r="K76" s="70">
        <v>129.9</v>
      </c>
      <c r="L76" s="70">
        <v>126.7</v>
      </c>
      <c r="M76" s="70">
        <v>129.9</v>
      </c>
      <c r="N76" s="70">
        <v>130.4</v>
      </c>
      <c r="O76" s="70">
        <v>128.5</v>
      </c>
      <c r="P76" s="70">
        <v>131.6</v>
      </c>
      <c r="Q76" s="70">
        <v>129.19999999999999</v>
      </c>
      <c r="R76" s="70">
        <v>131.1</v>
      </c>
      <c r="S76" s="70">
        <v>131.1</v>
      </c>
      <c r="T76" s="99">
        <v>129.9</v>
      </c>
      <c r="U76" s="99">
        <v>133.1</v>
      </c>
      <c r="V76" s="99">
        <v>133.1</v>
      </c>
      <c r="W76" s="99">
        <v>130.80000000000001</v>
      </c>
      <c r="X76" s="99">
        <v>130.1</v>
      </c>
      <c r="Y76" s="99">
        <v>130.80000000000001</v>
      </c>
      <c r="Z76" s="99">
        <v>129.5</v>
      </c>
      <c r="AA76" s="70">
        <v>130.19999999999999</v>
      </c>
      <c r="AB76" s="70">
        <v>132.30000000000001</v>
      </c>
      <c r="AC76" s="70">
        <v>133</v>
      </c>
      <c r="AD76" s="70">
        <v>132.4</v>
      </c>
      <c r="AE76" s="70">
        <v>131.9</v>
      </c>
      <c r="AF76" s="100"/>
      <c r="AG76" s="101"/>
      <c r="AH76" s="52">
        <f t="shared" si="2"/>
        <v>135.69999999999999</v>
      </c>
      <c r="AI76" s="53">
        <f t="shared" si="3"/>
        <v>126.7</v>
      </c>
    </row>
    <row r="77" spans="1:35" x14ac:dyDescent="0.25">
      <c r="A77" s="102" t="s">
        <v>84</v>
      </c>
      <c r="B77" s="103">
        <v>131.19999999999999</v>
      </c>
      <c r="C77" s="103">
        <v>134.6</v>
      </c>
      <c r="D77" s="103">
        <v>128.30000000000001</v>
      </c>
      <c r="E77" s="103">
        <v>131.9</v>
      </c>
      <c r="F77" s="103">
        <v>131</v>
      </c>
      <c r="G77" s="103">
        <v>132.1</v>
      </c>
      <c r="H77" s="103">
        <v>127.5</v>
      </c>
      <c r="I77" s="103">
        <v>131.69999999999999</v>
      </c>
      <c r="J77" s="103">
        <v>130.6</v>
      </c>
      <c r="K77" s="103">
        <v>132.1</v>
      </c>
      <c r="L77" s="103">
        <v>130</v>
      </c>
      <c r="M77" s="103">
        <v>131.1</v>
      </c>
      <c r="N77" s="103">
        <v>133.9</v>
      </c>
      <c r="O77" s="103">
        <v>134.80000000000001</v>
      </c>
      <c r="P77" s="103">
        <v>137.30000000000001</v>
      </c>
      <c r="Q77" s="103">
        <v>135.1</v>
      </c>
      <c r="R77" s="103">
        <v>133.30000000000001</v>
      </c>
      <c r="S77" s="103">
        <v>133.30000000000001</v>
      </c>
      <c r="T77" s="99">
        <v>132</v>
      </c>
      <c r="U77" s="99">
        <v>131.6</v>
      </c>
      <c r="V77" s="99">
        <v>131.6</v>
      </c>
      <c r="W77" s="99">
        <v>133.4</v>
      </c>
      <c r="X77" s="99">
        <v>135.1</v>
      </c>
      <c r="Y77" s="99">
        <v>130.69999999999999</v>
      </c>
      <c r="Z77" s="99">
        <v>132.30000000000001</v>
      </c>
      <c r="AA77" s="103">
        <v>132.30000000000001</v>
      </c>
      <c r="AB77" s="103">
        <v>132.1</v>
      </c>
      <c r="AC77" s="103">
        <v>132.69999999999999</v>
      </c>
      <c r="AD77" s="103">
        <v>132.30000000000001</v>
      </c>
      <c r="AE77" s="103">
        <v>133.19999999999999</v>
      </c>
      <c r="AF77" s="104"/>
      <c r="AG77" s="105"/>
      <c r="AH77" s="52">
        <f t="shared" si="2"/>
        <v>137.30000000000001</v>
      </c>
      <c r="AI77" s="53">
        <f t="shared" si="3"/>
        <v>127.5</v>
      </c>
    </row>
    <row r="78" spans="1:35" x14ac:dyDescent="0.25">
      <c r="A78" s="98" t="s">
        <v>85</v>
      </c>
      <c r="B78" s="70">
        <v>134.80000000000001</v>
      </c>
      <c r="C78" s="70">
        <v>135.6</v>
      </c>
      <c r="D78" s="70">
        <v>134.4</v>
      </c>
      <c r="E78" s="70">
        <v>134.4</v>
      </c>
      <c r="F78" s="70">
        <v>135.80000000000001</v>
      </c>
      <c r="G78" s="70">
        <v>135.30000000000001</v>
      </c>
      <c r="H78" s="70">
        <v>135.69999999999999</v>
      </c>
      <c r="I78" s="70">
        <v>134.5</v>
      </c>
      <c r="J78" s="70">
        <v>134.19999999999999</v>
      </c>
      <c r="K78" s="70">
        <v>132.80000000000001</v>
      </c>
      <c r="L78" s="70">
        <v>129.19999999999999</v>
      </c>
      <c r="M78" s="70">
        <v>128.80000000000001</v>
      </c>
      <c r="N78" s="70">
        <v>127.7</v>
      </c>
      <c r="O78" s="70">
        <v>131.5</v>
      </c>
      <c r="P78" s="70">
        <v>124.6</v>
      </c>
      <c r="Q78" s="70">
        <v>127.1</v>
      </c>
      <c r="R78" s="70">
        <v>125.3</v>
      </c>
      <c r="S78" s="70">
        <v>125.3</v>
      </c>
      <c r="T78" s="99">
        <v>132.5</v>
      </c>
      <c r="U78" s="99">
        <v>135.19999999999999</v>
      </c>
      <c r="V78" s="99">
        <v>135.19999999999999</v>
      </c>
      <c r="W78" s="99">
        <v>131.5</v>
      </c>
      <c r="X78" s="99">
        <v>133.1</v>
      </c>
      <c r="Y78" s="99">
        <v>131.80000000000001</v>
      </c>
      <c r="Z78" s="99">
        <v>129</v>
      </c>
      <c r="AA78" s="70">
        <v>128.80000000000001</v>
      </c>
      <c r="AB78" s="70">
        <v>128.4</v>
      </c>
      <c r="AC78" s="70">
        <v>128.9</v>
      </c>
      <c r="AD78" s="70">
        <v>131.69999999999999</v>
      </c>
      <c r="AE78" s="70">
        <v>132.30000000000001</v>
      </c>
      <c r="AF78" s="100"/>
      <c r="AG78" s="101"/>
      <c r="AH78" s="52">
        <f>MAX(B78:AF78)</f>
        <v>135.80000000000001</v>
      </c>
      <c r="AI78" s="53">
        <f>MIN(B78:AF78)</f>
        <v>124.6</v>
      </c>
    </row>
    <row r="79" spans="1:35" ht="15.75" thickBot="1" x14ac:dyDescent="0.3">
      <c r="A79" s="98" t="s">
        <v>86</v>
      </c>
      <c r="B79" s="106">
        <v>66.7</v>
      </c>
      <c r="C79" s="106">
        <v>67.2</v>
      </c>
      <c r="D79" s="106">
        <v>67.2</v>
      </c>
      <c r="E79" s="106">
        <v>66.599999999999994</v>
      </c>
      <c r="F79" s="106">
        <v>66</v>
      </c>
      <c r="G79" s="106">
        <v>65.900000000000006</v>
      </c>
      <c r="H79" s="106">
        <v>65</v>
      </c>
      <c r="I79" s="106">
        <v>66.2</v>
      </c>
      <c r="J79" s="106">
        <v>65.599999999999994</v>
      </c>
      <c r="K79" s="106">
        <v>64.7</v>
      </c>
      <c r="L79" s="106">
        <v>65</v>
      </c>
      <c r="M79" s="106">
        <v>65.7</v>
      </c>
      <c r="N79" s="106">
        <v>65.8</v>
      </c>
      <c r="O79" s="106">
        <v>66.5</v>
      </c>
      <c r="P79" s="106">
        <v>66.2</v>
      </c>
      <c r="Q79" s="106">
        <v>65.099999999999994</v>
      </c>
      <c r="R79" s="106">
        <v>65.099999999999994</v>
      </c>
      <c r="S79" s="106">
        <v>65.099999999999994</v>
      </c>
      <c r="T79" s="106">
        <v>64.8</v>
      </c>
      <c r="U79" s="106">
        <v>65.8</v>
      </c>
      <c r="V79" s="106">
        <v>65.8</v>
      </c>
      <c r="W79" s="106">
        <v>66.099999999999994</v>
      </c>
      <c r="X79" s="106">
        <v>66.599999999999994</v>
      </c>
      <c r="Y79" s="106">
        <v>66.5</v>
      </c>
      <c r="Z79" s="106">
        <v>65.900000000000006</v>
      </c>
      <c r="AA79" s="106">
        <v>65.5</v>
      </c>
      <c r="AB79" s="106">
        <v>66</v>
      </c>
      <c r="AC79" s="106">
        <v>66.5</v>
      </c>
      <c r="AD79" s="106">
        <v>67.099999999999994</v>
      </c>
      <c r="AE79" s="106">
        <v>66</v>
      </c>
      <c r="AF79" s="107"/>
      <c r="AG79" s="108"/>
      <c r="AH79" s="52">
        <f>MAX(B79:AF79)</f>
        <v>67.2</v>
      </c>
      <c r="AI79" s="53">
        <f>MIN(B79:AF79)</f>
        <v>64.7</v>
      </c>
    </row>
    <row r="80" spans="1:35" x14ac:dyDescent="0.25">
      <c r="A80" s="109" t="s">
        <v>87</v>
      </c>
      <c r="B80" s="110">
        <f t="shared" ref="B80:AF80" si="19">SUMIF(B48:B57,"&gt;0")</f>
        <v>486.52</v>
      </c>
      <c r="C80" s="110">
        <f t="shared" si="19"/>
        <v>443.1</v>
      </c>
      <c r="D80" s="110">
        <f t="shared" si="19"/>
        <v>504.5</v>
      </c>
      <c r="E80" s="110">
        <f t="shared" si="19"/>
        <v>524.87</v>
      </c>
      <c r="F80" s="110">
        <f t="shared" si="19"/>
        <v>529.70000000000005</v>
      </c>
      <c r="G80" s="110">
        <f t="shared" si="19"/>
        <v>519.99</v>
      </c>
      <c r="H80" s="110">
        <f t="shared" si="19"/>
        <v>520</v>
      </c>
      <c r="I80" s="110">
        <f t="shared" si="19"/>
        <v>502.29999999999995</v>
      </c>
      <c r="J80" s="110">
        <f t="shared" si="19"/>
        <v>505.5</v>
      </c>
      <c r="K80" s="110">
        <f t="shared" si="19"/>
        <v>557.4</v>
      </c>
      <c r="L80" s="110">
        <f t="shared" si="19"/>
        <v>550.88000000000011</v>
      </c>
      <c r="M80" s="110">
        <f t="shared" si="19"/>
        <v>552</v>
      </c>
      <c r="N80" s="110">
        <f t="shared" si="19"/>
        <v>554.6</v>
      </c>
      <c r="O80" s="110">
        <f t="shared" si="19"/>
        <v>506.78000000000003</v>
      </c>
      <c r="P80" s="110">
        <f t="shared" si="19"/>
        <v>483.8</v>
      </c>
      <c r="Q80" s="110">
        <f t="shared" si="19"/>
        <v>445.3</v>
      </c>
      <c r="R80" s="110">
        <f t="shared" si="19"/>
        <v>457</v>
      </c>
      <c r="S80" s="110">
        <f t="shared" si="19"/>
        <v>453</v>
      </c>
      <c r="T80" s="110">
        <f t="shared" si="19"/>
        <v>457.2</v>
      </c>
      <c r="U80" s="110">
        <f t="shared" si="19"/>
        <v>433.3</v>
      </c>
      <c r="V80" s="110">
        <f t="shared" si="19"/>
        <v>438</v>
      </c>
      <c r="W80" s="110">
        <f t="shared" si="19"/>
        <v>429</v>
      </c>
      <c r="X80" s="110">
        <f t="shared" si="19"/>
        <v>423</v>
      </c>
      <c r="Y80" s="110">
        <f t="shared" si="19"/>
        <v>487</v>
      </c>
      <c r="Z80" s="110">
        <f t="shared" si="19"/>
        <v>511.4</v>
      </c>
      <c r="AA80" s="110">
        <f t="shared" si="19"/>
        <v>494.14</v>
      </c>
      <c r="AB80" s="110">
        <f t="shared" si="19"/>
        <v>486.99</v>
      </c>
      <c r="AC80" s="110">
        <f t="shared" si="19"/>
        <v>472.84</v>
      </c>
      <c r="AD80" s="110">
        <f t="shared" si="19"/>
        <v>460.39</v>
      </c>
      <c r="AE80" s="110">
        <f t="shared" si="19"/>
        <v>379.38</v>
      </c>
      <c r="AF80" s="110">
        <f t="shared" si="19"/>
        <v>0</v>
      </c>
      <c r="AG80" s="111"/>
      <c r="AH80" s="52">
        <f>MAX(B80:AF80)</f>
        <v>557.4</v>
      </c>
      <c r="AI80" s="53">
        <f>MIN(B80:AF80)</f>
        <v>0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153.51999999999998</v>
      </c>
      <c r="C82" s="115">
        <f t="shared" ref="C82:AF82" si="20">C11+C13+C17+C34+C36+C38+C40+C94+C108+C110+C121+C127+C130+C139+C143+C144+C147+C154+C159+C162+C163+C164+C172+C177+C83+C84+C85+C86+C99</f>
        <v>141.82</v>
      </c>
      <c r="D82" s="115">
        <f t="shared" si="20"/>
        <v>140.12</v>
      </c>
      <c r="E82" s="115">
        <f t="shared" si="20"/>
        <v>142.22</v>
      </c>
      <c r="F82" s="115">
        <f t="shared" si="20"/>
        <v>159.42000000000002</v>
      </c>
      <c r="G82" s="115">
        <f t="shared" si="20"/>
        <v>180.22000000000003</v>
      </c>
      <c r="H82" s="115">
        <f t="shared" si="20"/>
        <v>203.52</v>
      </c>
      <c r="I82" s="115">
        <f t="shared" si="20"/>
        <v>218.42</v>
      </c>
      <c r="J82" s="115">
        <f t="shared" si="20"/>
        <v>228.02</v>
      </c>
      <c r="K82" s="115">
        <f t="shared" si="20"/>
        <v>250.42</v>
      </c>
      <c r="L82" s="115">
        <f t="shared" si="20"/>
        <v>263.62</v>
      </c>
      <c r="M82" s="115">
        <f t="shared" si="20"/>
        <v>260.41999999999996</v>
      </c>
      <c r="N82" s="115">
        <f t="shared" si="20"/>
        <v>254.22</v>
      </c>
      <c r="O82" s="115">
        <f t="shared" si="20"/>
        <v>228.82</v>
      </c>
      <c r="P82" s="115">
        <f t="shared" si="20"/>
        <v>219.62000000000003</v>
      </c>
      <c r="Q82" s="115">
        <f t="shared" si="20"/>
        <v>266.31999999999994</v>
      </c>
      <c r="R82" s="115">
        <f t="shared" si="20"/>
        <v>216.61999999999998</v>
      </c>
      <c r="S82" s="115">
        <f t="shared" si="20"/>
        <v>220.32</v>
      </c>
      <c r="T82" s="115">
        <f t="shared" si="20"/>
        <v>218.02</v>
      </c>
      <c r="U82" s="115">
        <f t="shared" si="20"/>
        <v>221.21999999999997</v>
      </c>
      <c r="V82" s="115">
        <f t="shared" si="20"/>
        <v>217.42</v>
      </c>
      <c r="W82" s="115">
        <f t="shared" si="20"/>
        <v>233.91999999999996</v>
      </c>
      <c r="X82" s="115">
        <f t="shared" si="20"/>
        <v>252.32</v>
      </c>
      <c r="Y82" s="115">
        <f t="shared" si="20"/>
        <v>279.91999999999996</v>
      </c>
      <c r="Z82" s="115">
        <f t="shared" si="20"/>
        <v>302.81999999999994</v>
      </c>
      <c r="AA82" s="115">
        <f t="shared" si="20"/>
        <v>276.12</v>
      </c>
      <c r="AB82" s="115">
        <f t="shared" si="20"/>
        <v>248.42000000000002</v>
      </c>
      <c r="AC82" s="115">
        <f t="shared" si="20"/>
        <v>221.11999999999998</v>
      </c>
      <c r="AD82" s="115">
        <f t="shared" si="20"/>
        <v>189.72</v>
      </c>
      <c r="AE82" s="115">
        <f t="shared" si="20"/>
        <v>184.82</v>
      </c>
      <c r="AF82" s="115">
        <f t="shared" si="20"/>
        <v>28.42</v>
      </c>
      <c r="AG82" s="116"/>
      <c r="AH82" s="52">
        <f>MAX(B82:AF82)</f>
        <v>302.81999999999994</v>
      </c>
      <c r="AI82" s="53">
        <f>MIN(B82:AF82)</f>
        <v>28.42</v>
      </c>
    </row>
    <row r="83" spans="1:37" x14ac:dyDescent="0.25">
      <c r="A83" s="117" t="s">
        <v>89</v>
      </c>
      <c r="B83" s="118">
        <v>-7.2</v>
      </c>
      <c r="C83" s="118">
        <v>9.4</v>
      </c>
      <c r="D83" s="118">
        <v>-28</v>
      </c>
      <c r="E83" s="118">
        <v>-37.200000000000003</v>
      </c>
      <c r="F83" s="118">
        <v>-40.700000000000003</v>
      </c>
      <c r="G83" s="118">
        <v>-31.8</v>
      </c>
      <c r="H83" s="118">
        <v>-27.3</v>
      </c>
      <c r="I83" s="118">
        <v>0.7</v>
      </c>
      <c r="J83" s="118">
        <v>2.2999999999999998</v>
      </c>
      <c r="K83" s="118">
        <v>-4</v>
      </c>
      <c r="L83" s="118">
        <v>10.8</v>
      </c>
      <c r="M83" s="118">
        <v>11.9</v>
      </c>
      <c r="N83" s="118">
        <v>15.3</v>
      </c>
      <c r="O83" s="118">
        <v>23.3</v>
      </c>
      <c r="P83" s="118">
        <v>30.4</v>
      </c>
      <c r="Q83" s="118">
        <v>41.8</v>
      </c>
      <c r="R83" s="118">
        <v>32</v>
      </c>
      <c r="S83" s="118">
        <v>28</v>
      </c>
      <c r="T83" s="118">
        <v>24.9</v>
      </c>
      <c r="U83" s="118">
        <v>19.2</v>
      </c>
      <c r="V83" s="118">
        <v>12.5</v>
      </c>
      <c r="W83" s="118">
        <v>14.1</v>
      </c>
      <c r="X83" s="118">
        <v>30</v>
      </c>
      <c r="Y83" s="118">
        <v>35</v>
      </c>
      <c r="Z83" s="118">
        <v>51</v>
      </c>
      <c r="AA83" s="50">
        <v>53.8</v>
      </c>
      <c r="AB83" s="50">
        <v>48.2</v>
      </c>
      <c r="AC83" s="50">
        <v>43.9</v>
      </c>
      <c r="AD83" s="50">
        <v>18.399999999999999</v>
      </c>
      <c r="AE83" s="50">
        <v>31.8</v>
      </c>
      <c r="AF83" s="119"/>
      <c r="AG83" s="120">
        <v>75</v>
      </c>
      <c r="AH83" s="52">
        <f>IF(ABS(MAX(B83:AF83))&gt;ABS(MIN(B83:AF83)),MAX(B83:AF83),MIN(B83:AF83))</f>
        <v>53.8</v>
      </c>
      <c r="AI83" s="121">
        <f>INDEX($B$9:$AF$9,1,MATCH(AH83,B83:AF83,0))</f>
        <v>0.83333333333333337</v>
      </c>
    </row>
    <row r="84" spans="1:37" x14ac:dyDescent="0.25">
      <c r="A84" s="122" t="s">
        <v>90</v>
      </c>
      <c r="B84" s="83">
        <v>-27</v>
      </c>
      <c r="C84" s="83">
        <v>-35</v>
      </c>
      <c r="D84" s="83">
        <v>-18</v>
      </c>
      <c r="E84" s="83">
        <v>-14</v>
      </c>
      <c r="F84" s="83">
        <v>-6</v>
      </c>
      <c r="G84" s="83">
        <v>0</v>
      </c>
      <c r="H84" s="83">
        <v>10.5</v>
      </c>
      <c r="I84" s="83">
        <v>12</v>
      </c>
      <c r="J84" s="83">
        <v>15</v>
      </c>
      <c r="K84" s="83">
        <v>25</v>
      </c>
      <c r="L84" s="83">
        <f>16.9+18.6</f>
        <v>35.5</v>
      </c>
      <c r="M84" s="83">
        <f>15.2+16.4</f>
        <v>31.599999999999998</v>
      </c>
      <c r="N84" s="83">
        <f>15+16.7</f>
        <v>31.7</v>
      </c>
      <c r="O84" s="83">
        <f>7.4+8.6</f>
        <v>16</v>
      </c>
      <c r="P84" s="83">
        <f>2.1+2.8</f>
        <v>4.9000000000000004</v>
      </c>
      <c r="Q84" s="83">
        <v>11.6</v>
      </c>
      <c r="R84" s="83">
        <v>0</v>
      </c>
      <c r="S84" s="83">
        <v>2.7</v>
      </c>
      <c r="T84" s="83">
        <v>5.0999999999999996</v>
      </c>
      <c r="U84" s="83">
        <v>10</v>
      </c>
      <c r="V84" s="83">
        <v>15</v>
      </c>
      <c r="W84" s="83">
        <v>15</v>
      </c>
      <c r="X84" s="83">
        <v>9</v>
      </c>
      <c r="Y84" s="83">
        <v>10</v>
      </c>
      <c r="Z84" s="83">
        <v>15.5</v>
      </c>
      <c r="AA84" s="70">
        <v>8.3000000000000007</v>
      </c>
      <c r="AB84" s="70">
        <v>-8.1999999999999993</v>
      </c>
      <c r="AC84" s="70">
        <v>-9.3000000000000007</v>
      </c>
      <c r="AD84" s="70">
        <v>-9</v>
      </c>
      <c r="AE84" s="70">
        <v>-31</v>
      </c>
      <c r="AF84" s="123"/>
      <c r="AG84" s="120">
        <v>240</v>
      </c>
      <c r="AH84" s="52">
        <f>IF(ABS(MAX(B84:AF84))&gt;ABS(MIN(B84:AF84)),MAX(B84:AF84),MIN(B84:AF84))</f>
        <v>35.5</v>
      </c>
      <c r="AI84" s="121">
        <f>INDEX($B$9:$AF$9,1,MATCH(AH84,B84:AF84,0))</f>
        <v>0.33333333333333331</v>
      </c>
    </row>
    <row r="85" spans="1:37" x14ac:dyDescent="0.25">
      <c r="A85" s="122" t="s">
        <v>91</v>
      </c>
      <c r="B85" s="83">
        <v>1.9</v>
      </c>
      <c r="C85" s="83">
        <v>0.1</v>
      </c>
      <c r="D85" s="83">
        <v>1.8</v>
      </c>
      <c r="E85" s="83">
        <v>3.2</v>
      </c>
      <c r="F85" s="83">
        <v>5.3</v>
      </c>
      <c r="G85" s="83">
        <v>7.8</v>
      </c>
      <c r="H85" s="83">
        <v>9.9</v>
      </c>
      <c r="I85" s="83">
        <v>11.4</v>
      </c>
      <c r="J85" s="83">
        <v>12</v>
      </c>
      <c r="K85" s="83">
        <v>14</v>
      </c>
      <c r="L85" s="83">
        <v>11.8</v>
      </c>
      <c r="M85" s="83">
        <v>13.5</v>
      </c>
      <c r="N85" s="83">
        <v>11.5</v>
      </c>
      <c r="O85" s="83">
        <v>9.1999999999999993</v>
      </c>
      <c r="P85" s="83">
        <v>7.8</v>
      </c>
      <c r="Q85" s="83">
        <v>4.5999999999999996</v>
      </c>
      <c r="R85" s="83">
        <v>7</v>
      </c>
      <c r="S85" s="83">
        <v>9.8000000000000007</v>
      </c>
      <c r="T85" s="83">
        <v>7.4</v>
      </c>
      <c r="U85" s="83">
        <v>12.1</v>
      </c>
      <c r="V85" s="83">
        <v>12</v>
      </c>
      <c r="W85" s="83">
        <v>14</v>
      </c>
      <c r="X85" s="83">
        <v>12</v>
      </c>
      <c r="Y85" s="83">
        <v>20</v>
      </c>
      <c r="Z85" s="83">
        <v>22</v>
      </c>
      <c r="AA85" s="70">
        <v>12.9</v>
      </c>
      <c r="AB85" s="70">
        <v>10</v>
      </c>
      <c r="AC85" s="70">
        <v>9.5</v>
      </c>
      <c r="AD85" s="70">
        <v>8</v>
      </c>
      <c r="AE85" s="70">
        <v>2.5</v>
      </c>
      <c r="AF85" s="123"/>
      <c r="AG85" s="120">
        <v>60</v>
      </c>
      <c r="AH85" s="52">
        <f>IF(ABS(MAX(B85:AF85))&gt;ABS(MIN(B85:AF85)),MAX(B85:AF85),MIN(B85:AF85))</f>
        <v>22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38.299999999999997</v>
      </c>
      <c r="C86" s="85">
        <v>21.9</v>
      </c>
      <c r="D86" s="85">
        <v>37.1</v>
      </c>
      <c r="E86" s="85">
        <v>45.4</v>
      </c>
      <c r="F86" s="85">
        <v>55.3</v>
      </c>
      <c r="G86" s="85">
        <v>57.7</v>
      </c>
      <c r="H86" s="85">
        <v>64.900000000000006</v>
      </c>
      <c r="I86" s="85">
        <v>52.3</v>
      </c>
      <c r="J86" s="85">
        <v>56.5</v>
      </c>
      <c r="K86" s="85">
        <v>73.2</v>
      </c>
      <c r="L86" s="85">
        <v>62.8</v>
      </c>
      <c r="M86" s="85">
        <v>60.7</v>
      </c>
      <c r="N86" s="85">
        <v>54.2</v>
      </c>
      <c r="O86" s="85">
        <v>36.5</v>
      </c>
      <c r="P86" s="85">
        <v>32.9</v>
      </c>
      <c r="Q86" s="85">
        <v>65.599999999999994</v>
      </c>
      <c r="R86" s="85">
        <v>32</v>
      </c>
      <c r="S86" s="85">
        <v>31</v>
      </c>
      <c r="T86" s="85">
        <v>31.8</v>
      </c>
      <c r="U86" s="85">
        <v>35</v>
      </c>
      <c r="V86" s="85">
        <v>33</v>
      </c>
      <c r="W86" s="85">
        <v>39.5</v>
      </c>
      <c r="X86" s="85">
        <v>48.4</v>
      </c>
      <c r="Y86" s="85">
        <v>62</v>
      </c>
      <c r="Z86" s="85">
        <v>54.4</v>
      </c>
      <c r="AA86" s="125">
        <v>33.5</v>
      </c>
      <c r="AB86" s="125">
        <v>32.9</v>
      </c>
      <c r="AC86" s="125">
        <v>23.6</v>
      </c>
      <c r="AD86" s="125">
        <v>5.6</v>
      </c>
      <c r="AE86" s="125">
        <v>18.7</v>
      </c>
      <c r="AF86" s="126"/>
      <c r="AG86" s="127">
        <v>120</v>
      </c>
      <c r="AH86" s="52">
        <f>IF(ABS(MAX(B86:AF86))&gt;ABS(MIN(B86:AF86)),MAX(B86:AF86),MIN(B86:AF86))</f>
        <v>73.2</v>
      </c>
      <c r="AI86" s="121">
        <f>INDEX($B$9:$AF$9,1,MATCH(AH86,B86:AF86,0))</f>
        <v>0.3125</v>
      </c>
    </row>
    <row r="87" spans="1:37" ht="15.75" thickBot="1" x14ac:dyDescent="0.3">
      <c r="A87" s="124" t="s">
        <v>93</v>
      </c>
      <c r="B87" s="85">
        <v>84.9</v>
      </c>
      <c r="C87" s="85">
        <v>70.3</v>
      </c>
      <c r="D87" s="85">
        <v>76.7</v>
      </c>
      <c r="E87" s="85">
        <v>83.6</v>
      </c>
      <c r="F87" s="85">
        <v>90.7</v>
      </c>
      <c r="G87" s="85">
        <v>89.3</v>
      </c>
      <c r="H87" s="85">
        <v>93</v>
      </c>
      <c r="I87" s="85">
        <v>79.5</v>
      </c>
      <c r="J87" s="85">
        <v>82</v>
      </c>
      <c r="K87" s="85">
        <v>96.6</v>
      </c>
      <c r="L87" s="85">
        <v>96.7</v>
      </c>
      <c r="M87" s="85">
        <v>90.3</v>
      </c>
      <c r="N87" s="85">
        <v>86.6</v>
      </c>
      <c r="O87" s="85">
        <v>70.099999999999994</v>
      </c>
      <c r="P87" s="85">
        <v>60.2</v>
      </c>
      <c r="Q87" s="85">
        <v>64.5</v>
      </c>
      <c r="R87" s="85">
        <v>75</v>
      </c>
      <c r="S87" s="85">
        <v>77</v>
      </c>
      <c r="T87" s="85">
        <v>83.2</v>
      </c>
      <c r="U87" s="85">
        <v>80</v>
      </c>
      <c r="V87" s="85">
        <v>85</v>
      </c>
      <c r="W87" s="85">
        <v>80.400000000000006</v>
      </c>
      <c r="X87" s="85">
        <v>65</v>
      </c>
      <c r="Y87" s="85">
        <v>65</v>
      </c>
      <c r="Z87" s="85">
        <v>67</v>
      </c>
      <c r="AA87" s="125">
        <v>65.5</v>
      </c>
      <c r="AB87" s="125">
        <v>67.599999999999994</v>
      </c>
      <c r="AC87" s="125">
        <v>62.6</v>
      </c>
      <c r="AD87" s="125">
        <v>78.5</v>
      </c>
      <c r="AE87" s="125">
        <v>55.3</v>
      </c>
      <c r="AF87" s="126"/>
      <c r="AG87" s="127"/>
      <c r="AH87" s="52">
        <f>IF(ABS(MAX(B87:AF87))&gt;ABS(MIN(B87:AF87)),MAX(B87:AF87),MIN(B87:AF87))</f>
        <v>96.7</v>
      </c>
      <c r="AI87" s="121">
        <f>INDEX($B$9:$AF$9,1,MATCH(AH87,B87:AF87,0))</f>
        <v>0.33333333333333331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1040.52</v>
      </c>
      <c r="C188" s="164">
        <f>INDEX(F9:M9,1,MATCH(MAX(F65:M65),F65:M65,0))</f>
        <v>0.33333333333333331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5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5)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5)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950.76</v>
      </c>
      <c r="U193" s="173">
        <f t="shared" si="37"/>
        <v>929.54</v>
      </c>
      <c r="V193" s="173">
        <f t="shared" si="37"/>
        <v>923.04</v>
      </c>
      <c r="W193" s="173">
        <f t="shared" si="37"/>
        <v>908.51</v>
      </c>
      <c r="X193" s="173">
        <f t="shared" si="37"/>
        <v>920.04000000000008</v>
      </c>
      <c r="Y193" s="173">
        <f t="shared" si="37"/>
        <v>925.63000000000011</v>
      </c>
      <c r="Z193" s="173">
        <f t="shared" si="37"/>
        <v>924.74</v>
      </c>
      <c r="AA193" s="173">
        <f t="shared" si="37"/>
        <v>976.24</v>
      </c>
      <c r="AB193" s="173">
        <f t="shared" si="37"/>
        <v>981.84</v>
      </c>
      <c r="AC193" s="173">
        <f t="shared" si="37"/>
        <v>1028.54</v>
      </c>
      <c r="AD193" s="173">
        <f t="shared" si="37"/>
        <v>1040.52</v>
      </c>
      <c r="AE193" s="173">
        <f t="shared" si="37"/>
        <v>1039.6400000000001</v>
      </c>
      <c r="AF193" s="173">
        <f t="shared" si="37"/>
        <v>1043.1399999999999</v>
      </c>
      <c r="AG193" s="173">
        <f t="shared" si="37"/>
        <v>1039.72</v>
      </c>
      <c r="AH193" s="173">
        <f t="shared" si="37"/>
        <v>1006.4399999999999</v>
      </c>
      <c r="AI193" s="173">
        <f t="shared" si="37"/>
        <v>982.94</v>
      </c>
      <c r="AJ193" s="173">
        <f t="shared" si="37"/>
        <v>971.74</v>
      </c>
      <c r="AK193" s="173">
        <f t="shared" si="37"/>
        <v>971.34</v>
      </c>
      <c r="AL193" s="173">
        <f t="shared" si="37"/>
        <v>966.14</v>
      </c>
      <c r="AM193" s="173">
        <f t="shared" si="37"/>
        <v>949.6400000000001</v>
      </c>
      <c r="AN193" s="173">
        <f t="shared" si="37"/>
        <v>947.54000000000008</v>
      </c>
      <c r="AO193" s="173">
        <f t="shared" si="37"/>
        <v>949.1400000000001</v>
      </c>
      <c r="AP193" s="173">
        <f t="shared" si="37"/>
        <v>975.54000000000008</v>
      </c>
      <c r="AQ193" s="173">
        <f t="shared" si="37"/>
        <v>1078.1399999999999</v>
      </c>
      <c r="AR193" s="173">
        <f t="shared" si="37"/>
        <v>1158.8399999999999</v>
      </c>
      <c r="AS193" s="173">
        <f t="shared" si="37"/>
        <v>1134.6799999999998</v>
      </c>
      <c r="AT193" s="173">
        <f t="shared" si="37"/>
        <v>1123.03</v>
      </c>
      <c r="AU193" s="173">
        <f t="shared" si="37"/>
        <v>1064.6799999999998</v>
      </c>
      <c r="AV193" s="173">
        <f t="shared" si="37"/>
        <v>980.12999999999988</v>
      </c>
      <c r="AW193" s="173">
        <f t="shared" si="37"/>
        <v>911.12</v>
      </c>
      <c r="AX193" s="173">
        <f t="shared" si="37"/>
        <v>140.73999999999998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164" priority="165">
      <formula>S$9&gt;=20/24</formula>
    </cfRule>
    <cfRule type="expression" dxfId="5163" priority="166">
      <formula>AND(S$9&gt;=14/24,S$9&lt;20/24)</formula>
    </cfRule>
    <cfRule type="expression" dxfId="5162" priority="167">
      <formula>AND(S$9&gt;=8/24,S$9&lt;14/24)</formula>
    </cfRule>
    <cfRule type="expression" dxfId="5161" priority="168">
      <formula>S$9&lt;8/24</formula>
    </cfRule>
  </conditionalFormatting>
  <conditionalFormatting sqref="B8:AF10 AA70:AF70 B70:Q70 L32:Z33 L31:Q31 B71:AF71 B72:Q72 C173:AF179 M36 N35:Q36 L29:Q29 L49:T50 V35:W35 X34:Z35 AA72:AF79 AA48:AF50 B47:AF47 B59:AF69 B48:K58 L34:Q34 L51:Q58 M37:Z39 R53:Z58 R11:T11 S34:W34 B73:Z79 L44:AF46 U11:Z12 AA51:AC51 AF51">
    <cfRule type="expression" dxfId="5160" priority="161">
      <formula>B$9&gt;=20/24</formula>
    </cfRule>
    <cfRule type="expression" dxfId="5159" priority="162">
      <formula>AND(B$9&gt;=14/24,B$9&lt;20/24)</formula>
    </cfRule>
    <cfRule type="expression" dxfId="5158" priority="163">
      <formula>AND(B$9&gt;=8/24,B$9&lt;14/24)</formula>
    </cfRule>
    <cfRule type="expression" dxfId="5157" priority="164">
      <formula>B$9&lt;8/24</formula>
    </cfRule>
  </conditionalFormatting>
  <conditionalFormatting sqref="B171:AF171">
    <cfRule type="expression" dxfId="5156" priority="157">
      <formula>B$9&gt;=20/24</formula>
    </cfRule>
    <cfRule type="expression" dxfId="5155" priority="158">
      <formula>AND(B$9&gt;=14/24,B$9&lt;20/24)</formula>
    </cfRule>
    <cfRule type="expression" dxfId="5154" priority="159">
      <formula>AND(B$9&gt;=8/24,B$9&lt;14/24)</formula>
    </cfRule>
    <cfRule type="expression" dxfId="5153" priority="160">
      <formula>B$9&lt;8/24</formula>
    </cfRule>
  </conditionalFormatting>
  <conditionalFormatting sqref="AL4:AL6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5152" priority="152">
      <formula>L$9&gt;=20/24</formula>
    </cfRule>
    <cfRule type="expression" dxfId="5151" priority="153">
      <formula>AND(L$9&gt;=14/24,L$9&lt;20/24)</formula>
    </cfRule>
    <cfRule type="expression" dxfId="5150" priority="154">
      <formula>AND(L$9&gt;=8/24,L$9&lt;14/24)</formula>
    </cfRule>
    <cfRule type="expression" dxfId="5149" priority="155">
      <formula>L$9&lt;8/24</formula>
    </cfRule>
  </conditionalFormatting>
  <conditionalFormatting sqref="L35:M35">
    <cfRule type="expression" dxfId="5148" priority="148">
      <formula>L$9&gt;=20/24</formula>
    </cfRule>
    <cfRule type="expression" dxfId="5147" priority="149">
      <formula>AND(L$9&gt;=14/24,L$9&lt;20/24)</formula>
    </cfRule>
    <cfRule type="expression" dxfId="5146" priority="150">
      <formula>AND(L$9&gt;=8/24,L$9&lt;14/24)</formula>
    </cfRule>
    <cfRule type="expression" dxfId="5145" priority="151">
      <formula>L$9&lt;8/24</formula>
    </cfRule>
  </conditionalFormatting>
  <conditionalFormatting sqref="U13:Z13">
    <cfRule type="expression" dxfId="5144" priority="144">
      <formula>U$9&gt;=20/24</formula>
    </cfRule>
    <cfRule type="expression" dxfId="5143" priority="145">
      <formula>AND(U$9&gt;=14/24,U$9&lt;20/24)</formula>
    </cfRule>
    <cfRule type="expression" dxfId="5142" priority="146">
      <formula>AND(U$9&gt;=8/24,U$9&lt;14/24)</formula>
    </cfRule>
    <cfRule type="expression" dxfId="5141" priority="147">
      <formula>U$9&lt;8/24</formula>
    </cfRule>
  </conditionalFormatting>
  <conditionalFormatting sqref="R31:Z31">
    <cfRule type="expression" dxfId="5140" priority="140">
      <formula>R$9&gt;=20/24</formula>
    </cfRule>
    <cfRule type="expression" dxfId="5139" priority="141">
      <formula>AND(R$9&gt;=14/24,R$9&lt;20/24)</formula>
    </cfRule>
    <cfRule type="expression" dxfId="5138" priority="142">
      <formula>AND(R$9&gt;=8/24,R$9&lt;14/24)</formula>
    </cfRule>
    <cfRule type="expression" dxfId="5137" priority="143">
      <formula>R$9&lt;8/24</formula>
    </cfRule>
  </conditionalFormatting>
  <conditionalFormatting sqref="R48:Z48">
    <cfRule type="expression" dxfId="5136" priority="136">
      <formula>R$9&gt;=20/24</formula>
    </cfRule>
    <cfRule type="expression" dxfId="5135" priority="137">
      <formula>AND(R$9&gt;=14/24,R$9&lt;20/24)</formula>
    </cfRule>
    <cfRule type="expression" dxfId="5134" priority="138">
      <formula>AND(R$9&gt;=8/24,R$9&lt;14/24)</formula>
    </cfRule>
    <cfRule type="expression" dxfId="5133" priority="139">
      <formula>R$9&lt;8/24</formula>
    </cfRule>
  </conditionalFormatting>
  <conditionalFormatting sqref="R70:Z70">
    <cfRule type="expression" dxfId="5132" priority="132">
      <formula>R$9&gt;=20/24</formula>
    </cfRule>
    <cfRule type="expression" dxfId="5131" priority="133">
      <formula>AND(R$9&gt;=14/24,R$9&lt;20/24)</formula>
    </cfRule>
    <cfRule type="expression" dxfId="5130" priority="134">
      <formula>AND(R$9&gt;=8/24,R$9&lt;14/24)</formula>
    </cfRule>
    <cfRule type="expression" dxfId="5129" priority="135">
      <formula>R$9&lt;8/24</formula>
    </cfRule>
  </conditionalFormatting>
  <conditionalFormatting sqref="R72:Z72">
    <cfRule type="expression" dxfId="5128" priority="128">
      <formula>R$9&gt;=20/24</formula>
    </cfRule>
    <cfRule type="expression" dxfId="5127" priority="129">
      <formula>AND(R$9&gt;=14/24,R$9&lt;20/24)</formula>
    </cfRule>
    <cfRule type="expression" dxfId="5126" priority="130">
      <formula>AND(R$9&gt;=8/24,R$9&lt;14/24)</formula>
    </cfRule>
    <cfRule type="expression" dxfId="5125" priority="131">
      <formula>R$9&lt;8/24</formula>
    </cfRule>
  </conditionalFormatting>
  <conditionalFormatting sqref="L11:Z27">
    <cfRule type="expression" dxfId="5124" priority="124">
      <formula>L$9&gt;=20/24</formula>
    </cfRule>
    <cfRule type="expression" dxfId="5123" priority="125">
      <formula>AND(L$9&gt;=14/24,L$9&lt;20/24)</formula>
    </cfRule>
    <cfRule type="expression" dxfId="5122" priority="126">
      <formula>AND(L$9&gt;=8/24,L$9&lt;14/24)</formula>
    </cfRule>
    <cfRule type="expression" dxfId="5121" priority="127">
      <formula>L$9&lt;8/24</formula>
    </cfRule>
  </conditionalFormatting>
  <conditionalFormatting sqref="L40:Z40">
    <cfRule type="expression" dxfId="5120" priority="120">
      <formula>L$9&gt;=20/24</formula>
    </cfRule>
    <cfRule type="expression" dxfId="5119" priority="121">
      <formula>AND(L$9&gt;=14/24,L$9&lt;20/24)</formula>
    </cfRule>
    <cfRule type="expression" dxfId="5118" priority="122">
      <formula>AND(L$9&gt;=8/24,L$9&lt;14/24)</formula>
    </cfRule>
    <cfRule type="expression" dxfId="5117" priority="123">
      <formula>L$9&lt;8/24</formula>
    </cfRule>
  </conditionalFormatting>
  <conditionalFormatting sqref="L41:Z41">
    <cfRule type="expression" dxfId="5116" priority="116">
      <formula>L$9&gt;=20/24</formula>
    </cfRule>
    <cfRule type="expression" dxfId="5115" priority="117">
      <formula>AND(L$9&gt;=14/24,L$9&lt;20/24)</formula>
    </cfRule>
    <cfRule type="expression" dxfId="5114" priority="118">
      <formula>AND(L$9&gt;=8/24,L$9&lt;14/24)</formula>
    </cfRule>
    <cfRule type="expression" dxfId="5113" priority="119">
      <formula>L$9&lt;8/24</formula>
    </cfRule>
  </conditionalFormatting>
  <conditionalFormatting sqref="L36:L39 M39:Z39 M37:Z37">
    <cfRule type="expression" dxfId="5112" priority="112">
      <formula>L$9&gt;=20/24</formula>
    </cfRule>
    <cfRule type="expression" dxfId="5111" priority="113">
      <formula>AND(L$9&gt;=14/24,L$9&lt;20/24)</formula>
    </cfRule>
    <cfRule type="expression" dxfId="5110" priority="114">
      <formula>AND(L$9&gt;=8/24,L$9&lt;14/24)</formula>
    </cfRule>
    <cfRule type="expression" dxfId="5109" priority="115">
      <formula>L$9&lt;8/24</formula>
    </cfRule>
  </conditionalFormatting>
  <conditionalFormatting sqref="R29:AD29">
    <cfRule type="expression" dxfId="5108" priority="108">
      <formula>R$9&gt;=20/24</formula>
    </cfRule>
    <cfRule type="expression" dxfId="5107" priority="109">
      <formula>AND(R$9&gt;=14/24,R$9&lt;20/24)</formula>
    </cfRule>
    <cfRule type="expression" dxfId="5106" priority="110">
      <formula>AND(R$9&gt;=8/24,R$9&lt;14/24)</formula>
    </cfRule>
    <cfRule type="expression" dxfId="5105" priority="111">
      <formula>R$9&lt;8/24</formula>
    </cfRule>
  </conditionalFormatting>
  <conditionalFormatting sqref="R12:T27 U14:Z27 AA16:AF27">
    <cfRule type="expression" dxfId="5104" priority="104">
      <formula>R$9&gt;=20/24</formula>
    </cfRule>
    <cfRule type="expression" dxfId="5103" priority="105">
      <formula>AND(R$9&gt;=14/24,R$9&lt;20/24)</formula>
    </cfRule>
    <cfRule type="expression" dxfId="5102" priority="106">
      <formula>AND(R$9&gt;=8/24,R$9&lt;14/24)</formula>
    </cfRule>
    <cfRule type="expression" dxfId="5101" priority="107">
      <formula>R$9&lt;8/24</formula>
    </cfRule>
  </conditionalFormatting>
  <conditionalFormatting sqref="R34:R39 S35:U39 V36:Z39 V35:V36">
    <cfRule type="expression" dxfId="5100" priority="100">
      <formula>R$9&gt;=20/24</formula>
    </cfRule>
    <cfRule type="expression" dxfId="5099" priority="101">
      <formula>AND(R$9&gt;=14/24,R$9&lt;20/24)</formula>
    </cfRule>
    <cfRule type="expression" dxfId="5098" priority="102">
      <formula>AND(R$9&gt;=8/24,R$9&lt;14/24)</formula>
    </cfRule>
    <cfRule type="expression" dxfId="5097" priority="103">
      <formula>R$9&lt;8/24</formula>
    </cfRule>
  </conditionalFormatting>
  <conditionalFormatting sqref="R40:Z40">
    <cfRule type="expression" dxfId="5096" priority="96">
      <formula>R$9&gt;=20/24</formula>
    </cfRule>
    <cfRule type="expression" dxfId="5095" priority="97">
      <formula>AND(R$9&gt;=14/24,R$9&lt;20/24)</formula>
    </cfRule>
    <cfRule type="expression" dxfId="5094" priority="98">
      <formula>AND(R$9&gt;=8/24,R$9&lt;14/24)</formula>
    </cfRule>
    <cfRule type="expression" dxfId="5093" priority="99">
      <formula>R$9&lt;8/24</formula>
    </cfRule>
  </conditionalFormatting>
  <conditionalFormatting sqref="R41:Z41">
    <cfRule type="expression" dxfId="5092" priority="92">
      <formula>R$9&gt;=20/24</formula>
    </cfRule>
    <cfRule type="expression" dxfId="5091" priority="93">
      <formula>AND(R$9&gt;=14/24,R$9&lt;20/24)</formula>
    </cfRule>
    <cfRule type="expression" dxfId="5090" priority="94">
      <formula>AND(R$9&gt;=8/24,R$9&lt;14/24)</formula>
    </cfRule>
    <cfRule type="expression" dxfId="5089" priority="95">
      <formula>R$9&lt;8/24</formula>
    </cfRule>
  </conditionalFormatting>
  <conditionalFormatting sqref="R51:Z52 AA52:AC58 AF52:AF58">
    <cfRule type="expression" dxfId="5088" priority="88">
      <formula>R$9&gt;=20/24</formula>
    </cfRule>
    <cfRule type="expression" dxfId="5087" priority="89">
      <formula>AND(R$9&gt;=14/24,R$9&lt;20/24)</formula>
    </cfRule>
    <cfRule type="expression" dxfId="5086" priority="90">
      <formula>AND(R$9&gt;=8/24,R$9&lt;14/24)</formula>
    </cfRule>
    <cfRule type="expression" dxfId="5085" priority="91">
      <formula>R$9&lt;8/24</formula>
    </cfRule>
  </conditionalFormatting>
  <conditionalFormatting sqref="AA83:AF86">
    <cfRule type="expression" dxfId="5084" priority="84">
      <formula>AA$9&gt;=20/24</formula>
    </cfRule>
    <cfRule type="expression" dxfId="5083" priority="85">
      <formula>AND(AA$9&gt;=14/24,AA$9&lt;20/24)</formula>
    </cfRule>
    <cfRule type="expression" dxfId="5082" priority="86">
      <formula>AND(AA$9&gt;=8/24,AA$9&lt;14/24)</formula>
    </cfRule>
    <cfRule type="expression" dxfId="5081" priority="87">
      <formula>AA$9&lt;8/24</formula>
    </cfRule>
  </conditionalFormatting>
  <conditionalFormatting sqref="B83:K86">
    <cfRule type="expression" dxfId="5080" priority="76">
      <formula>B$9&gt;=20/24</formula>
    </cfRule>
    <cfRule type="expression" dxfId="5079" priority="77">
      <formula>AND(B$9&gt;=14/24,B$9&lt;20/24)</formula>
    </cfRule>
    <cfRule type="expression" dxfId="5078" priority="78">
      <formula>AND(B$9&gt;=8/24,B$9&lt;14/24)</formula>
    </cfRule>
    <cfRule type="expression" dxfId="5077" priority="79">
      <formula>B$9&lt;8/24</formula>
    </cfRule>
  </conditionalFormatting>
  <conditionalFormatting sqref="L83:Q86">
    <cfRule type="expression" dxfId="5076" priority="72">
      <formula>L$9&gt;=20/24</formula>
    </cfRule>
    <cfRule type="expression" dxfId="5075" priority="73">
      <formula>AND(L$9&gt;=14/24,L$9&lt;20/24)</formula>
    </cfRule>
    <cfRule type="expression" dxfId="5074" priority="74">
      <formula>AND(L$9&gt;=8/24,L$9&lt;14/24)</formula>
    </cfRule>
    <cfRule type="expression" dxfId="5073" priority="75">
      <formula>L$9&lt;8/24</formula>
    </cfRule>
  </conditionalFormatting>
  <conditionalFormatting sqref="R83:Z86">
    <cfRule type="expression" dxfId="5072" priority="68">
      <formula>R$9&gt;=20/24</formula>
    </cfRule>
    <cfRule type="expression" dxfId="5071" priority="69">
      <formula>AND(R$9&gt;=14/24,R$9&lt;20/24)</formula>
    </cfRule>
    <cfRule type="expression" dxfId="5070" priority="70">
      <formula>AND(R$9&gt;=8/24,R$9&lt;14/24)</formula>
    </cfRule>
    <cfRule type="expression" dxfId="5069" priority="71">
      <formula>R$9&lt;8/24</formula>
    </cfRule>
  </conditionalFormatting>
  <conditionalFormatting sqref="AG42 B11:AF47">
    <cfRule type="expression" dxfId="5068" priority="67">
      <formula>B11&gt;$AG11</formula>
    </cfRule>
  </conditionalFormatting>
  <conditionalFormatting sqref="T192:AX192">
    <cfRule type="expression" dxfId="5067" priority="63">
      <formula>T$9&gt;=20/24</formula>
    </cfRule>
    <cfRule type="expression" dxfId="5066" priority="64">
      <formula>AND(T$9&gt;=14/24,T$9&lt;20/24)</formula>
    </cfRule>
    <cfRule type="expression" dxfId="5065" priority="65">
      <formula>AND(T$9&gt;=8/24,T$9&lt;14/24)</formula>
    </cfRule>
    <cfRule type="expression" dxfId="5064" priority="66">
      <formula>T$9&lt;8/24</formula>
    </cfRule>
  </conditionalFormatting>
  <conditionalFormatting sqref="A11:A86 A88:A180">
    <cfRule type="expression" dxfId="5063" priority="62">
      <formula>$AH11=0</formula>
    </cfRule>
  </conditionalFormatting>
  <conditionalFormatting sqref="AA87:AF87">
    <cfRule type="expression" dxfId="5062" priority="58">
      <formula>AA$9&gt;=20/24</formula>
    </cfRule>
    <cfRule type="expression" dxfId="5061" priority="59">
      <formula>AND(AA$9&gt;=14/24,AA$9&lt;20/24)</formula>
    </cfRule>
    <cfRule type="expression" dxfId="5060" priority="60">
      <formula>AND(AA$9&gt;=8/24,AA$9&lt;14/24)</formula>
    </cfRule>
    <cfRule type="expression" dxfId="5059" priority="61">
      <formula>AA$9&lt;8/24</formula>
    </cfRule>
  </conditionalFormatting>
  <conditionalFormatting sqref="B87:K87">
    <cfRule type="expression" dxfId="5058" priority="54">
      <formula>B$9&gt;=20/24</formula>
    </cfRule>
    <cfRule type="expression" dxfId="5057" priority="55">
      <formula>AND(B$9&gt;=14/24,B$9&lt;20/24)</formula>
    </cfRule>
    <cfRule type="expression" dxfId="5056" priority="56">
      <formula>AND(B$9&gt;=8/24,B$9&lt;14/24)</formula>
    </cfRule>
    <cfRule type="expression" dxfId="5055" priority="57">
      <formula>B$9&lt;8/24</formula>
    </cfRule>
  </conditionalFormatting>
  <conditionalFormatting sqref="L87:Q87">
    <cfRule type="expression" dxfId="5054" priority="50">
      <formula>L$9&gt;=20/24</formula>
    </cfRule>
    <cfRule type="expression" dxfId="5053" priority="51">
      <formula>AND(L$9&gt;=14/24,L$9&lt;20/24)</formula>
    </cfRule>
    <cfRule type="expression" dxfId="5052" priority="52">
      <formula>AND(L$9&gt;=8/24,L$9&lt;14/24)</formula>
    </cfRule>
    <cfRule type="expression" dxfId="5051" priority="53">
      <formula>L$9&lt;8/24</formula>
    </cfRule>
  </conditionalFormatting>
  <conditionalFormatting sqref="R87:Z87">
    <cfRule type="expression" dxfId="5050" priority="46">
      <formula>R$9&gt;=20/24</formula>
    </cfRule>
    <cfRule type="expression" dxfId="5049" priority="47">
      <formula>AND(R$9&gt;=14/24,R$9&lt;20/24)</formula>
    </cfRule>
    <cfRule type="expression" dxfId="5048" priority="48">
      <formula>AND(R$9&gt;=8/24,R$9&lt;14/24)</formula>
    </cfRule>
    <cfRule type="expression" dxfId="5047" priority="49">
      <formula>R$9&lt;8/24</formula>
    </cfRule>
  </conditionalFormatting>
  <conditionalFormatting sqref="A87">
    <cfRule type="expression" dxfId="5046" priority="45">
      <formula>$AH87=0</formula>
    </cfRule>
  </conditionalFormatting>
  <conditionalFormatting sqref="B28:AF28">
    <cfRule type="expression" dxfId="5045" priority="41">
      <formula>B$9&gt;=20/24</formula>
    </cfRule>
    <cfRule type="expression" dxfId="5044" priority="42">
      <formula>AND(B$9&gt;=14/24,B$9&lt;20/24)</formula>
    </cfRule>
    <cfRule type="expression" dxfId="5043" priority="43">
      <formula>AND(B$9&gt;=8/24,B$9&lt;14/24)</formula>
    </cfRule>
    <cfRule type="expression" dxfId="5042" priority="44">
      <formula>B$9&lt;8/24</formula>
    </cfRule>
  </conditionalFormatting>
  <conditionalFormatting sqref="R28:AA28">
    <cfRule type="expression" dxfId="5041" priority="37">
      <formula>R$9&gt;=20/24</formula>
    </cfRule>
    <cfRule type="expression" dxfId="5040" priority="38">
      <formula>AND(R$9&gt;=14/24,R$9&lt;20/24)</formula>
    </cfRule>
    <cfRule type="expression" dxfId="5039" priority="39">
      <formula>AND(R$9&gt;=8/24,R$9&lt;14/24)</formula>
    </cfRule>
    <cfRule type="expression" dxfId="5038" priority="40">
      <formula>R$9&lt;8/24</formula>
    </cfRule>
  </conditionalFormatting>
  <conditionalFormatting sqref="AA21:AA27">
    <cfRule type="expression" dxfId="5037" priority="33">
      <formula>AA$9&gt;=20/24</formula>
    </cfRule>
    <cfRule type="expression" dxfId="5036" priority="34">
      <formula>AND(AA$9&gt;=14/24,AA$9&lt;20/24)</formula>
    </cfRule>
    <cfRule type="expression" dxfId="5035" priority="35">
      <formula>AND(AA$9&gt;=8/24,AA$9&lt;14/24)</formula>
    </cfRule>
    <cfRule type="expression" dxfId="5034" priority="36">
      <formula>AA$9&lt;8/24</formula>
    </cfRule>
  </conditionalFormatting>
  <conditionalFormatting sqref="AB21:AB27">
    <cfRule type="expression" dxfId="5033" priority="29">
      <formula>AB$9&gt;=20/24</formula>
    </cfRule>
    <cfRule type="expression" dxfId="5032" priority="30">
      <formula>AND(AB$9&gt;=14/24,AB$9&lt;20/24)</formula>
    </cfRule>
    <cfRule type="expression" dxfId="5031" priority="31">
      <formula>AND(AB$9&gt;=8/24,AB$9&lt;14/24)</formula>
    </cfRule>
    <cfRule type="expression" dxfId="5030" priority="32">
      <formula>AB$9&lt;8/24</formula>
    </cfRule>
  </conditionalFormatting>
  <conditionalFormatting sqref="AC21:AC27">
    <cfRule type="expression" dxfId="5029" priority="25">
      <formula>AC$9&gt;=20/24</formula>
    </cfRule>
    <cfRule type="expression" dxfId="5028" priority="26">
      <formula>AND(AC$9&gt;=14/24,AC$9&lt;20/24)</formula>
    </cfRule>
    <cfRule type="expression" dxfId="5027" priority="27">
      <formula>AND(AC$9&gt;=8/24,AC$9&lt;14/24)</formula>
    </cfRule>
    <cfRule type="expression" dxfId="5026" priority="28">
      <formula>AC$9&lt;8/24</formula>
    </cfRule>
  </conditionalFormatting>
  <conditionalFormatting sqref="AD21:AD27">
    <cfRule type="expression" dxfId="5025" priority="21">
      <formula>AD$9&gt;=20/24</formula>
    </cfRule>
    <cfRule type="expression" dxfId="5024" priority="22">
      <formula>AND(AD$9&gt;=14/24,AD$9&lt;20/24)</formula>
    </cfRule>
    <cfRule type="expression" dxfId="5023" priority="23">
      <formula>AND(AD$9&gt;=8/24,AD$9&lt;14/24)</formula>
    </cfRule>
    <cfRule type="expression" dxfId="5022" priority="24">
      <formula>AD$9&lt;8/24</formula>
    </cfRule>
  </conditionalFormatting>
  <conditionalFormatting sqref="AD51">
    <cfRule type="expression" dxfId="5021" priority="17">
      <formula>AD$9&gt;=20/24</formula>
    </cfRule>
    <cfRule type="expression" dxfId="5020" priority="18">
      <formula>AND(AD$9&gt;=14/24,AD$9&lt;20/24)</formula>
    </cfRule>
    <cfRule type="expression" dxfId="5019" priority="19">
      <formula>AND(AD$9&gt;=8/24,AD$9&lt;14/24)</formula>
    </cfRule>
    <cfRule type="expression" dxfId="5018" priority="20">
      <formula>AD$9&lt;8/24</formula>
    </cfRule>
  </conditionalFormatting>
  <conditionalFormatting sqref="AD52:AD58">
    <cfRule type="expression" dxfId="5017" priority="13">
      <formula>AD$9&gt;=20/24</formula>
    </cfRule>
    <cfRule type="expression" dxfId="5016" priority="14">
      <formula>AND(AD$9&gt;=14/24,AD$9&lt;20/24)</formula>
    </cfRule>
    <cfRule type="expression" dxfId="5015" priority="15">
      <formula>AND(AD$9&gt;=8/24,AD$9&lt;14/24)</formula>
    </cfRule>
    <cfRule type="expression" dxfId="5014" priority="16">
      <formula>AD$9&lt;8/24</formula>
    </cfRule>
  </conditionalFormatting>
  <conditionalFormatting sqref="AE21:AF27">
    <cfRule type="expression" dxfId="5013" priority="9">
      <formula>AE$9&gt;=20/24</formula>
    </cfRule>
    <cfRule type="expression" dxfId="5012" priority="10">
      <formula>AND(AE$9&gt;=14/24,AE$9&lt;20/24)</formula>
    </cfRule>
    <cfRule type="expression" dxfId="5011" priority="11">
      <formula>AND(AE$9&gt;=8/24,AE$9&lt;14/24)</formula>
    </cfRule>
    <cfRule type="expression" dxfId="5010" priority="12">
      <formula>AE$9&lt;8/24</formula>
    </cfRule>
  </conditionalFormatting>
  <conditionalFormatting sqref="AE51">
    <cfRule type="expression" dxfId="5009" priority="5">
      <formula>AE$9&gt;=20/24</formula>
    </cfRule>
    <cfRule type="expression" dxfId="5008" priority="6">
      <formula>AND(AE$9&gt;=14/24,AE$9&lt;20/24)</formula>
    </cfRule>
    <cfRule type="expression" dxfId="5007" priority="7">
      <formula>AND(AE$9&gt;=8/24,AE$9&lt;14/24)</formula>
    </cfRule>
    <cfRule type="expression" dxfId="5006" priority="8">
      <formula>AE$9&lt;8/24</formula>
    </cfRule>
  </conditionalFormatting>
  <conditionalFormatting sqref="AE52:AE58">
    <cfRule type="expression" dxfId="5005" priority="1">
      <formula>AE$9&gt;=20/24</formula>
    </cfRule>
    <cfRule type="expression" dxfId="5004" priority="2">
      <formula>AND(AE$9&gt;=14/24,AE$9&lt;20/24)</formula>
    </cfRule>
    <cfRule type="expression" dxfId="5003" priority="3">
      <formula>AND(AE$9&gt;=8/24,AE$9&lt;14/24)</formula>
    </cfRule>
    <cfRule type="expression" dxfId="5002" priority="4">
      <formula>AE$9&lt;8/24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D24" sqref="AD2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6</v>
      </c>
      <c r="D4" s="324">
        <f ca="1">IFERROR(DATE(2021,5,14)+C4,"")</f>
        <v>44336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264.10000000000002</v>
      </c>
      <c r="C5" s="32">
        <f t="shared" ref="C5:AF5" si="0">C59</f>
        <v>231.61</v>
      </c>
      <c r="D5" s="32">
        <f t="shared" si="0"/>
        <v>249</v>
      </c>
      <c r="E5" s="32">
        <f t="shared" si="0"/>
        <v>284.89999999999998</v>
      </c>
      <c r="F5" s="32">
        <f t="shared" si="0"/>
        <v>0</v>
      </c>
      <c r="G5" s="32">
        <f t="shared" si="0"/>
        <v>203</v>
      </c>
      <c r="H5" s="32">
        <f t="shared" si="0"/>
        <v>241</v>
      </c>
      <c r="I5" s="32">
        <f t="shared" si="0"/>
        <v>341.19</v>
      </c>
      <c r="J5" s="32">
        <f t="shared" si="0"/>
        <v>348</v>
      </c>
      <c r="K5" s="32">
        <f t="shared" si="0"/>
        <v>332.33000000000004</v>
      </c>
      <c r="L5" s="32">
        <f t="shared" si="0"/>
        <v>343</v>
      </c>
      <c r="M5" s="32">
        <f t="shared" si="0"/>
        <v>324.55</v>
      </c>
      <c r="N5" s="32">
        <f t="shared" si="0"/>
        <v>271.73</v>
      </c>
      <c r="O5" s="32">
        <f t="shared" si="0"/>
        <v>210</v>
      </c>
      <c r="P5" s="32">
        <f t="shared" si="0"/>
        <v>222.29999999999998</v>
      </c>
      <c r="Q5" s="32">
        <f t="shared" si="0"/>
        <v>212.36</v>
      </c>
      <c r="R5" s="32">
        <f t="shared" si="0"/>
        <v>253.7</v>
      </c>
      <c r="S5" s="32">
        <f t="shared" si="0"/>
        <v>238</v>
      </c>
      <c r="T5" s="32">
        <f t="shared" si="0"/>
        <v>209</v>
      </c>
      <c r="U5" s="32">
        <f t="shared" si="0"/>
        <v>205.95</v>
      </c>
      <c r="V5" s="32">
        <f t="shared" si="0"/>
        <v>206</v>
      </c>
      <c r="W5" s="32">
        <f t="shared" si="0"/>
        <v>216</v>
      </c>
      <c r="X5" s="32">
        <f t="shared" si="0"/>
        <v>232</v>
      </c>
      <c r="Y5" s="32">
        <f t="shared" si="0"/>
        <v>283</v>
      </c>
      <c r="Z5" s="32">
        <f t="shared" si="0"/>
        <v>350.5</v>
      </c>
      <c r="AA5" s="32">
        <f t="shared" si="0"/>
        <v>287.2</v>
      </c>
      <c r="AB5" s="32">
        <f t="shared" si="0"/>
        <v>240.6</v>
      </c>
      <c r="AC5" s="32">
        <f t="shared" si="0"/>
        <v>201</v>
      </c>
      <c r="AD5" s="32">
        <f t="shared" si="0"/>
        <v>109</v>
      </c>
      <c r="AE5" s="32">
        <f t="shared" si="0"/>
        <v>67.099999999999994</v>
      </c>
      <c r="AF5" s="32">
        <f t="shared" si="0"/>
        <v>50.3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7"/>
      <c r="E6" s="177"/>
      <c r="F6" s="177"/>
      <c r="G6" s="177"/>
      <c r="H6" s="177"/>
      <c r="I6" s="17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874MW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Load=157</v>
      </c>
      <c r="B7" s="36">
        <f t="shared" ref="B7:AF7" si="1">B65</f>
        <v>777.24</v>
      </c>
      <c r="C7" s="36">
        <f t="shared" si="1"/>
        <v>726.65</v>
      </c>
      <c r="D7" s="36">
        <f t="shared" si="1"/>
        <v>712.04</v>
      </c>
      <c r="E7" s="36">
        <f t="shared" si="1"/>
        <v>723.24</v>
      </c>
      <c r="F7" s="36">
        <f t="shared" si="1"/>
        <v>156.73999999999998</v>
      </c>
      <c r="G7" s="36">
        <f t="shared" si="1"/>
        <v>716.94</v>
      </c>
      <c r="H7" s="36">
        <f t="shared" si="1"/>
        <v>740.83999999999992</v>
      </c>
      <c r="I7" s="36">
        <f t="shared" si="1"/>
        <v>827.82999999999993</v>
      </c>
      <c r="J7" s="36">
        <f t="shared" si="1"/>
        <v>847.04</v>
      </c>
      <c r="K7" s="36">
        <f t="shared" si="1"/>
        <v>866.07</v>
      </c>
      <c r="L7" s="36">
        <f>L65</f>
        <v>866.84</v>
      </c>
      <c r="M7" s="36">
        <f t="shared" si="1"/>
        <v>874.49</v>
      </c>
      <c r="N7" s="36">
        <f t="shared" si="1"/>
        <v>801.56999999999994</v>
      </c>
      <c r="O7" s="36">
        <f t="shared" si="1"/>
        <v>788.74</v>
      </c>
      <c r="P7" s="36">
        <f t="shared" si="1"/>
        <v>783.33999999999992</v>
      </c>
      <c r="Q7" s="36">
        <f t="shared" si="1"/>
        <v>787.7</v>
      </c>
      <c r="R7" s="36">
        <f t="shared" si="1"/>
        <v>833.44</v>
      </c>
      <c r="S7" s="36">
        <f t="shared" si="1"/>
        <v>833.04</v>
      </c>
      <c r="T7" s="36">
        <f t="shared" si="1"/>
        <v>806.54</v>
      </c>
      <c r="U7" s="36">
        <f t="shared" si="1"/>
        <v>812.68999999999994</v>
      </c>
      <c r="V7" s="36">
        <f t="shared" si="1"/>
        <v>815.34</v>
      </c>
      <c r="W7" s="36">
        <f t="shared" si="1"/>
        <v>831.24</v>
      </c>
      <c r="X7" s="36">
        <f t="shared" si="1"/>
        <v>869.84</v>
      </c>
      <c r="Y7" s="36">
        <f t="shared" si="1"/>
        <v>927.13999999999987</v>
      </c>
      <c r="Z7" s="36">
        <f t="shared" si="1"/>
        <v>1040.9399999999998</v>
      </c>
      <c r="AA7" s="36">
        <f t="shared" si="1"/>
        <v>960.43999999999994</v>
      </c>
      <c r="AB7" s="36">
        <f t="shared" si="1"/>
        <v>912.54000000000008</v>
      </c>
      <c r="AC7" s="36">
        <f t="shared" si="1"/>
        <v>863.33999999999992</v>
      </c>
      <c r="AD7" s="36">
        <f t="shared" si="1"/>
        <v>763.24</v>
      </c>
      <c r="AE7" s="36">
        <f t="shared" si="1"/>
        <v>694.64</v>
      </c>
      <c r="AF7" s="36">
        <f t="shared" si="1"/>
        <v>684.54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26.2</v>
      </c>
      <c r="C11" s="48">
        <v>27.1</v>
      </c>
      <c r="D11" s="48">
        <v>28.1</v>
      </c>
      <c r="E11" s="48">
        <v>29.2</v>
      </c>
      <c r="F11" s="48"/>
      <c r="G11" s="48">
        <v>31.3</v>
      </c>
      <c r="H11" s="48">
        <v>31.7</v>
      </c>
      <c r="I11" s="48">
        <v>32.299999999999997</v>
      </c>
      <c r="J11" s="48">
        <v>31</v>
      </c>
      <c r="K11" s="48">
        <v>32.1</v>
      </c>
      <c r="L11" s="49">
        <v>32.200000000000003</v>
      </c>
      <c r="M11" s="49">
        <v>31.4</v>
      </c>
      <c r="N11" s="49">
        <v>32.200000000000003</v>
      </c>
      <c r="O11" s="49">
        <v>31.9</v>
      </c>
      <c r="P11" s="49">
        <v>32.700000000000003</v>
      </c>
      <c r="Q11" s="49">
        <v>32.299999999999997</v>
      </c>
      <c r="R11" s="50">
        <v>36.1</v>
      </c>
      <c r="S11" s="50">
        <v>32</v>
      </c>
      <c r="T11" s="50">
        <v>35</v>
      </c>
      <c r="U11" s="50">
        <v>33.799999999999997</v>
      </c>
      <c r="V11" s="50">
        <v>32.700000000000003</v>
      </c>
      <c r="W11" s="50">
        <v>32.700000000000003</v>
      </c>
      <c r="X11" s="50">
        <v>37.299999999999997</v>
      </c>
      <c r="Y11" s="50">
        <v>37.700000000000003</v>
      </c>
      <c r="Z11" s="50">
        <v>38.5</v>
      </c>
      <c r="AA11" s="48">
        <v>42.1</v>
      </c>
      <c r="AB11" s="48">
        <v>42.7</v>
      </c>
      <c r="AC11" s="48">
        <v>40.4</v>
      </c>
      <c r="AD11" s="48">
        <v>39</v>
      </c>
      <c r="AE11" s="48">
        <v>40.6</v>
      </c>
      <c r="AF11" s="48">
        <v>41.3</v>
      </c>
      <c r="AG11" s="51">
        <v>60</v>
      </c>
      <c r="AH11" s="52">
        <f>MAX(B11:AF11)</f>
        <v>42.7</v>
      </c>
      <c r="AI11" s="53">
        <f>MIN(B11:AF11)</f>
        <v>26.2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49.9</v>
      </c>
      <c r="C12" s="56">
        <v>49.8</v>
      </c>
      <c r="D12" s="56">
        <v>49.9</v>
      </c>
      <c r="E12" s="56">
        <v>50.5</v>
      </c>
      <c r="F12" s="56"/>
      <c r="G12" s="56">
        <v>49.1</v>
      </c>
      <c r="H12" s="56">
        <v>50.1</v>
      </c>
      <c r="I12" s="56">
        <v>50.1</v>
      </c>
      <c r="J12" s="56">
        <v>50</v>
      </c>
      <c r="K12" s="56">
        <v>50</v>
      </c>
      <c r="L12" s="49">
        <v>50.3</v>
      </c>
      <c r="M12" s="49">
        <v>46</v>
      </c>
      <c r="N12" s="49">
        <v>50.6</v>
      </c>
      <c r="O12" s="49">
        <v>50.6</v>
      </c>
      <c r="P12" s="49">
        <v>50.4</v>
      </c>
      <c r="Q12" s="49">
        <v>50.5</v>
      </c>
      <c r="R12" s="49">
        <v>50.5</v>
      </c>
      <c r="S12" s="49">
        <v>50.4</v>
      </c>
      <c r="T12" s="49">
        <v>50.5</v>
      </c>
      <c r="U12" s="49">
        <v>50.5</v>
      </c>
      <c r="V12" s="49">
        <v>50.3</v>
      </c>
      <c r="W12" s="49">
        <v>50.3</v>
      </c>
      <c r="X12" s="49">
        <v>50.6</v>
      </c>
      <c r="Y12" s="49">
        <v>50.9</v>
      </c>
      <c r="Z12" s="49">
        <v>50.6</v>
      </c>
      <c r="AA12" s="56">
        <v>50.9</v>
      </c>
      <c r="AB12" s="56">
        <v>50.6</v>
      </c>
      <c r="AC12" s="56">
        <v>50.5</v>
      </c>
      <c r="AD12" s="56">
        <v>50.5</v>
      </c>
      <c r="AE12" s="56">
        <v>50.3</v>
      </c>
      <c r="AF12" s="56">
        <v>50.5</v>
      </c>
      <c r="AG12" s="57">
        <v>50</v>
      </c>
      <c r="AH12" s="52">
        <f t="shared" ref="AH12:AH77" si="2">MAX(B12:AF12)</f>
        <v>50.9</v>
      </c>
      <c r="AI12" s="53">
        <f t="shared" ref="AI12:AI77" si="3">MIN(B12:AF12)</f>
        <v>46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26.2</v>
      </c>
      <c r="C13" s="56">
        <v>26.3</v>
      </c>
      <c r="D13" s="56">
        <v>25.9</v>
      </c>
      <c r="E13" s="56">
        <v>24.4</v>
      </c>
      <c r="F13" s="56"/>
      <c r="G13" s="56">
        <v>26.2</v>
      </c>
      <c r="H13" s="56">
        <v>27.4</v>
      </c>
      <c r="I13" s="56">
        <v>28.4</v>
      </c>
      <c r="J13" s="56">
        <v>28.4</v>
      </c>
      <c r="K13" s="56">
        <v>29.4</v>
      </c>
      <c r="L13" s="49">
        <v>30.3</v>
      </c>
      <c r="M13" s="49">
        <v>30.2</v>
      </c>
      <c r="N13" s="49">
        <v>29.4</v>
      </c>
      <c r="O13" s="49">
        <v>29.4</v>
      </c>
      <c r="P13" s="49">
        <v>30.6</v>
      </c>
      <c r="Q13" s="49">
        <v>30.1</v>
      </c>
      <c r="R13" s="49">
        <v>32.700000000000003</v>
      </c>
      <c r="S13" s="49">
        <v>33.299999999999997</v>
      </c>
      <c r="T13" s="49">
        <v>33.299999999999997</v>
      </c>
      <c r="U13" s="49">
        <v>32.5</v>
      </c>
      <c r="V13" s="49">
        <v>33.299999999999997</v>
      </c>
      <c r="W13" s="49">
        <v>33.299999999999997</v>
      </c>
      <c r="X13" s="49">
        <v>33.200000000000003</v>
      </c>
      <c r="Y13" s="49">
        <v>33.299999999999997</v>
      </c>
      <c r="Z13" s="49">
        <v>35.1</v>
      </c>
      <c r="AA13" s="56">
        <v>35.200000000000003</v>
      </c>
      <c r="AB13" s="56">
        <v>35.1</v>
      </c>
      <c r="AC13" s="56">
        <v>34.5</v>
      </c>
      <c r="AD13" s="56">
        <v>34.6</v>
      </c>
      <c r="AE13" s="56">
        <v>37</v>
      </c>
      <c r="AF13" s="56">
        <v>34.6</v>
      </c>
      <c r="AG13" s="59">
        <v>45</v>
      </c>
      <c r="AH13" s="52">
        <f t="shared" si="2"/>
        <v>37</v>
      </c>
      <c r="AI13" s="53">
        <f t="shared" si="3"/>
        <v>24.4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49">
        <v>16</v>
      </c>
      <c r="M14" s="49">
        <v>16</v>
      </c>
      <c r="N14" s="49">
        <v>16</v>
      </c>
      <c r="O14" s="49">
        <v>16</v>
      </c>
      <c r="P14" s="49">
        <v>16</v>
      </c>
      <c r="Q14" s="49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56">
        <v>16</v>
      </c>
      <c r="AB14" s="56">
        <v>16</v>
      </c>
      <c r="AC14" s="56">
        <v>16</v>
      </c>
      <c r="AD14" s="56">
        <v>16</v>
      </c>
      <c r="AE14" s="56">
        <v>16</v>
      </c>
      <c r="AF14" s="56">
        <v>16</v>
      </c>
      <c r="AG14" s="59">
        <v>25</v>
      </c>
      <c r="AH14" s="52">
        <f t="shared" si="2"/>
        <v>16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13.6</v>
      </c>
      <c r="C15" s="56">
        <v>13.5</v>
      </c>
      <c r="D15" s="56">
        <v>13.7</v>
      </c>
      <c r="E15" s="56">
        <v>13.7</v>
      </c>
      <c r="F15" s="56"/>
      <c r="G15" s="56">
        <v>13.5</v>
      </c>
      <c r="H15" s="56">
        <v>13.7</v>
      </c>
      <c r="I15" s="56">
        <v>13.6</v>
      </c>
      <c r="J15" s="56">
        <v>13.6</v>
      </c>
      <c r="K15" s="56">
        <v>13.6</v>
      </c>
      <c r="L15" s="49">
        <v>13.6</v>
      </c>
      <c r="M15" s="49">
        <v>13.6</v>
      </c>
      <c r="N15" s="49">
        <v>13.6</v>
      </c>
      <c r="O15" s="49">
        <v>13.6</v>
      </c>
      <c r="P15" s="49">
        <v>13.6</v>
      </c>
      <c r="Q15" s="49">
        <v>13.6</v>
      </c>
      <c r="R15" s="49">
        <v>13.1</v>
      </c>
      <c r="S15" s="49">
        <v>13.1</v>
      </c>
      <c r="T15" s="49">
        <v>13.1</v>
      </c>
      <c r="U15" s="49">
        <v>13.1</v>
      </c>
      <c r="V15" s="49">
        <v>13.1</v>
      </c>
      <c r="W15" s="49">
        <v>13.1</v>
      </c>
      <c r="X15" s="49">
        <v>13.1</v>
      </c>
      <c r="Y15" s="49">
        <v>13.1</v>
      </c>
      <c r="Z15" s="49">
        <v>25.2</v>
      </c>
      <c r="AA15" s="56">
        <v>25.2</v>
      </c>
      <c r="AB15" s="56">
        <v>25.3</v>
      </c>
      <c r="AC15" s="56">
        <v>25.2</v>
      </c>
      <c r="AD15" s="56">
        <v>25.2</v>
      </c>
      <c r="AE15" s="56">
        <v>25.1</v>
      </c>
      <c r="AF15" s="56">
        <v>25.1</v>
      </c>
      <c r="AG15" s="59">
        <v>25</v>
      </c>
      <c r="AH15" s="52">
        <f t="shared" si="2"/>
        <v>25.3</v>
      </c>
      <c r="AI15" s="53">
        <f t="shared" si="3"/>
        <v>13.1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20.9</v>
      </c>
      <c r="C17" s="56">
        <v>20.9</v>
      </c>
      <c r="D17" s="56">
        <v>20.399999999999999</v>
      </c>
      <c r="E17" s="56">
        <v>20.3</v>
      </c>
      <c r="F17" s="56"/>
      <c r="G17" s="56">
        <v>20.100000000000001</v>
      </c>
      <c r="H17" s="56">
        <v>20</v>
      </c>
      <c r="I17" s="56">
        <v>19.899999999999999</v>
      </c>
      <c r="J17" s="56">
        <v>20</v>
      </c>
      <c r="K17" s="56">
        <v>20.3</v>
      </c>
      <c r="L17" s="49">
        <v>20.399999999999999</v>
      </c>
      <c r="M17" s="49">
        <v>21.5</v>
      </c>
      <c r="N17" s="49">
        <v>22.1</v>
      </c>
      <c r="O17" s="49">
        <v>22.1</v>
      </c>
      <c r="P17" s="49">
        <v>21.7</v>
      </c>
      <c r="Q17" s="49">
        <v>21.7</v>
      </c>
      <c r="R17" s="49">
        <v>22</v>
      </c>
      <c r="S17" s="49">
        <v>22.8</v>
      </c>
      <c r="T17" s="49">
        <v>22.8</v>
      </c>
      <c r="U17" s="49">
        <v>23.6</v>
      </c>
      <c r="V17" s="49">
        <v>24</v>
      </c>
      <c r="W17" s="49">
        <v>24</v>
      </c>
      <c r="X17" s="49">
        <v>15.8</v>
      </c>
      <c r="Y17" s="49">
        <v>24.3</v>
      </c>
      <c r="Z17" s="49">
        <v>25</v>
      </c>
      <c r="AA17" s="49">
        <v>22</v>
      </c>
      <c r="AB17" s="49">
        <v>22</v>
      </c>
      <c r="AC17" s="49">
        <v>15.2</v>
      </c>
      <c r="AD17" s="49">
        <v>22</v>
      </c>
      <c r="AE17" s="49">
        <v>22</v>
      </c>
      <c r="AF17" s="49">
        <v>22</v>
      </c>
      <c r="AG17" s="59">
        <v>22.1</v>
      </c>
      <c r="AH17" s="52">
        <f t="shared" si="2"/>
        <v>25</v>
      </c>
      <c r="AI17" s="53">
        <f t="shared" si="3"/>
        <v>15.2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10.7</v>
      </c>
      <c r="C19" s="56">
        <v>11.5</v>
      </c>
      <c r="D19" s="56">
        <v>10.6</v>
      </c>
      <c r="E19" s="56">
        <v>10.199999999999999</v>
      </c>
      <c r="F19" s="56"/>
      <c r="G19" s="56">
        <v>12.2</v>
      </c>
      <c r="H19" s="56">
        <v>11.5</v>
      </c>
      <c r="I19" s="56">
        <v>10.7</v>
      </c>
      <c r="J19" s="56">
        <v>10.7</v>
      </c>
      <c r="K19" s="56">
        <v>11</v>
      </c>
      <c r="L19" s="49">
        <v>10.9</v>
      </c>
      <c r="M19" s="49">
        <v>10.4</v>
      </c>
      <c r="N19" s="49">
        <v>11.1</v>
      </c>
      <c r="O19" s="49">
        <v>12.1</v>
      </c>
      <c r="P19" s="49">
        <v>12.1</v>
      </c>
      <c r="Q19" s="49">
        <v>12.1</v>
      </c>
      <c r="R19" s="49">
        <v>12.1</v>
      </c>
      <c r="S19" s="49">
        <v>12.6</v>
      </c>
      <c r="T19" s="49">
        <v>12.6</v>
      </c>
      <c r="U19" s="49">
        <v>13.6</v>
      </c>
      <c r="V19" s="49">
        <v>16.100000000000001</v>
      </c>
      <c r="W19" s="49">
        <v>16.100000000000001</v>
      </c>
      <c r="X19" s="49">
        <v>16.5</v>
      </c>
      <c r="Y19" s="49">
        <v>17.600000000000001</v>
      </c>
      <c r="Z19" s="49">
        <v>17.5</v>
      </c>
      <c r="AA19" s="49">
        <v>17.3</v>
      </c>
      <c r="AB19" s="49">
        <v>17.3</v>
      </c>
      <c r="AC19" s="49">
        <v>15.1</v>
      </c>
      <c r="AD19" s="49">
        <v>15.2</v>
      </c>
      <c r="AE19" s="49">
        <v>15.7</v>
      </c>
      <c r="AF19" s="49">
        <v>15.7</v>
      </c>
      <c r="AG19" s="59">
        <v>22</v>
      </c>
      <c r="AH19" s="52">
        <f t="shared" si="2"/>
        <v>17.600000000000001</v>
      </c>
      <c r="AI19" s="53">
        <f t="shared" si="3"/>
        <v>10.199999999999999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56">
        <v>7</v>
      </c>
      <c r="M20" s="56">
        <v>7</v>
      </c>
      <c r="N20" s="56">
        <v>7</v>
      </c>
      <c r="O20" s="56">
        <v>7</v>
      </c>
      <c r="P20" s="56">
        <v>7</v>
      </c>
      <c r="Q20" s="56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7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56">
        <v>3.5</v>
      </c>
      <c r="M21" s="56">
        <v>3.5</v>
      </c>
      <c r="N21" s="56">
        <v>3.5</v>
      </c>
      <c r="O21" s="56">
        <v>3.5</v>
      </c>
      <c r="P21" s="56">
        <v>3.5</v>
      </c>
      <c r="Q21" s="56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3.5</v>
      </c>
      <c r="AA24" s="56">
        <v>3.5</v>
      </c>
      <c r="AB24" s="56">
        <v>3.5</v>
      </c>
      <c r="AC24" s="56">
        <v>3.5</v>
      </c>
      <c r="AD24" s="56">
        <v>3.5</v>
      </c>
      <c r="AE24" s="56">
        <v>3.5</v>
      </c>
      <c r="AF24" s="56">
        <v>3.5</v>
      </c>
      <c r="AG24" s="59">
        <v>12</v>
      </c>
      <c r="AH24" s="52">
        <f t="shared" si="2"/>
        <v>3.5</v>
      </c>
      <c r="AI24" s="53">
        <f t="shared" si="3"/>
        <v>3.5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105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105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42.2</v>
      </c>
      <c r="C29" s="56">
        <v>42</v>
      </c>
      <c r="D29" s="56">
        <v>43.3</v>
      </c>
      <c r="E29" s="56">
        <v>43.7</v>
      </c>
      <c r="F29" s="56"/>
      <c r="G29" s="56">
        <v>42.5</v>
      </c>
      <c r="H29" s="56">
        <v>38.1</v>
      </c>
      <c r="I29" s="56">
        <v>37.9</v>
      </c>
      <c r="J29" s="56">
        <v>37.5</v>
      </c>
      <c r="K29" s="56">
        <v>36.9</v>
      </c>
      <c r="L29" s="67">
        <v>41.5</v>
      </c>
      <c r="M29" s="67">
        <v>38.299999999999997</v>
      </c>
      <c r="N29" s="67">
        <v>40.799999999999997</v>
      </c>
      <c r="O29" s="67">
        <v>36.299999999999997</v>
      </c>
      <c r="P29" s="67">
        <v>37</v>
      </c>
      <c r="Q29" s="67">
        <v>40.4</v>
      </c>
      <c r="R29" s="67">
        <v>38.6</v>
      </c>
      <c r="S29" s="67">
        <v>39</v>
      </c>
      <c r="T29" s="67">
        <v>39.6</v>
      </c>
      <c r="U29" s="67">
        <v>41.8</v>
      </c>
      <c r="V29" s="67">
        <v>40.9</v>
      </c>
      <c r="W29" s="67">
        <v>41.6</v>
      </c>
      <c r="X29" s="67">
        <v>44.8</v>
      </c>
      <c r="Y29" s="67">
        <v>44</v>
      </c>
      <c r="Z29" s="67">
        <v>43.4</v>
      </c>
      <c r="AA29" s="67">
        <v>51.8</v>
      </c>
      <c r="AB29" s="67">
        <v>58</v>
      </c>
      <c r="AC29" s="67">
        <v>60.5</v>
      </c>
      <c r="AD29" s="67">
        <v>63.5</v>
      </c>
      <c r="AE29" s="56">
        <v>62.3</v>
      </c>
      <c r="AF29" s="56">
        <v>59.7</v>
      </c>
      <c r="AG29" s="59">
        <v>240</v>
      </c>
      <c r="AH29" s="52">
        <f t="shared" si="2"/>
        <v>63.5</v>
      </c>
      <c r="AI29" s="53">
        <f t="shared" si="3"/>
        <v>36.299999999999997</v>
      </c>
      <c r="AK29" s="54"/>
    </row>
    <row r="30" spans="1:88" ht="15.75" thickBot="1" x14ac:dyDescent="0.3">
      <c r="A30" s="68" t="s">
        <v>37</v>
      </c>
      <c r="B30" s="69">
        <f>SUM(B11:B28)</f>
        <v>300.7</v>
      </c>
      <c r="C30" s="69">
        <f t="shared" ref="C30:AF30" si="4">SUM(C11:C28)</f>
        <v>302.29999999999995</v>
      </c>
      <c r="D30" s="69">
        <f t="shared" si="4"/>
        <v>301.79999999999995</v>
      </c>
      <c r="E30" s="69">
        <f t="shared" si="4"/>
        <v>301.5</v>
      </c>
      <c r="F30" s="69">
        <f t="shared" si="4"/>
        <v>153.19999999999999</v>
      </c>
      <c r="G30" s="69">
        <f t="shared" si="4"/>
        <v>305.60000000000002</v>
      </c>
      <c r="H30" s="69">
        <f t="shared" si="4"/>
        <v>307.59999999999997</v>
      </c>
      <c r="I30" s="69">
        <f t="shared" si="4"/>
        <v>308.2</v>
      </c>
      <c r="J30" s="69">
        <f t="shared" si="4"/>
        <v>306.89999999999998</v>
      </c>
      <c r="K30" s="69">
        <f t="shared" si="4"/>
        <v>309.60000000000002</v>
      </c>
      <c r="L30" s="69">
        <f t="shared" si="4"/>
        <v>310.89999999999998</v>
      </c>
      <c r="M30" s="69">
        <f t="shared" si="4"/>
        <v>306.3</v>
      </c>
      <c r="N30" s="69">
        <f t="shared" si="4"/>
        <v>312.2</v>
      </c>
      <c r="O30" s="69">
        <f t="shared" si="4"/>
        <v>312.89999999999998</v>
      </c>
      <c r="P30" s="69">
        <f t="shared" si="4"/>
        <v>314.29999999999995</v>
      </c>
      <c r="Q30" s="69">
        <f t="shared" si="4"/>
        <v>313.5</v>
      </c>
      <c r="R30" s="69">
        <f t="shared" si="4"/>
        <v>319.7</v>
      </c>
      <c r="S30" s="69">
        <f t="shared" si="4"/>
        <v>317.39999999999998</v>
      </c>
      <c r="T30" s="69">
        <f t="shared" si="4"/>
        <v>320.5</v>
      </c>
      <c r="U30" s="69">
        <f t="shared" si="4"/>
        <v>320.29999999999995</v>
      </c>
      <c r="V30" s="69">
        <f>SUM(V11:V28)</f>
        <v>322.7</v>
      </c>
      <c r="W30" s="69">
        <f t="shared" si="4"/>
        <v>322.7</v>
      </c>
      <c r="X30" s="69">
        <f t="shared" si="4"/>
        <v>319.70000000000005</v>
      </c>
      <c r="Y30" s="69">
        <f t="shared" si="4"/>
        <v>330.09999999999997</v>
      </c>
      <c r="Z30" s="69">
        <f t="shared" si="4"/>
        <v>355.09999999999997</v>
      </c>
      <c r="AA30" s="69">
        <f t="shared" si="4"/>
        <v>345.9</v>
      </c>
      <c r="AB30" s="69">
        <f t="shared" si="4"/>
        <v>346.20000000000005</v>
      </c>
      <c r="AC30" s="69">
        <f t="shared" si="4"/>
        <v>334.09999999999997</v>
      </c>
      <c r="AD30" s="69">
        <f t="shared" si="4"/>
        <v>339.69999999999993</v>
      </c>
      <c r="AE30" s="69">
        <f t="shared" si="4"/>
        <v>343.9</v>
      </c>
      <c r="AF30" s="69">
        <f t="shared" si="4"/>
        <v>342.4</v>
      </c>
      <c r="AG30" s="59">
        <f>SUM(AG11:AG29)</f>
        <v>729.2</v>
      </c>
      <c r="AH30" s="52">
        <f t="shared" si="2"/>
        <v>355.09999999999997</v>
      </c>
      <c r="AI30" s="53">
        <f t="shared" si="3"/>
        <v>153.19999999999999</v>
      </c>
      <c r="AK30" s="54"/>
    </row>
    <row r="31" spans="1:88" x14ac:dyDescent="0.25">
      <c r="A31" s="55" t="s">
        <v>38</v>
      </c>
      <c r="B31" s="56">
        <v>61.4</v>
      </c>
      <c r="C31" s="56">
        <v>30.5</v>
      </c>
      <c r="D31" s="56">
        <v>3.9</v>
      </c>
      <c r="E31" s="56">
        <v>0</v>
      </c>
      <c r="F31" s="56"/>
      <c r="G31" s="56">
        <v>40.5</v>
      </c>
      <c r="H31" s="56">
        <v>30.5</v>
      </c>
      <c r="I31" s="56">
        <v>30.3</v>
      </c>
      <c r="J31" s="56">
        <v>30</v>
      </c>
      <c r="K31" s="56">
        <v>61.4</v>
      </c>
      <c r="L31" s="49">
        <v>60.3</v>
      </c>
      <c r="M31" s="49">
        <v>81.3</v>
      </c>
      <c r="N31" s="49">
        <v>81</v>
      </c>
      <c r="O31" s="49">
        <v>80.900000000000006</v>
      </c>
      <c r="P31" s="49">
        <v>80.900000000000006</v>
      </c>
      <c r="Q31" s="49">
        <v>97</v>
      </c>
      <c r="R31" s="49">
        <v>96.7</v>
      </c>
      <c r="S31" s="49">
        <v>97</v>
      </c>
      <c r="T31" s="49">
        <v>97</v>
      </c>
      <c r="U31" s="49">
        <v>97.1</v>
      </c>
      <c r="V31" s="49">
        <v>97</v>
      </c>
      <c r="W31" s="49">
        <v>97</v>
      </c>
      <c r="X31" s="49">
        <v>97</v>
      </c>
      <c r="Y31" s="49">
        <v>97</v>
      </c>
      <c r="Z31" s="49">
        <v>97</v>
      </c>
      <c r="AA31" s="48">
        <v>97.1</v>
      </c>
      <c r="AB31" s="48">
        <v>96.8</v>
      </c>
      <c r="AC31" s="48">
        <v>97.1</v>
      </c>
      <c r="AD31" s="48">
        <v>96.9</v>
      </c>
      <c r="AE31" s="48">
        <v>90</v>
      </c>
      <c r="AF31" s="48">
        <v>90</v>
      </c>
      <c r="AG31" s="57">
        <v>144</v>
      </c>
      <c r="AH31" s="52">
        <f t="shared" si="2"/>
        <v>97.1</v>
      </c>
      <c r="AI31" s="53">
        <f t="shared" si="3"/>
        <v>0</v>
      </c>
      <c r="AK31" s="54"/>
    </row>
    <row r="32" spans="1:88" x14ac:dyDescent="0.25">
      <c r="A32" s="58" t="s">
        <v>39</v>
      </c>
      <c r="B32" s="56">
        <v>24.8</v>
      </c>
      <c r="C32" s="56">
        <v>25.1</v>
      </c>
      <c r="D32" s="56">
        <v>19.7</v>
      </c>
      <c r="E32" s="56">
        <v>29.6</v>
      </c>
      <c r="F32" s="56"/>
      <c r="G32" s="56">
        <v>24.6</v>
      </c>
      <c r="H32" s="56">
        <v>24.7</v>
      </c>
      <c r="I32" s="56">
        <v>25.1</v>
      </c>
      <c r="J32" s="56">
        <v>24.7</v>
      </c>
      <c r="K32" s="56">
        <v>24.8</v>
      </c>
      <c r="L32" s="70">
        <v>35.5</v>
      </c>
      <c r="M32" s="70">
        <v>46</v>
      </c>
      <c r="N32" s="70">
        <v>48.8</v>
      </c>
      <c r="O32" s="70">
        <v>68.599999999999994</v>
      </c>
      <c r="P32" s="70">
        <v>49.5</v>
      </c>
      <c r="Q32" s="70">
        <v>48.3</v>
      </c>
      <c r="R32" s="70">
        <v>46.9</v>
      </c>
      <c r="S32" s="70">
        <v>47</v>
      </c>
      <c r="T32" s="70">
        <v>46.6</v>
      </c>
      <c r="U32" s="70">
        <v>46.7</v>
      </c>
      <c r="V32" s="70">
        <v>47.9</v>
      </c>
      <c r="W32" s="70">
        <v>50</v>
      </c>
      <c r="X32" s="70">
        <v>49.2</v>
      </c>
      <c r="Y32" s="70">
        <v>49.8</v>
      </c>
      <c r="Z32" s="70">
        <v>72</v>
      </c>
      <c r="AA32" s="56">
        <v>64.3</v>
      </c>
      <c r="AB32" s="56">
        <v>63.5</v>
      </c>
      <c r="AC32" s="56">
        <v>65.099999999999994</v>
      </c>
      <c r="AD32" s="56">
        <v>63.4</v>
      </c>
      <c r="AE32" s="56">
        <v>63.1</v>
      </c>
      <c r="AF32" s="56">
        <v>69.099999999999994</v>
      </c>
      <c r="AG32" s="59">
        <v>70</v>
      </c>
      <c r="AH32" s="52">
        <f t="shared" si="2"/>
        <v>72</v>
      </c>
      <c r="AI32" s="53">
        <f t="shared" si="3"/>
        <v>19.7</v>
      </c>
      <c r="AK32" s="54"/>
    </row>
    <row r="33" spans="1:41" x14ac:dyDescent="0.25">
      <c r="A33" s="58" t="s">
        <v>40</v>
      </c>
      <c r="B33" s="56">
        <v>53.8</v>
      </c>
      <c r="C33" s="56">
        <v>36.4</v>
      </c>
      <c r="D33" s="56">
        <v>36.9</v>
      </c>
      <c r="E33" s="56">
        <v>22.3</v>
      </c>
      <c r="F33" s="56"/>
      <c r="G33" s="56">
        <v>43.3</v>
      </c>
      <c r="H33" s="56">
        <v>37.1</v>
      </c>
      <c r="I33" s="56">
        <v>37.5</v>
      </c>
      <c r="J33" s="56">
        <v>37</v>
      </c>
      <c r="K33" s="56">
        <v>37.299999999999997</v>
      </c>
      <c r="L33" s="70">
        <v>16.600000000000001</v>
      </c>
      <c r="M33" s="70">
        <v>16.3</v>
      </c>
      <c r="N33" s="70">
        <v>16.2</v>
      </c>
      <c r="O33" s="70">
        <v>16.100000000000001</v>
      </c>
      <c r="P33" s="70">
        <v>16.100000000000001</v>
      </c>
      <c r="Q33" s="70">
        <v>16.100000000000001</v>
      </c>
      <c r="R33" s="70">
        <v>16.8</v>
      </c>
      <c r="S33" s="70">
        <v>34.4</v>
      </c>
      <c r="T33" s="70">
        <v>32.200000000000003</v>
      </c>
      <c r="U33" s="70">
        <v>41.6</v>
      </c>
      <c r="V33" s="70">
        <v>41.2</v>
      </c>
      <c r="W33" s="70">
        <v>45</v>
      </c>
      <c r="X33" s="70">
        <v>68.900000000000006</v>
      </c>
      <c r="Y33" s="70">
        <v>66.7</v>
      </c>
      <c r="Z33" s="70">
        <v>67</v>
      </c>
      <c r="AA33" s="56">
        <v>67</v>
      </c>
      <c r="AB33" s="56">
        <v>66.599999999999994</v>
      </c>
      <c r="AC33" s="56">
        <v>66.8</v>
      </c>
      <c r="AD33" s="56">
        <v>55</v>
      </c>
      <c r="AE33" s="56">
        <v>31.7</v>
      </c>
      <c r="AF33" s="56">
        <v>31.8</v>
      </c>
      <c r="AG33" s="59">
        <v>69</v>
      </c>
      <c r="AH33" s="52">
        <f t="shared" si="2"/>
        <v>68.900000000000006</v>
      </c>
      <c r="AI33" s="53">
        <f t="shared" si="3"/>
        <v>16.100000000000001</v>
      </c>
      <c r="AK33" s="54"/>
    </row>
    <row r="34" spans="1:41" x14ac:dyDescent="0.25">
      <c r="A34" s="58" t="s">
        <v>41</v>
      </c>
      <c r="B34" s="56">
        <v>0</v>
      </c>
      <c r="C34" s="56">
        <v>28.2</v>
      </c>
      <c r="D34" s="56">
        <v>28.2</v>
      </c>
      <c r="E34" s="56">
        <v>28.2</v>
      </c>
      <c r="F34" s="56"/>
      <c r="G34" s="56">
        <v>27.7</v>
      </c>
      <c r="H34" s="56">
        <v>28.2</v>
      </c>
      <c r="I34" s="56">
        <v>28.2</v>
      </c>
      <c r="J34" s="56">
        <v>28.2</v>
      </c>
      <c r="K34" s="56">
        <v>28.5</v>
      </c>
      <c r="L34" s="70">
        <v>28.5</v>
      </c>
      <c r="M34" s="70">
        <v>28.2</v>
      </c>
      <c r="N34" s="70">
        <v>0</v>
      </c>
      <c r="O34" s="70">
        <v>28.2</v>
      </c>
      <c r="P34" s="70">
        <v>28.2</v>
      </c>
      <c r="Q34" s="70">
        <v>28.5</v>
      </c>
      <c r="R34" s="70">
        <v>28.2</v>
      </c>
      <c r="S34" s="70">
        <v>28.7</v>
      </c>
      <c r="T34" s="70">
        <v>28.2</v>
      </c>
      <c r="U34" s="70">
        <v>28.5</v>
      </c>
      <c r="V34" s="70">
        <v>28.2</v>
      </c>
      <c r="W34" s="70">
        <v>28.2</v>
      </c>
      <c r="X34" s="70">
        <v>28.2</v>
      </c>
      <c r="Y34" s="70">
        <v>28.2</v>
      </c>
      <c r="Z34" s="70">
        <v>28.5</v>
      </c>
      <c r="AA34" s="56">
        <v>28.2</v>
      </c>
      <c r="AB34" s="56">
        <v>28.2</v>
      </c>
      <c r="AC34" s="56">
        <v>28.5</v>
      </c>
      <c r="AD34" s="56">
        <v>28.5</v>
      </c>
      <c r="AE34" s="56">
        <v>28.2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0</v>
      </c>
      <c r="AK34" s="54"/>
    </row>
    <row r="35" spans="1:41" x14ac:dyDescent="0.25">
      <c r="A35" s="58" t="s">
        <v>42</v>
      </c>
      <c r="B35" s="56">
        <v>30</v>
      </c>
      <c r="C35" s="56">
        <v>30</v>
      </c>
      <c r="D35" s="56">
        <v>30.1</v>
      </c>
      <c r="E35" s="56">
        <v>14.3</v>
      </c>
      <c r="F35" s="56"/>
      <c r="G35" s="56">
        <v>29.7</v>
      </c>
      <c r="H35" s="56">
        <v>29.7</v>
      </c>
      <c r="I35" s="56">
        <v>15</v>
      </c>
      <c r="J35" s="56">
        <v>30</v>
      </c>
      <c r="K35" s="56">
        <v>30</v>
      </c>
      <c r="L35" s="49">
        <v>30</v>
      </c>
      <c r="M35" s="49">
        <v>29.8</v>
      </c>
      <c r="N35" s="49">
        <v>29.7</v>
      </c>
      <c r="O35" s="49">
        <v>30</v>
      </c>
      <c r="P35" s="49">
        <v>30</v>
      </c>
      <c r="Q35" s="49">
        <v>29.9</v>
      </c>
      <c r="R35" s="49">
        <v>29</v>
      </c>
      <c r="S35" s="49">
        <v>30</v>
      </c>
      <c r="T35" s="49">
        <v>30</v>
      </c>
      <c r="U35" s="49">
        <v>30</v>
      </c>
      <c r="V35" s="49">
        <v>30</v>
      </c>
      <c r="W35" s="49">
        <v>30</v>
      </c>
      <c r="X35" s="49">
        <v>30</v>
      </c>
      <c r="Y35" s="49">
        <v>30</v>
      </c>
      <c r="Z35" s="49">
        <v>30</v>
      </c>
      <c r="AA35" s="56">
        <v>30</v>
      </c>
      <c r="AB35" s="56">
        <v>30</v>
      </c>
      <c r="AC35" s="56">
        <v>30</v>
      </c>
      <c r="AD35" s="56">
        <v>30</v>
      </c>
      <c r="AE35" s="56">
        <v>30</v>
      </c>
      <c r="AF35" s="56">
        <v>28</v>
      </c>
      <c r="AG35" s="59">
        <v>30</v>
      </c>
      <c r="AH35" s="52">
        <f t="shared" si="2"/>
        <v>30.1</v>
      </c>
      <c r="AI35" s="53">
        <f t="shared" si="3"/>
        <v>14.3</v>
      </c>
      <c r="AK35" s="54"/>
    </row>
    <row r="36" spans="1:41" x14ac:dyDescent="0.25">
      <c r="A36" s="58" t="s">
        <v>43</v>
      </c>
      <c r="B36" s="71">
        <v>16.5</v>
      </c>
      <c r="C36" s="71">
        <v>16.600000000000001</v>
      </c>
      <c r="D36" s="71">
        <v>16.600000000000001</v>
      </c>
      <c r="E36" s="71">
        <v>16.600000000000001</v>
      </c>
      <c r="F36" s="71"/>
      <c r="G36" s="71">
        <v>16.7</v>
      </c>
      <c r="H36" s="71">
        <v>16.2</v>
      </c>
      <c r="I36" s="71">
        <v>16.5</v>
      </c>
      <c r="J36" s="71">
        <v>16.399999999999999</v>
      </c>
      <c r="K36" s="71">
        <v>16.399999999999999</v>
      </c>
      <c r="L36" s="49">
        <v>16.3</v>
      </c>
      <c r="M36" s="49">
        <v>16.3</v>
      </c>
      <c r="N36" s="49">
        <v>16.2</v>
      </c>
      <c r="O36" s="49">
        <v>16.3</v>
      </c>
      <c r="P36" s="49">
        <v>16.3</v>
      </c>
      <c r="Q36" s="49">
        <v>16.3</v>
      </c>
      <c r="R36" s="49">
        <v>16.7</v>
      </c>
      <c r="S36" s="49">
        <v>14.8</v>
      </c>
      <c r="T36" s="49">
        <v>17.3</v>
      </c>
      <c r="U36" s="49">
        <v>16.8</v>
      </c>
      <c r="V36" s="49">
        <v>16.600000000000001</v>
      </c>
      <c r="W36" s="49">
        <v>16.600000000000001</v>
      </c>
      <c r="X36" s="49">
        <v>16.600000000000001</v>
      </c>
      <c r="Y36" s="49">
        <v>16.600000000000001</v>
      </c>
      <c r="Z36" s="49">
        <v>17.399999999999999</v>
      </c>
      <c r="AA36" s="56">
        <v>17.3</v>
      </c>
      <c r="AB36" s="56">
        <v>17.2</v>
      </c>
      <c r="AC36" s="56">
        <v>17.3</v>
      </c>
      <c r="AD36" s="56">
        <v>17.3</v>
      </c>
      <c r="AE36" s="56">
        <v>17.2</v>
      </c>
      <c r="AF36" s="56">
        <v>17.3</v>
      </c>
      <c r="AG36" s="59">
        <v>24</v>
      </c>
      <c r="AH36" s="52">
        <f t="shared" si="2"/>
        <v>17.399999999999999</v>
      </c>
      <c r="AI36" s="53">
        <f t="shared" si="3"/>
        <v>14.8</v>
      </c>
      <c r="AK36" s="54"/>
      <c r="AL36">
        <f>97*24</f>
        <v>2328</v>
      </c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/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  <c r="AL37">
        <v>2059.4</v>
      </c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/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>
        <f>AL36-AL37</f>
        <v>268.59999999999991</v>
      </c>
      <c r="AO38" s="64"/>
    </row>
    <row r="39" spans="1:41" s="64" customFormat="1" x14ac:dyDescent="0.25">
      <c r="A39" s="72" t="s">
        <v>46</v>
      </c>
      <c r="B39" s="71">
        <v>3.9</v>
      </c>
      <c r="C39" s="71">
        <v>3.9</v>
      </c>
      <c r="D39" s="71">
        <v>3.9</v>
      </c>
      <c r="E39" s="71">
        <v>3.9</v>
      </c>
      <c r="F39" s="71"/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49">
        <v>3.9</v>
      </c>
      <c r="M39" s="49">
        <v>3.9</v>
      </c>
      <c r="N39" s="49">
        <v>3.9</v>
      </c>
      <c r="O39" s="49">
        <v>3.9</v>
      </c>
      <c r="P39" s="49">
        <v>3.9</v>
      </c>
      <c r="Q39" s="49">
        <v>3.9</v>
      </c>
      <c r="R39" s="49">
        <v>3.9</v>
      </c>
      <c r="S39" s="49">
        <v>3.9</v>
      </c>
      <c r="T39" s="49">
        <v>3.9</v>
      </c>
      <c r="U39" s="49">
        <v>3.9</v>
      </c>
      <c r="V39" s="49">
        <v>3.9</v>
      </c>
      <c r="W39" s="49">
        <v>3.9</v>
      </c>
      <c r="X39" s="49">
        <v>3.9</v>
      </c>
      <c r="Y39" s="49">
        <v>3.9</v>
      </c>
      <c r="Z39" s="49">
        <v>3.9</v>
      </c>
      <c r="AA39" s="56">
        <v>3.9</v>
      </c>
      <c r="AB39" s="56">
        <v>3.9</v>
      </c>
      <c r="AC39" s="56">
        <v>3.9</v>
      </c>
      <c r="AD39" s="56">
        <v>3.9</v>
      </c>
      <c r="AE39" s="56">
        <v>3.9</v>
      </c>
      <c r="AF39" s="56">
        <v>3.9</v>
      </c>
      <c r="AG39" s="59">
        <v>14</v>
      </c>
      <c r="AH39" s="52">
        <f t="shared" si="2"/>
        <v>3.9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6</v>
      </c>
      <c r="C40" s="56">
        <v>6</v>
      </c>
      <c r="D40" s="56">
        <v>5.9</v>
      </c>
      <c r="E40" s="56">
        <v>5.9</v>
      </c>
      <c r="F40" s="56"/>
      <c r="G40" s="56">
        <v>5.9</v>
      </c>
      <c r="H40" s="56">
        <v>5.9</v>
      </c>
      <c r="I40" s="56">
        <v>5.9</v>
      </c>
      <c r="J40" s="56">
        <v>5.9</v>
      </c>
      <c r="K40" s="56">
        <v>5.8</v>
      </c>
      <c r="L40" s="49">
        <v>5.8</v>
      </c>
      <c r="M40" s="49">
        <v>5.8</v>
      </c>
      <c r="N40" s="49">
        <v>5.8</v>
      </c>
      <c r="O40" s="49">
        <v>5.8</v>
      </c>
      <c r="P40" s="49">
        <v>5.8</v>
      </c>
      <c r="Q40" s="49">
        <v>5.8</v>
      </c>
      <c r="R40" s="49">
        <v>5.8</v>
      </c>
      <c r="S40" s="49">
        <v>5.8</v>
      </c>
      <c r="T40" s="49">
        <v>5.8</v>
      </c>
      <c r="U40" s="49">
        <v>5.8</v>
      </c>
      <c r="V40" s="49">
        <v>5.8</v>
      </c>
      <c r="W40" s="49">
        <v>5.8</v>
      </c>
      <c r="X40" s="49">
        <v>5.8</v>
      </c>
      <c r="Y40" s="49">
        <v>5.8</v>
      </c>
      <c r="Z40" s="49">
        <v>3.5</v>
      </c>
      <c r="AA40" s="56">
        <v>3.5</v>
      </c>
      <c r="AB40" s="56">
        <v>3.5</v>
      </c>
      <c r="AC40" s="56">
        <v>3.5</v>
      </c>
      <c r="AD40" s="56">
        <v>3.5</v>
      </c>
      <c r="AE40" s="56">
        <v>3.5</v>
      </c>
      <c r="AF40" s="56">
        <v>7.2</v>
      </c>
      <c r="AG40" s="59">
        <v>10.050000000000001</v>
      </c>
      <c r="AH40" s="52">
        <f t="shared" si="2"/>
        <v>7.2</v>
      </c>
      <c r="AI40" s="53">
        <f t="shared" si="3"/>
        <v>3.5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/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2.5</v>
      </c>
      <c r="S41" s="49">
        <v>2.5</v>
      </c>
      <c r="T41" s="49">
        <v>2.5</v>
      </c>
      <c r="U41" s="49">
        <v>2.5</v>
      </c>
      <c r="V41" s="49">
        <v>2.5</v>
      </c>
      <c r="W41" s="49">
        <v>2.5</v>
      </c>
      <c r="X41" s="49">
        <v>2.5</v>
      </c>
      <c r="Y41" s="49">
        <v>2.5</v>
      </c>
      <c r="Z41" s="49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212.44</v>
      </c>
      <c r="C43" s="69">
        <f t="shared" si="6"/>
        <v>192.73999999999998</v>
      </c>
      <c r="D43" s="69">
        <f t="shared" si="6"/>
        <v>161.24</v>
      </c>
      <c r="E43" s="69">
        <f t="shared" si="6"/>
        <v>136.84</v>
      </c>
      <c r="F43" s="69">
        <f t="shared" si="6"/>
        <v>3.54</v>
      </c>
      <c r="G43" s="69">
        <f t="shared" si="6"/>
        <v>208.33999999999997</v>
      </c>
      <c r="H43" s="69">
        <f t="shared" si="6"/>
        <v>192.24</v>
      </c>
      <c r="I43" s="69">
        <f t="shared" si="6"/>
        <v>178.44000000000003</v>
      </c>
      <c r="J43" s="69">
        <f t="shared" si="6"/>
        <v>192.14000000000001</v>
      </c>
      <c r="K43" s="69">
        <f t="shared" si="6"/>
        <v>224.14000000000001</v>
      </c>
      <c r="L43" s="69">
        <f t="shared" si="6"/>
        <v>212.94000000000003</v>
      </c>
      <c r="M43" s="69">
        <f t="shared" si="6"/>
        <v>243.64000000000001</v>
      </c>
      <c r="N43" s="69">
        <f t="shared" si="6"/>
        <v>217.64</v>
      </c>
      <c r="O43" s="69">
        <f t="shared" si="6"/>
        <v>265.84000000000003</v>
      </c>
      <c r="P43" s="69">
        <f t="shared" si="6"/>
        <v>246.74</v>
      </c>
      <c r="Q43" s="69">
        <f t="shared" si="6"/>
        <v>261.84000000000009</v>
      </c>
      <c r="R43" s="69">
        <f t="shared" si="6"/>
        <v>260.04000000000002</v>
      </c>
      <c r="S43" s="69">
        <f t="shared" si="6"/>
        <v>277.64</v>
      </c>
      <c r="T43" s="69">
        <f t="shared" si="6"/>
        <v>277.04000000000002</v>
      </c>
      <c r="U43" s="69">
        <f t="shared" si="6"/>
        <v>286.44</v>
      </c>
      <c r="V43" s="69">
        <f t="shared" si="6"/>
        <v>286.64000000000004</v>
      </c>
      <c r="W43" s="69">
        <f t="shared" si="6"/>
        <v>292.54000000000002</v>
      </c>
      <c r="X43" s="69">
        <f t="shared" si="6"/>
        <v>315.64</v>
      </c>
      <c r="Y43" s="69">
        <f t="shared" si="6"/>
        <v>314.04000000000002</v>
      </c>
      <c r="Z43" s="69">
        <f t="shared" si="6"/>
        <v>335.34</v>
      </c>
      <c r="AA43" s="69">
        <f t="shared" si="6"/>
        <v>327.33999999999997</v>
      </c>
      <c r="AB43" s="69">
        <f t="shared" si="6"/>
        <v>325.74</v>
      </c>
      <c r="AC43" s="69">
        <f t="shared" si="6"/>
        <v>328.24</v>
      </c>
      <c r="AD43" s="69">
        <f t="shared" si="6"/>
        <v>314.54000000000002</v>
      </c>
      <c r="AE43" s="69">
        <f t="shared" si="6"/>
        <v>283.64</v>
      </c>
      <c r="AF43" s="69">
        <f t="shared" si="6"/>
        <v>291.83999999999997</v>
      </c>
      <c r="AG43" s="74">
        <f>SUM(AG31:AG42)</f>
        <v>464.91</v>
      </c>
      <c r="AH43" s="52">
        <f t="shared" si="2"/>
        <v>335.34</v>
      </c>
      <c r="AI43" s="53">
        <f t="shared" si="3"/>
        <v>3.54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/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0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/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0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/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2.5</v>
      </c>
      <c r="Y46" s="76">
        <v>0</v>
      </c>
      <c r="Z46" s="76">
        <v>0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2.5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2.5</v>
      </c>
      <c r="Y47" s="69">
        <f t="shared" si="7"/>
        <v>0</v>
      </c>
      <c r="Z47" s="69">
        <f t="shared" si="7"/>
        <v>0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2.5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29.1</v>
      </c>
      <c r="C48" s="49">
        <v>19.61</v>
      </c>
      <c r="D48" s="49">
        <v>21</v>
      </c>
      <c r="E48" s="49">
        <v>54.9</v>
      </c>
      <c r="F48" s="49"/>
      <c r="G48" s="49">
        <v>48</v>
      </c>
      <c r="H48" s="49">
        <v>16</v>
      </c>
      <c r="I48" s="49">
        <v>57.19</v>
      </c>
      <c r="J48" s="49">
        <v>38</v>
      </c>
      <c r="K48" s="49">
        <v>43.53</v>
      </c>
      <c r="L48" s="49">
        <v>43.8</v>
      </c>
      <c r="M48" s="49">
        <v>57.65</v>
      </c>
      <c r="N48" s="49">
        <v>23.93</v>
      </c>
      <c r="O48" s="49"/>
      <c r="P48" s="49">
        <v>49.6</v>
      </c>
      <c r="Q48" s="49">
        <v>52.36</v>
      </c>
      <c r="R48" s="49">
        <v>56.7</v>
      </c>
      <c r="S48" s="49">
        <v>54</v>
      </c>
      <c r="T48" s="49">
        <v>23</v>
      </c>
      <c r="U48" s="49">
        <v>25.95</v>
      </c>
      <c r="V48" s="49">
        <v>26</v>
      </c>
      <c r="W48" s="49">
        <v>26</v>
      </c>
      <c r="X48" s="49">
        <v>27</v>
      </c>
      <c r="Y48" s="49">
        <v>18</v>
      </c>
      <c r="Z48" s="49">
        <v>25.5</v>
      </c>
      <c r="AA48" s="49">
        <v>25.2</v>
      </c>
      <c r="AB48" s="49">
        <v>19.600000000000001</v>
      </c>
      <c r="AC48" s="49">
        <v>15</v>
      </c>
      <c r="AD48" s="49">
        <v>8</v>
      </c>
      <c r="AE48" s="49">
        <v>2.1</v>
      </c>
      <c r="AF48" s="49">
        <v>0.3</v>
      </c>
      <c r="AG48" s="57"/>
      <c r="AH48" s="52">
        <f t="shared" si="2"/>
        <v>57.65</v>
      </c>
      <c r="AI48" s="53">
        <f t="shared" si="3"/>
        <v>0.3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/>
      <c r="G49" s="70">
        <v>0</v>
      </c>
      <c r="H49" s="70">
        <v>0</v>
      </c>
      <c r="I49" s="70">
        <v>0</v>
      </c>
      <c r="J49" s="70">
        <v>0</v>
      </c>
      <c r="K49" s="70">
        <v>34.5</v>
      </c>
      <c r="L49" s="49">
        <v>35.200000000000003</v>
      </c>
      <c r="M49" s="49">
        <v>34.9</v>
      </c>
      <c r="N49" s="49">
        <v>33.799999999999997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35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0</v>
      </c>
      <c r="AG49" s="59"/>
      <c r="AH49" s="52">
        <f t="shared" si="2"/>
        <v>35.200000000000003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235</v>
      </c>
      <c r="C50" s="70">
        <v>212</v>
      </c>
      <c r="D50" s="70">
        <v>228</v>
      </c>
      <c r="E50" s="70">
        <v>230</v>
      </c>
      <c r="F50" s="70"/>
      <c r="G50" s="49">
        <v>155</v>
      </c>
      <c r="H50" s="49">
        <v>225</v>
      </c>
      <c r="I50" s="49">
        <v>284</v>
      </c>
      <c r="J50" s="49">
        <v>310</v>
      </c>
      <c r="K50" s="49">
        <v>254.3</v>
      </c>
      <c r="L50" s="70">
        <v>264</v>
      </c>
      <c r="M50" s="70">
        <v>232</v>
      </c>
      <c r="N50" s="70">
        <v>214</v>
      </c>
      <c r="O50" s="70">
        <v>210</v>
      </c>
      <c r="P50" s="70">
        <v>172.7</v>
      </c>
      <c r="Q50" s="70">
        <v>160</v>
      </c>
      <c r="R50" s="70">
        <v>197</v>
      </c>
      <c r="S50" s="70">
        <v>184</v>
      </c>
      <c r="T50" s="70">
        <v>186</v>
      </c>
      <c r="U50" s="80">
        <v>180</v>
      </c>
      <c r="V50" s="80">
        <v>180</v>
      </c>
      <c r="W50" s="80">
        <v>190</v>
      </c>
      <c r="X50" s="80">
        <v>205</v>
      </c>
      <c r="Y50" s="80">
        <v>265</v>
      </c>
      <c r="Z50" s="80">
        <v>290</v>
      </c>
      <c r="AA50" s="70">
        <v>262</v>
      </c>
      <c r="AB50" s="70">
        <v>221</v>
      </c>
      <c r="AC50" s="70">
        <v>186</v>
      </c>
      <c r="AD50" s="70">
        <v>101</v>
      </c>
      <c r="AE50" s="70">
        <v>65</v>
      </c>
      <c r="AF50" s="70">
        <v>50</v>
      </c>
      <c r="AG50" s="81"/>
      <c r="AH50" s="52">
        <f t="shared" si="2"/>
        <v>310</v>
      </c>
      <c r="AI50" s="53">
        <f t="shared" si="3"/>
        <v>50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/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/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0</v>
      </c>
      <c r="Y52" s="82">
        <v>0</v>
      </c>
      <c r="Z52" s="82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70"/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70"/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/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/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70"/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70">
        <v>0</v>
      </c>
      <c r="D58" s="82">
        <v>0</v>
      </c>
      <c r="E58" s="82">
        <v>0</v>
      </c>
      <c r="F58" s="70"/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264.10000000000002</v>
      </c>
      <c r="C59" s="69">
        <f t="shared" ref="C59:AF59" si="8">SUM(C48:C58)</f>
        <v>231.61</v>
      </c>
      <c r="D59" s="69">
        <f t="shared" si="8"/>
        <v>249</v>
      </c>
      <c r="E59" s="69">
        <f t="shared" si="8"/>
        <v>284.89999999999998</v>
      </c>
      <c r="F59" s="69">
        <f t="shared" si="8"/>
        <v>0</v>
      </c>
      <c r="G59" s="69">
        <f t="shared" si="8"/>
        <v>203</v>
      </c>
      <c r="H59" s="69">
        <f t="shared" si="8"/>
        <v>241</v>
      </c>
      <c r="I59" s="69">
        <f t="shared" si="8"/>
        <v>341.19</v>
      </c>
      <c r="J59" s="69">
        <f t="shared" si="8"/>
        <v>348</v>
      </c>
      <c r="K59" s="69">
        <f t="shared" si="8"/>
        <v>332.33000000000004</v>
      </c>
      <c r="L59" s="69">
        <f t="shared" si="8"/>
        <v>343</v>
      </c>
      <c r="M59" s="69">
        <f t="shared" si="8"/>
        <v>324.55</v>
      </c>
      <c r="N59" s="69">
        <f t="shared" si="8"/>
        <v>271.73</v>
      </c>
      <c r="O59" s="69">
        <f t="shared" si="8"/>
        <v>210</v>
      </c>
      <c r="P59" s="69">
        <f t="shared" si="8"/>
        <v>222.29999999999998</v>
      </c>
      <c r="Q59" s="69">
        <f t="shared" si="8"/>
        <v>212.36</v>
      </c>
      <c r="R59" s="69">
        <f t="shared" si="8"/>
        <v>253.7</v>
      </c>
      <c r="S59" s="69">
        <f t="shared" si="8"/>
        <v>238</v>
      </c>
      <c r="T59" s="69">
        <f t="shared" si="8"/>
        <v>209</v>
      </c>
      <c r="U59" s="69">
        <f t="shared" si="8"/>
        <v>205.95</v>
      </c>
      <c r="V59" s="69">
        <f t="shared" si="8"/>
        <v>206</v>
      </c>
      <c r="W59" s="69">
        <f t="shared" si="8"/>
        <v>216</v>
      </c>
      <c r="X59" s="69">
        <f t="shared" si="8"/>
        <v>232</v>
      </c>
      <c r="Y59" s="69">
        <f t="shared" si="8"/>
        <v>283</v>
      </c>
      <c r="Z59" s="69">
        <f t="shared" si="8"/>
        <v>350.5</v>
      </c>
      <c r="AA59" s="69">
        <f t="shared" si="8"/>
        <v>287.2</v>
      </c>
      <c r="AB59" s="69">
        <f t="shared" si="8"/>
        <v>240.6</v>
      </c>
      <c r="AC59" s="69">
        <f t="shared" si="8"/>
        <v>201</v>
      </c>
      <c r="AD59" s="69">
        <f t="shared" si="8"/>
        <v>109</v>
      </c>
      <c r="AE59" s="69">
        <f t="shared" si="8"/>
        <v>67.099999999999994</v>
      </c>
      <c r="AF59" s="69">
        <f t="shared" si="8"/>
        <v>50.3</v>
      </c>
      <c r="AG59" s="74">
        <f>SUM(AG48:AG58)</f>
        <v>0</v>
      </c>
      <c r="AH59" s="52">
        <f t="shared" si="2"/>
        <v>350.5</v>
      </c>
      <c r="AI59" s="53">
        <f t="shared" si="3"/>
        <v>0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777.24</v>
      </c>
      <c r="C65" s="91">
        <f t="shared" ref="C65:AF65" si="10">C63+C59+C47+C43+C30+C64</f>
        <v>726.65</v>
      </c>
      <c r="D65" s="91">
        <f t="shared" si="10"/>
        <v>712.04</v>
      </c>
      <c r="E65" s="91">
        <f t="shared" si="10"/>
        <v>723.24</v>
      </c>
      <c r="F65" s="91">
        <f t="shared" si="10"/>
        <v>156.73999999999998</v>
      </c>
      <c r="G65" s="91">
        <f t="shared" si="10"/>
        <v>716.94</v>
      </c>
      <c r="H65" s="91">
        <f t="shared" si="10"/>
        <v>740.83999999999992</v>
      </c>
      <c r="I65" s="91">
        <f t="shared" si="10"/>
        <v>827.82999999999993</v>
      </c>
      <c r="J65" s="91">
        <f t="shared" si="10"/>
        <v>847.04</v>
      </c>
      <c r="K65" s="91">
        <f t="shared" si="10"/>
        <v>866.07</v>
      </c>
      <c r="L65" s="91">
        <f t="shared" si="10"/>
        <v>866.84</v>
      </c>
      <c r="M65" s="91">
        <f t="shared" si="10"/>
        <v>874.49</v>
      </c>
      <c r="N65" s="91">
        <f t="shared" si="10"/>
        <v>801.56999999999994</v>
      </c>
      <c r="O65" s="91">
        <f t="shared" si="10"/>
        <v>788.74</v>
      </c>
      <c r="P65" s="91">
        <f t="shared" si="10"/>
        <v>783.33999999999992</v>
      </c>
      <c r="Q65" s="91">
        <f t="shared" si="10"/>
        <v>787.7</v>
      </c>
      <c r="R65" s="91">
        <f t="shared" si="10"/>
        <v>833.44</v>
      </c>
      <c r="S65" s="91">
        <f t="shared" si="10"/>
        <v>833.04</v>
      </c>
      <c r="T65" s="91">
        <f t="shared" si="10"/>
        <v>806.54</v>
      </c>
      <c r="U65" s="91">
        <f t="shared" si="10"/>
        <v>812.68999999999994</v>
      </c>
      <c r="V65" s="91">
        <f t="shared" si="10"/>
        <v>815.34</v>
      </c>
      <c r="W65" s="91">
        <f t="shared" si="10"/>
        <v>831.24</v>
      </c>
      <c r="X65" s="91">
        <f t="shared" si="10"/>
        <v>869.84</v>
      </c>
      <c r="Y65" s="91">
        <f t="shared" si="10"/>
        <v>927.13999999999987</v>
      </c>
      <c r="Z65" s="91">
        <f t="shared" si="10"/>
        <v>1040.9399999999998</v>
      </c>
      <c r="AA65" s="91">
        <f t="shared" si="10"/>
        <v>960.43999999999994</v>
      </c>
      <c r="AB65" s="91">
        <f t="shared" si="10"/>
        <v>912.54000000000008</v>
      </c>
      <c r="AC65" s="91">
        <f t="shared" si="10"/>
        <v>863.33999999999992</v>
      </c>
      <c r="AD65" s="91">
        <f t="shared" si="10"/>
        <v>763.24</v>
      </c>
      <c r="AE65" s="91">
        <f t="shared" si="10"/>
        <v>694.64</v>
      </c>
      <c r="AF65" s="91">
        <f t="shared" si="10"/>
        <v>684.54</v>
      </c>
      <c r="AG65" s="74">
        <f>AG63+AG59+AG47+AG43+AG30+AG64</f>
        <v>1355.5100000000002</v>
      </c>
      <c r="AH65" s="52">
        <f t="shared" si="2"/>
        <v>1040.9399999999998</v>
      </c>
      <c r="AI65" s="53">
        <f t="shared" si="3"/>
        <v>156.73999999999998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50.015000000000001</v>
      </c>
      <c r="C72" s="94">
        <v>49.994</v>
      </c>
      <c r="D72" s="94">
        <v>50.026000000000003</v>
      </c>
      <c r="E72" s="94">
        <v>50.015000000000001</v>
      </c>
      <c r="F72" s="94"/>
      <c r="G72" s="94">
        <v>49.927999999999997</v>
      </c>
      <c r="H72" s="94">
        <v>49.948</v>
      </c>
      <c r="I72" s="94">
        <v>50.061999999999998</v>
      </c>
      <c r="J72" s="94">
        <v>50.055999999999997</v>
      </c>
      <c r="K72" s="94">
        <v>50.026000000000003</v>
      </c>
      <c r="L72" s="94">
        <v>50.07</v>
      </c>
      <c r="M72" s="94">
        <v>50.07</v>
      </c>
      <c r="N72" s="94">
        <v>50.1</v>
      </c>
      <c r="O72" s="94">
        <v>50.03</v>
      </c>
      <c r="P72" s="94">
        <v>50.02</v>
      </c>
      <c r="Q72" s="95">
        <v>49.87</v>
      </c>
      <c r="R72" s="94">
        <v>50</v>
      </c>
      <c r="S72" s="94">
        <v>49.941000000000003</v>
      </c>
      <c r="T72" s="94">
        <v>50.09</v>
      </c>
      <c r="U72" s="94">
        <v>50.067</v>
      </c>
      <c r="V72" s="94">
        <v>50.018000000000001</v>
      </c>
      <c r="W72" s="94">
        <v>50.034999999999997</v>
      </c>
      <c r="X72" s="94">
        <v>50.027000000000001</v>
      </c>
      <c r="Y72" s="94">
        <v>50.017000000000003</v>
      </c>
      <c r="Z72" s="94">
        <v>49.938000000000002</v>
      </c>
      <c r="AA72" s="94">
        <v>49.936</v>
      </c>
      <c r="AB72" s="94">
        <v>49.984999999999999</v>
      </c>
      <c r="AC72" s="94">
        <v>49.87</v>
      </c>
      <c r="AD72" s="94">
        <v>50.04</v>
      </c>
      <c r="AE72" s="94">
        <v>50.04</v>
      </c>
      <c r="AF72" s="96">
        <v>50.07</v>
      </c>
      <c r="AG72" s="97"/>
      <c r="AH72" s="52">
        <f t="shared" si="2"/>
        <v>50.1</v>
      </c>
      <c r="AI72" s="53">
        <f t="shared" si="3"/>
        <v>49.87</v>
      </c>
    </row>
    <row r="73" spans="1:35" x14ac:dyDescent="0.25">
      <c r="A73" s="98" t="s">
        <v>80</v>
      </c>
      <c r="B73" s="70">
        <v>127.8</v>
      </c>
      <c r="C73" s="70">
        <v>128.19999999999999</v>
      </c>
      <c r="D73" s="70">
        <v>127.4</v>
      </c>
      <c r="E73" s="70">
        <v>127.8</v>
      </c>
      <c r="F73" s="70"/>
      <c r="G73" s="70">
        <v>128.69999999999999</v>
      </c>
      <c r="H73" s="70">
        <v>126.7</v>
      </c>
      <c r="I73" s="70">
        <v>127</v>
      </c>
      <c r="J73" s="70">
        <v>126.5</v>
      </c>
      <c r="K73" s="70">
        <v>127.3</v>
      </c>
      <c r="L73" s="70">
        <v>126.5</v>
      </c>
      <c r="M73" s="70">
        <v>125.5</v>
      </c>
      <c r="N73" s="70">
        <v>125.2</v>
      </c>
      <c r="O73" s="70">
        <v>124.6</v>
      </c>
      <c r="P73" s="70">
        <v>126.2</v>
      </c>
      <c r="Q73" s="99">
        <v>125</v>
      </c>
      <c r="R73" s="99">
        <v>125.8</v>
      </c>
      <c r="S73" s="99">
        <v>125.6</v>
      </c>
      <c r="T73" s="99">
        <v>125.8</v>
      </c>
      <c r="U73" s="99">
        <v>126.4</v>
      </c>
      <c r="V73" s="99">
        <v>126.4</v>
      </c>
      <c r="W73" s="99">
        <v>127</v>
      </c>
      <c r="X73" s="99">
        <v>126.7</v>
      </c>
      <c r="Y73" s="99">
        <v>126.7</v>
      </c>
      <c r="Z73" s="99">
        <v>126</v>
      </c>
      <c r="AA73" s="70">
        <v>126</v>
      </c>
      <c r="AB73" s="70">
        <v>127.3</v>
      </c>
      <c r="AC73" s="70">
        <v>126.3</v>
      </c>
      <c r="AD73" s="70">
        <v>126.1</v>
      </c>
      <c r="AE73" s="70">
        <v>126.3</v>
      </c>
      <c r="AF73" s="100">
        <v>125.9</v>
      </c>
      <c r="AG73" s="101"/>
      <c r="AH73" s="52">
        <f t="shared" si="2"/>
        <v>128.69999999999999</v>
      </c>
      <c r="AI73" s="53">
        <f t="shared" si="3"/>
        <v>124.6</v>
      </c>
    </row>
    <row r="74" spans="1:35" x14ac:dyDescent="0.25">
      <c r="A74" s="98" t="s">
        <v>81</v>
      </c>
      <c r="B74" s="70">
        <v>130.19999999999999</v>
      </c>
      <c r="C74" s="70">
        <v>130.6</v>
      </c>
      <c r="D74" s="70">
        <v>129.9</v>
      </c>
      <c r="E74" s="70">
        <v>130.19999999999999</v>
      </c>
      <c r="F74" s="70"/>
      <c r="G74" s="70">
        <v>130.9</v>
      </c>
      <c r="H74" s="70">
        <v>128.80000000000001</v>
      </c>
      <c r="I74" s="70">
        <v>125</v>
      </c>
      <c r="J74" s="70">
        <v>128.69999999999999</v>
      </c>
      <c r="K74" s="70">
        <v>129.1</v>
      </c>
      <c r="L74" s="70">
        <v>128.30000000000001</v>
      </c>
      <c r="M74" s="70">
        <v>127.4</v>
      </c>
      <c r="N74" s="70">
        <v>127.4</v>
      </c>
      <c r="O74" s="70">
        <v>126.6</v>
      </c>
      <c r="P74" s="70">
        <v>128.5</v>
      </c>
      <c r="Q74" s="99">
        <v>127.4</v>
      </c>
      <c r="R74" s="99">
        <v>128.69999999999999</v>
      </c>
      <c r="S74" s="99">
        <v>128.4</v>
      </c>
      <c r="T74" s="99">
        <v>128.30000000000001</v>
      </c>
      <c r="U74" s="99">
        <v>129.19999999999999</v>
      </c>
      <c r="V74" s="99">
        <v>129.19999999999999</v>
      </c>
      <c r="W74" s="99">
        <v>129.5</v>
      </c>
      <c r="X74" s="99">
        <v>129.4</v>
      </c>
      <c r="Y74" s="99">
        <v>129.4</v>
      </c>
      <c r="Z74" s="99">
        <v>128.4</v>
      </c>
      <c r="AA74" s="70">
        <v>128.69999999999999</v>
      </c>
      <c r="AB74" s="70">
        <v>129.9</v>
      </c>
      <c r="AC74" s="70">
        <v>129.19999999999999</v>
      </c>
      <c r="AD74" s="70">
        <v>129.5</v>
      </c>
      <c r="AE74" s="70">
        <v>129.9</v>
      </c>
      <c r="AF74" s="100">
        <v>129.30000000000001</v>
      </c>
      <c r="AG74" s="101"/>
      <c r="AH74" s="52">
        <f t="shared" si="2"/>
        <v>130.9</v>
      </c>
      <c r="AI74" s="53">
        <f t="shared" si="3"/>
        <v>125</v>
      </c>
    </row>
    <row r="75" spans="1:35" x14ac:dyDescent="0.25">
      <c r="A75" s="98" t="s">
        <v>82</v>
      </c>
      <c r="B75" s="70">
        <v>128</v>
      </c>
      <c r="C75" s="70">
        <v>130.19999999999999</v>
      </c>
      <c r="D75" s="70">
        <v>128.30000000000001</v>
      </c>
      <c r="E75" s="70">
        <v>129.19999999999999</v>
      </c>
      <c r="F75" s="70"/>
      <c r="G75" s="70">
        <v>127.4</v>
      </c>
      <c r="H75" s="70">
        <v>127</v>
      </c>
      <c r="I75" s="70">
        <v>125.1</v>
      </c>
      <c r="J75" s="70">
        <v>124</v>
      </c>
      <c r="K75" s="70">
        <v>126.4</v>
      </c>
      <c r="L75" s="70">
        <v>126.5</v>
      </c>
      <c r="M75" s="70">
        <v>130.80000000000001</v>
      </c>
      <c r="N75" s="70">
        <v>131.69999999999999</v>
      </c>
      <c r="O75" s="70">
        <v>127.3</v>
      </c>
      <c r="P75" s="70">
        <v>131.9</v>
      </c>
      <c r="Q75" s="70">
        <v>128.9</v>
      </c>
      <c r="R75" s="70">
        <v>128.1</v>
      </c>
      <c r="S75" s="70">
        <v>125.9</v>
      </c>
      <c r="T75" s="99">
        <v>124.1</v>
      </c>
      <c r="U75" s="99">
        <v>129.30000000000001</v>
      </c>
      <c r="V75" s="99">
        <v>129.30000000000001</v>
      </c>
      <c r="W75" s="99">
        <v>129.4</v>
      </c>
      <c r="X75" s="99">
        <v>129.4</v>
      </c>
      <c r="Y75" s="99">
        <v>129.4</v>
      </c>
      <c r="Z75" s="99">
        <v>128.9</v>
      </c>
      <c r="AA75" s="70">
        <v>125.2</v>
      </c>
      <c r="AB75" s="70">
        <v>127.6</v>
      </c>
      <c r="AC75" s="70">
        <v>129.4</v>
      </c>
      <c r="AD75" s="70">
        <v>128.30000000000001</v>
      </c>
      <c r="AE75" s="70">
        <v>129.5</v>
      </c>
      <c r="AF75" s="100">
        <v>128.80000000000001</v>
      </c>
      <c r="AG75" s="101"/>
      <c r="AH75" s="52">
        <f t="shared" si="2"/>
        <v>131.9</v>
      </c>
      <c r="AI75" s="53">
        <f t="shared" si="3"/>
        <v>124</v>
      </c>
    </row>
    <row r="76" spans="1:35" x14ac:dyDescent="0.25">
      <c r="A76" s="102" t="s">
        <v>83</v>
      </c>
      <c r="B76" s="70">
        <v>130</v>
      </c>
      <c r="C76" s="70">
        <v>132</v>
      </c>
      <c r="D76" s="70">
        <v>130.6</v>
      </c>
      <c r="E76" s="70">
        <v>131.30000000000001</v>
      </c>
      <c r="F76" s="70"/>
      <c r="G76" s="70">
        <v>129.19999999999999</v>
      </c>
      <c r="H76" s="70">
        <v>128.1</v>
      </c>
      <c r="I76" s="70">
        <v>129.1</v>
      </c>
      <c r="J76" s="70">
        <v>128</v>
      </c>
      <c r="K76" s="70">
        <v>129.4</v>
      </c>
      <c r="L76" s="70">
        <v>129</v>
      </c>
      <c r="M76" s="70">
        <v>129.19999999999999</v>
      </c>
      <c r="N76" s="70">
        <v>129.1</v>
      </c>
      <c r="O76" s="70">
        <v>130.30000000000001</v>
      </c>
      <c r="P76" s="70">
        <v>135.30000000000001</v>
      </c>
      <c r="Q76" s="70">
        <v>132.80000000000001</v>
      </c>
      <c r="R76" s="70">
        <v>131.6</v>
      </c>
      <c r="S76" s="70">
        <v>130.69999999999999</v>
      </c>
      <c r="T76" s="99">
        <v>128.19999999999999</v>
      </c>
      <c r="U76" s="99">
        <v>133.19999999999999</v>
      </c>
      <c r="V76" s="99">
        <v>133.19999999999999</v>
      </c>
      <c r="W76" s="99">
        <v>133.69999999999999</v>
      </c>
      <c r="X76" s="99">
        <v>133.69999999999999</v>
      </c>
      <c r="Y76" s="99">
        <v>133.69999999999999</v>
      </c>
      <c r="Z76" s="99">
        <v>131.69999999999999</v>
      </c>
      <c r="AA76" s="70">
        <v>128.5</v>
      </c>
      <c r="AB76" s="70">
        <v>131.6</v>
      </c>
      <c r="AC76" s="70">
        <v>133.1</v>
      </c>
      <c r="AD76" s="70">
        <v>130.9</v>
      </c>
      <c r="AE76" s="70">
        <v>132.1</v>
      </c>
      <c r="AF76" s="100">
        <v>131.4</v>
      </c>
      <c r="AG76" s="101"/>
      <c r="AH76" s="52">
        <f t="shared" si="2"/>
        <v>135.30000000000001</v>
      </c>
      <c r="AI76" s="53">
        <f t="shared" si="3"/>
        <v>128</v>
      </c>
    </row>
    <row r="77" spans="1:35" x14ac:dyDescent="0.25">
      <c r="A77" s="102" t="s">
        <v>84</v>
      </c>
      <c r="B77" s="103">
        <v>136.30000000000001</v>
      </c>
      <c r="C77" s="103">
        <v>132.6</v>
      </c>
      <c r="D77" s="103">
        <v>130.4</v>
      </c>
      <c r="E77" s="103">
        <v>132.6</v>
      </c>
      <c r="F77" s="103"/>
      <c r="G77" s="103">
        <v>134.1</v>
      </c>
      <c r="H77" s="103">
        <v>130.5</v>
      </c>
      <c r="I77" s="103">
        <v>128.5</v>
      </c>
      <c r="J77" s="103">
        <v>132</v>
      </c>
      <c r="K77" s="103">
        <v>134.6</v>
      </c>
      <c r="L77" s="103">
        <v>130.80000000000001</v>
      </c>
      <c r="M77" s="103">
        <v>80.8</v>
      </c>
      <c r="N77" s="103">
        <v>132.6</v>
      </c>
      <c r="O77" s="103">
        <v>131.5</v>
      </c>
      <c r="P77" s="103">
        <v>134.6</v>
      </c>
      <c r="Q77" s="103">
        <v>97.1</v>
      </c>
      <c r="R77" s="103">
        <v>134.19999999999999</v>
      </c>
      <c r="S77" s="103">
        <v>133.30000000000001</v>
      </c>
      <c r="T77" s="99">
        <v>131.4</v>
      </c>
      <c r="U77" s="99">
        <v>131.9</v>
      </c>
      <c r="V77" s="99">
        <v>131.9</v>
      </c>
      <c r="W77" s="99">
        <v>134.30000000000001</v>
      </c>
      <c r="X77" s="99">
        <v>134.30000000000001</v>
      </c>
      <c r="Y77" s="99">
        <v>134.30000000000001</v>
      </c>
      <c r="Z77" s="99">
        <v>133.5</v>
      </c>
      <c r="AA77" s="103">
        <v>134.30000000000001</v>
      </c>
      <c r="AB77" s="103">
        <v>135.30000000000001</v>
      </c>
      <c r="AC77" s="103">
        <v>135.9</v>
      </c>
      <c r="AD77" s="103">
        <v>136.6</v>
      </c>
      <c r="AE77" s="103">
        <v>134.9</v>
      </c>
      <c r="AF77" s="104">
        <v>132.69999999999999</v>
      </c>
      <c r="AG77" s="105"/>
      <c r="AH77" s="52">
        <f t="shared" si="2"/>
        <v>136.6</v>
      </c>
      <c r="AI77" s="53">
        <f t="shared" si="3"/>
        <v>80.8</v>
      </c>
    </row>
    <row r="78" spans="1:35" x14ac:dyDescent="0.25">
      <c r="A78" s="98" t="s">
        <v>85</v>
      </c>
      <c r="B78" s="70">
        <v>136.80000000000001</v>
      </c>
      <c r="C78" s="70">
        <v>138.9</v>
      </c>
      <c r="D78" s="70">
        <v>128</v>
      </c>
      <c r="E78" s="70">
        <v>128.69999999999999</v>
      </c>
      <c r="F78" s="70"/>
      <c r="G78" s="70">
        <v>122.4</v>
      </c>
      <c r="H78" s="70">
        <v>137.5</v>
      </c>
      <c r="I78" s="70">
        <v>122.1</v>
      </c>
      <c r="J78" s="70">
        <v>133</v>
      </c>
      <c r="K78" s="70">
        <v>128.69999999999999</v>
      </c>
      <c r="L78" s="70">
        <v>128.69999999999999</v>
      </c>
      <c r="M78" s="70">
        <v>130.6</v>
      </c>
      <c r="N78" s="70">
        <v>130.1</v>
      </c>
      <c r="O78" s="70">
        <v>0</v>
      </c>
      <c r="P78" s="70">
        <v>124.8</v>
      </c>
      <c r="Q78" s="70">
        <v>130.1</v>
      </c>
      <c r="R78" s="70">
        <v>133.5</v>
      </c>
      <c r="S78" s="70">
        <v>127.3</v>
      </c>
      <c r="T78" s="99">
        <v>130.30000000000001</v>
      </c>
      <c r="U78" s="99">
        <v>130.30000000000001</v>
      </c>
      <c r="V78" s="99">
        <v>130.30000000000001</v>
      </c>
      <c r="W78" s="99">
        <v>130.30000000000001</v>
      </c>
      <c r="X78" s="99">
        <v>130.30000000000001</v>
      </c>
      <c r="Y78" s="99">
        <v>130.30000000000001</v>
      </c>
      <c r="Z78" s="99">
        <v>133.5</v>
      </c>
      <c r="AA78" s="70">
        <v>133.1</v>
      </c>
      <c r="AB78" s="70">
        <v>135</v>
      </c>
      <c r="AC78" s="70">
        <v>135.19999999999999</v>
      </c>
      <c r="AD78" s="70">
        <v>136.4</v>
      </c>
      <c r="AE78" s="70">
        <v>137.30000000000001</v>
      </c>
      <c r="AF78" s="100">
        <v>134.30000000000001</v>
      </c>
      <c r="AG78" s="101"/>
      <c r="AH78" s="52">
        <f>MAX(B78:AF78)</f>
        <v>138.9</v>
      </c>
      <c r="AI78" s="53">
        <f>MIN(B78:AF78)</f>
        <v>0</v>
      </c>
    </row>
    <row r="79" spans="1:35" ht="15.75" thickBot="1" x14ac:dyDescent="0.3">
      <c r="A79" s="98" t="s">
        <v>86</v>
      </c>
      <c r="B79" s="106">
        <v>66.3</v>
      </c>
      <c r="C79" s="106">
        <v>66.8</v>
      </c>
      <c r="D79" s="106">
        <v>66.5</v>
      </c>
      <c r="E79" s="106">
        <v>66.599999999999994</v>
      </c>
      <c r="F79" s="106"/>
      <c r="G79" s="106">
        <v>66.7</v>
      </c>
      <c r="H79" s="106">
        <v>65.7</v>
      </c>
      <c r="I79" s="106">
        <v>64.900000000000006</v>
      </c>
      <c r="J79" s="106">
        <v>65.8</v>
      </c>
      <c r="K79" s="106">
        <v>66.099999999999994</v>
      </c>
      <c r="L79" s="106">
        <v>65.599999999999994</v>
      </c>
      <c r="M79" s="106">
        <v>65.099999999999994</v>
      </c>
      <c r="N79" s="106">
        <v>65</v>
      </c>
      <c r="O79" s="106">
        <v>65.3</v>
      </c>
      <c r="P79" s="106">
        <v>66.099999999999994</v>
      </c>
      <c r="Q79" s="106">
        <v>64.8</v>
      </c>
      <c r="R79" s="106">
        <v>65.3</v>
      </c>
      <c r="S79" s="106">
        <v>65.2</v>
      </c>
      <c r="T79" s="106">
        <v>65.8</v>
      </c>
      <c r="U79" s="106">
        <v>66.2</v>
      </c>
      <c r="V79" s="106">
        <v>66.2</v>
      </c>
      <c r="W79" s="106">
        <v>66.5</v>
      </c>
      <c r="X79" s="106">
        <v>66.5</v>
      </c>
      <c r="Y79" s="106">
        <v>66.5</v>
      </c>
      <c r="Z79" s="106">
        <v>65.7</v>
      </c>
      <c r="AA79" s="106">
        <v>65.8</v>
      </c>
      <c r="AB79" s="106">
        <v>66.5</v>
      </c>
      <c r="AC79" s="106">
        <v>66.3</v>
      </c>
      <c r="AD79" s="106">
        <v>66.2</v>
      </c>
      <c r="AE79" s="106">
        <v>66.7</v>
      </c>
      <c r="AF79" s="107">
        <v>66.400000000000006</v>
      </c>
      <c r="AG79" s="108"/>
      <c r="AH79" s="52">
        <f>MAX(B79:AF79)</f>
        <v>66.8</v>
      </c>
      <c r="AI79" s="53">
        <f>MIN(B79:AF79)</f>
        <v>64.8</v>
      </c>
    </row>
    <row r="80" spans="1:35" x14ac:dyDescent="0.25">
      <c r="A80" s="109" t="s">
        <v>87</v>
      </c>
      <c r="B80" s="110">
        <f t="shared" ref="B80:AF80" si="19">SUMIF(B48:B57,"&gt;0")</f>
        <v>264.10000000000002</v>
      </c>
      <c r="C80" s="110">
        <f t="shared" si="19"/>
        <v>231.61</v>
      </c>
      <c r="D80" s="110">
        <f t="shared" si="19"/>
        <v>249</v>
      </c>
      <c r="E80" s="110">
        <f t="shared" si="19"/>
        <v>284.89999999999998</v>
      </c>
      <c r="F80" s="110">
        <f t="shared" si="19"/>
        <v>0</v>
      </c>
      <c r="G80" s="110">
        <f t="shared" si="19"/>
        <v>203</v>
      </c>
      <c r="H80" s="110">
        <f t="shared" si="19"/>
        <v>241</v>
      </c>
      <c r="I80" s="110">
        <f t="shared" si="19"/>
        <v>341.19</v>
      </c>
      <c r="J80" s="110">
        <f t="shared" si="19"/>
        <v>348</v>
      </c>
      <c r="K80" s="110">
        <f t="shared" si="19"/>
        <v>332.33000000000004</v>
      </c>
      <c r="L80" s="110">
        <f t="shared" si="19"/>
        <v>343</v>
      </c>
      <c r="M80" s="110">
        <f t="shared" si="19"/>
        <v>324.55</v>
      </c>
      <c r="N80" s="110">
        <f t="shared" si="19"/>
        <v>271.73</v>
      </c>
      <c r="O80" s="110">
        <f t="shared" si="19"/>
        <v>210</v>
      </c>
      <c r="P80" s="110">
        <f t="shared" si="19"/>
        <v>222.29999999999998</v>
      </c>
      <c r="Q80" s="110">
        <f t="shared" si="19"/>
        <v>212.36</v>
      </c>
      <c r="R80" s="110">
        <f t="shared" si="19"/>
        <v>253.7</v>
      </c>
      <c r="S80" s="110">
        <f t="shared" si="19"/>
        <v>238</v>
      </c>
      <c r="T80" s="110">
        <f t="shared" si="19"/>
        <v>209</v>
      </c>
      <c r="U80" s="110">
        <f t="shared" si="19"/>
        <v>205.95</v>
      </c>
      <c r="V80" s="110">
        <f t="shared" si="19"/>
        <v>206</v>
      </c>
      <c r="W80" s="110">
        <f t="shared" si="19"/>
        <v>216</v>
      </c>
      <c r="X80" s="110">
        <f t="shared" si="19"/>
        <v>232</v>
      </c>
      <c r="Y80" s="110">
        <f t="shared" si="19"/>
        <v>283</v>
      </c>
      <c r="Z80" s="110">
        <f t="shared" si="19"/>
        <v>350.5</v>
      </c>
      <c r="AA80" s="110">
        <f t="shared" si="19"/>
        <v>287.2</v>
      </c>
      <c r="AB80" s="110">
        <f t="shared" si="19"/>
        <v>240.6</v>
      </c>
      <c r="AC80" s="110">
        <f t="shared" si="19"/>
        <v>201</v>
      </c>
      <c r="AD80" s="110">
        <f t="shared" si="19"/>
        <v>109</v>
      </c>
      <c r="AE80" s="110">
        <f t="shared" si="19"/>
        <v>67.099999999999994</v>
      </c>
      <c r="AF80" s="110">
        <f t="shared" si="19"/>
        <v>50.3</v>
      </c>
      <c r="AG80" s="111"/>
      <c r="AH80" s="52">
        <f>MAX(B80:AF80)</f>
        <v>350.5</v>
      </c>
      <c r="AI80" s="53">
        <f>MIN(B80:AF80)</f>
        <v>0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184.62</v>
      </c>
      <c r="C82" s="115">
        <f t="shared" ref="C82:AF82" si="20">C11+C13+C17+C34+C36+C38+C40+C94+C108+C110+C121+C127+C130+C139+C143+C144+C147+C154+C159+C162+C163+C164+C172+C177+C83+C84+C85+C86+C99</f>
        <v>187.72</v>
      </c>
      <c r="D82" s="115">
        <f t="shared" si="20"/>
        <v>189.42</v>
      </c>
      <c r="E82" s="115">
        <f t="shared" si="20"/>
        <v>191.01999999999995</v>
      </c>
      <c r="F82" s="115">
        <f t="shared" si="20"/>
        <v>31.020000000000003</v>
      </c>
      <c r="G82" s="115">
        <f t="shared" si="20"/>
        <v>189.62</v>
      </c>
      <c r="H82" s="115">
        <f t="shared" si="20"/>
        <v>190.21999999999997</v>
      </c>
      <c r="I82" s="115">
        <f t="shared" si="20"/>
        <v>207.72</v>
      </c>
      <c r="J82" s="115">
        <f t="shared" si="20"/>
        <v>218.51999999999998</v>
      </c>
      <c r="K82" s="115">
        <f t="shared" si="20"/>
        <v>233.22</v>
      </c>
      <c r="L82" s="115">
        <f t="shared" si="20"/>
        <v>239.01999999999998</v>
      </c>
      <c r="M82" s="115">
        <f t="shared" si="20"/>
        <v>259.11999999999995</v>
      </c>
      <c r="N82" s="115">
        <f t="shared" si="20"/>
        <v>231.01999999999998</v>
      </c>
      <c r="O82" s="115">
        <f t="shared" si="20"/>
        <v>264.71999999999997</v>
      </c>
      <c r="P82" s="115">
        <f t="shared" si="20"/>
        <v>261.21999999999997</v>
      </c>
      <c r="Q82" s="115">
        <f t="shared" si="20"/>
        <v>272.21999999999997</v>
      </c>
      <c r="R82" s="115">
        <f t="shared" si="20"/>
        <v>268.62000000000006</v>
      </c>
      <c r="S82" s="115">
        <f t="shared" si="20"/>
        <v>295.01999999999992</v>
      </c>
      <c r="T82" s="115">
        <f t="shared" si="20"/>
        <v>276.91999999999996</v>
      </c>
      <c r="U82" s="115">
        <f t="shared" si="20"/>
        <v>207.62</v>
      </c>
      <c r="V82" s="115">
        <f t="shared" si="20"/>
        <v>219.02</v>
      </c>
      <c r="W82" s="115">
        <f t="shared" si="20"/>
        <v>238.02</v>
      </c>
      <c r="X82" s="115">
        <f t="shared" si="20"/>
        <v>308.41999999999996</v>
      </c>
      <c r="Y82" s="115">
        <f t="shared" si="20"/>
        <v>270.91999999999996</v>
      </c>
      <c r="Z82" s="115">
        <f t="shared" si="20"/>
        <v>284.41999999999996</v>
      </c>
      <c r="AA82" s="115">
        <f t="shared" si="20"/>
        <v>254.82</v>
      </c>
      <c r="AB82" s="115">
        <f t="shared" si="20"/>
        <v>229.92</v>
      </c>
      <c r="AC82" s="115">
        <f t="shared" si="20"/>
        <v>207.32</v>
      </c>
      <c r="AD82" s="115">
        <f t="shared" si="20"/>
        <v>160.72</v>
      </c>
      <c r="AE82" s="115">
        <f t="shared" si="20"/>
        <v>202.82000000000002</v>
      </c>
      <c r="AF82" s="115">
        <f t="shared" si="20"/>
        <v>234.11999999999998</v>
      </c>
      <c r="AG82" s="116"/>
      <c r="AH82" s="52">
        <f>MAX(B82:AF82)</f>
        <v>308.41999999999996</v>
      </c>
      <c r="AI82" s="53">
        <f>MIN(B82:AF82)</f>
        <v>31.020000000000003</v>
      </c>
    </row>
    <row r="83" spans="1:37" x14ac:dyDescent="0.25">
      <c r="A83" s="117" t="s">
        <v>89</v>
      </c>
      <c r="B83" s="118">
        <v>38.5</v>
      </c>
      <c r="C83" s="118">
        <v>25</v>
      </c>
      <c r="D83" s="118">
        <v>13.6</v>
      </c>
      <c r="E83" s="118">
        <v>12.7</v>
      </c>
      <c r="F83" s="118"/>
      <c r="G83" s="118">
        <v>35.700000000000003</v>
      </c>
      <c r="H83" s="118">
        <v>25.2</v>
      </c>
      <c r="I83" s="118">
        <v>19.3</v>
      </c>
      <c r="J83" s="118">
        <v>15.9</v>
      </c>
      <c r="K83" s="118">
        <v>20.8</v>
      </c>
      <c r="L83" s="118">
        <v>26.2</v>
      </c>
      <c r="M83" s="118">
        <v>42.8</v>
      </c>
      <c r="N83" s="118">
        <v>46.1</v>
      </c>
      <c r="O83" s="118">
        <v>51.7</v>
      </c>
      <c r="P83" s="118">
        <v>50.8</v>
      </c>
      <c r="Q83" s="118">
        <v>57.4</v>
      </c>
      <c r="R83" s="118">
        <v>56.2</v>
      </c>
      <c r="S83" s="118">
        <v>63</v>
      </c>
      <c r="T83" s="118">
        <v>56</v>
      </c>
      <c r="U83" s="118">
        <v>57</v>
      </c>
      <c r="V83" s="118">
        <v>59</v>
      </c>
      <c r="W83" s="118">
        <v>63</v>
      </c>
      <c r="X83" s="118">
        <v>70.599999999999994</v>
      </c>
      <c r="Y83" s="118">
        <v>71</v>
      </c>
      <c r="Z83" s="118">
        <v>60</v>
      </c>
      <c r="AA83" s="50">
        <v>66.7</v>
      </c>
      <c r="AB83" s="50">
        <v>69.900000000000006</v>
      </c>
      <c r="AC83" s="50">
        <v>75.599999999999994</v>
      </c>
      <c r="AD83" s="50">
        <v>72.3</v>
      </c>
      <c r="AE83" s="50">
        <v>63.8</v>
      </c>
      <c r="AF83" s="119">
        <v>64.900000000000006</v>
      </c>
      <c r="AG83" s="120">
        <v>75</v>
      </c>
      <c r="AH83" s="52">
        <f>IF(ABS(MAX(B83:AF83))&gt;ABS(MIN(B83:AF83)),MAX(B83:AF83),MIN(B83:AF83))</f>
        <v>75.599999999999994</v>
      </c>
      <c r="AI83" s="121">
        <f>INDEX($B$9:$AF$9,1,MATCH(AH83,B83:AF83,0))</f>
        <v>0.875</v>
      </c>
    </row>
    <row r="84" spans="1:37" x14ac:dyDescent="0.25">
      <c r="A84" s="122" t="s">
        <v>90</v>
      </c>
      <c r="B84" s="83">
        <v>-17.5</v>
      </c>
      <c r="C84" s="83">
        <v>-33</v>
      </c>
      <c r="D84" s="83">
        <v>-23</v>
      </c>
      <c r="E84" s="83">
        <v>-20</v>
      </c>
      <c r="F84" s="83"/>
      <c r="G84" s="83">
        <v>-32</v>
      </c>
      <c r="H84" s="83">
        <v>-17</v>
      </c>
      <c r="I84" s="83">
        <v>0</v>
      </c>
      <c r="J84" s="83">
        <v>7</v>
      </c>
      <c r="K84" s="83">
        <v>6.4</v>
      </c>
      <c r="L84" s="83">
        <v>4</v>
      </c>
      <c r="M84" s="83">
        <v>8.1</v>
      </c>
      <c r="N84" s="83">
        <v>10.9</v>
      </c>
      <c r="O84" s="83">
        <v>18.8</v>
      </c>
      <c r="P84" s="83">
        <v>24.7</v>
      </c>
      <c r="Q84" s="83">
        <v>35.700000000000003</v>
      </c>
      <c r="R84" s="83">
        <v>33.6</v>
      </c>
      <c r="S84" s="83">
        <v>37</v>
      </c>
      <c r="T84" s="83">
        <v>33</v>
      </c>
      <c r="U84" s="83">
        <v>-34</v>
      </c>
      <c r="V84" s="83">
        <v>-34</v>
      </c>
      <c r="W84" s="83">
        <v>-29</v>
      </c>
      <c r="X84" s="83">
        <v>33</v>
      </c>
      <c r="Y84" s="83">
        <v>-28</v>
      </c>
      <c r="Z84" s="83">
        <v>-14</v>
      </c>
      <c r="AA84" s="70">
        <v>-28</v>
      </c>
      <c r="AB84" s="70">
        <v>-39</v>
      </c>
      <c r="AC84" s="70">
        <f>-21.9-24.3</f>
        <v>-46.2</v>
      </c>
      <c r="AD84" s="70">
        <v>-62.7</v>
      </c>
      <c r="AE84" s="70">
        <f>-31.2+34</f>
        <v>2.8000000000000007</v>
      </c>
      <c r="AF84" s="123">
        <f>-33.6-36.8</f>
        <v>-70.400000000000006</v>
      </c>
      <c r="AG84" s="120">
        <v>240</v>
      </c>
      <c r="AH84" s="52">
        <f>IF(ABS(MAX(B84:AF84))&gt;ABS(MIN(B84:AF84)),MAX(B84:AF84),MIN(B84:AF84))</f>
        <v>-70.400000000000006</v>
      </c>
      <c r="AI84" s="121">
        <f>INDEX($B$9:$AF$9,1,MATCH(AH84,B84:AF84,0))</f>
        <v>1</v>
      </c>
    </row>
    <row r="85" spans="1:37" x14ac:dyDescent="0.25">
      <c r="A85" s="122" t="s">
        <v>91</v>
      </c>
      <c r="B85" s="83">
        <v>3.9</v>
      </c>
      <c r="C85" s="83">
        <v>1.6</v>
      </c>
      <c r="D85" s="83">
        <v>2.6</v>
      </c>
      <c r="E85" s="83">
        <v>2.6</v>
      </c>
      <c r="F85" s="83"/>
      <c r="G85" s="83">
        <v>4.5</v>
      </c>
      <c r="H85" s="83">
        <v>6.6</v>
      </c>
      <c r="I85" s="83">
        <v>9.1999999999999993</v>
      </c>
      <c r="J85" s="83">
        <v>11.7</v>
      </c>
      <c r="K85" s="83">
        <v>12.1</v>
      </c>
      <c r="L85" s="83">
        <v>11.5</v>
      </c>
      <c r="M85" s="83">
        <v>9.6999999999999993</v>
      </c>
      <c r="N85" s="83">
        <v>7.2</v>
      </c>
      <c r="O85" s="83">
        <v>7.7</v>
      </c>
      <c r="P85" s="83">
        <v>5.0999999999999996</v>
      </c>
      <c r="Q85" s="83">
        <v>5.8</v>
      </c>
      <c r="R85" s="83">
        <v>4.0999999999999996</v>
      </c>
      <c r="S85" s="83">
        <v>7.8</v>
      </c>
      <c r="T85" s="83">
        <v>5</v>
      </c>
      <c r="U85" s="83">
        <v>5.2</v>
      </c>
      <c r="V85" s="83">
        <v>7</v>
      </c>
      <c r="W85" s="83">
        <v>8.5</v>
      </c>
      <c r="X85" s="83">
        <v>10.5</v>
      </c>
      <c r="Y85" s="83">
        <v>11</v>
      </c>
      <c r="Z85" s="83">
        <v>14</v>
      </c>
      <c r="AA85" s="70">
        <v>10.8</v>
      </c>
      <c r="AB85" s="70">
        <v>6.8</v>
      </c>
      <c r="AC85" s="70">
        <v>6.6</v>
      </c>
      <c r="AD85" s="70">
        <v>0</v>
      </c>
      <c r="AE85" s="70">
        <v>-0.9</v>
      </c>
      <c r="AF85" s="123">
        <v>-3.4</v>
      </c>
      <c r="AG85" s="120">
        <v>60</v>
      </c>
      <c r="AH85" s="52">
        <f>IF(ABS(MAX(B85:AF85))&gt;ABS(MIN(B85:AF85)),MAX(B85:AF85),MIN(B85:AF85))</f>
        <v>14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22.9</v>
      </c>
      <c r="C86" s="85">
        <v>28</v>
      </c>
      <c r="D86" s="85">
        <v>30.1</v>
      </c>
      <c r="E86" s="85">
        <v>30.1</v>
      </c>
      <c r="F86" s="85"/>
      <c r="G86" s="85">
        <v>12.5</v>
      </c>
      <c r="H86" s="85">
        <v>5</v>
      </c>
      <c r="I86" s="85">
        <v>9.6</v>
      </c>
      <c r="J86" s="85">
        <v>15.6</v>
      </c>
      <c r="K86" s="85">
        <v>23</v>
      </c>
      <c r="L86" s="85">
        <v>25.4</v>
      </c>
      <c r="M86" s="85">
        <v>26.7</v>
      </c>
      <c r="N86" s="85">
        <v>22.7</v>
      </c>
      <c r="O86" s="85">
        <v>14.4</v>
      </c>
      <c r="P86" s="85">
        <v>6.9</v>
      </c>
      <c r="Q86" s="85">
        <v>0.2</v>
      </c>
      <c r="R86" s="85">
        <v>-5.2</v>
      </c>
      <c r="S86" s="85">
        <v>11.4</v>
      </c>
      <c r="T86" s="85">
        <v>2.1</v>
      </c>
      <c r="U86" s="85">
        <v>0</v>
      </c>
      <c r="V86" s="85">
        <v>8</v>
      </c>
      <c r="W86" s="85">
        <v>16.5</v>
      </c>
      <c r="X86" s="85">
        <v>19</v>
      </c>
      <c r="Y86" s="85">
        <v>32.6</v>
      </c>
      <c r="Z86" s="85">
        <v>38</v>
      </c>
      <c r="AA86" s="125">
        <v>18.600000000000001</v>
      </c>
      <c r="AB86" s="125">
        <v>5.0999999999999996</v>
      </c>
      <c r="AC86" s="125">
        <v>-6.5</v>
      </c>
      <c r="AD86" s="125">
        <v>-32.200000000000003</v>
      </c>
      <c r="AE86" s="125">
        <v>-49.8</v>
      </c>
      <c r="AF86" s="126">
        <v>53.7</v>
      </c>
      <c r="AG86" s="127">
        <v>120</v>
      </c>
      <c r="AH86" s="52">
        <f>IF(ABS(MAX(B86:AF86))&gt;ABS(MIN(B86:AF86)),MAX(B86:AF86),MIN(B86:AF86))</f>
        <v>53.7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85">
        <v>43.7</v>
      </c>
      <c r="C87" s="85">
        <v>39.6</v>
      </c>
      <c r="D87" s="85">
        <v>53.2</v>
      </c>
      <c r="E87" s="85">
        <v>52.9</v>
      </c>
      <c r="F87" s="85"/>
      <c r="G87" s="85">
        <v>9.1</v>
      </c>
      <c r="H87" s="85">
        <v>36.299999999999997</v>
      </c>
      <c r="I87" s="85">
        <v>52.9</v>
      </c>
      <c r="J87" s="85">
        <v>56</v>
      </c>
      <c r="K87" s="85">
        <v>49</v>
      </c>
      <c r="L87" s="85">
        <v>45.2</v>
      </c>
      <c r="M87" s="85">
        <v>31.3</v>
      </c>
      <c r="N87" s="85">
        <v>30.9</v>
      </c>
      <c r="O87" s="85">
        <v>42</v>
      </c>
      <c r="P87" s="85">
        <v>22.3</v>
      </c>
      <c r="Q87" s="85">
        <v>9.3000000000000007</v>
      </c>
      <c r="R87" s="85">
        <v>13.7</v>
      </c>
      <c r="S87" s="85">
        <v>10</v>
      </c>
      <c r="T87" s="85">
        <v>10</v>
      </c>
      <c r="U87" s="85">
        <v>10.4</v>
      </c>
      <c r="V87" s="85">
        <v>10.199999999999999</v>
      </c>
      <c r="W87" s="85">
        <v>10.6</v>
      </c>
      <c r="X87" s="85">
        <v>5</v>
      </c>
      <c r="Y87" s="85">
        <v>16</v>
      </c>
      <c r="Z87" s="85">
        <v>35</v>
      </c>
      <c r="AA87" s="125">
        <v>21.3</v>
      </c>
      <c r="AB87" s="125">
        <v>-6.2</v>
      </c>
      <c r="AC87" s="125">
        <v>-2.2999999999999998</v>
      </c>
      <c r="AD87" s="125">
        <v>-12.1</v>
      </c>
      <c r="AE87" s="125">
        <v>-10.5</v>
      </c>
      <c r="AF87" s="126">
        <v>-16</v>
      </c>
      <c r="AG87" s="127"/>
      <c r="AH87" s="52">
        <f>IF(ABS(MAX(B87:AF87))&gt;ABS(MIN(B87:AF87)),MAX(B87:AF87),MIN(B87:AF87))</f>
        <v>56</v>
      </c>
      <c r="AI87" s="121">
        <f>INDEX($B$9:$AF$9,1,MATCH(AH87,B87:AF87,0))</f>
        <v>0.29166666666666669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874.49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6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6)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6)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777.24</v>
      </c>
      <c r="U193" s="173">
        <f t="shared" si="37"/>
        <v>726.65</v>
      </c>
      <c r="V193" s="173">
        <f t="shared" si="37"/>
        <v>712.04</v>
      </c>
      <c r="W193" s="173">
        <f t="shared" si="37"/>
        <v>723.24</v>
      </c>
      <c r="X193" s="173">
        <f t="shared" si="37"/>
        <v>156.73999999999998</v>
      </c>
      <c r="Y193" s="173">
        <f t="shared" si="37"/>
        <v>716.94</v>
      </c>
      <c r="Z193" s="173">
        <f t="shared" si="37"/>
        <v>740.83999999999992</v>
      </c>
      <c r="AA193" s="173">
        <f t="shared" si="37"/>
        <v>827.82999999999993</v>
      </c>
      <c r="AB193" s="173">
        <f t="shared" si="37"/>
        <v>847.04</v>
      </c>
      <c r="AC193" s="173">
        <f t="shared" si="37"/>
        <v>866.07</v>
      </c>
      <c r="AD193" s="173">
        <f t="shared" si="37"/>
        <v>866.84</v>
      </c>
      <c r="AE193" s="173">
        <f t="shared" si="37"/>
        <v>874.49</v>
      </c>
      <c r="AF193" s="173">
        <f t="shared" si="37"/>
        <v>801.56999999999994</v>
      </c>
      <c r="AG193" s="173">
        <f t="shared" si="37"/>
        <v>788.74</v>
      </c>
      <c r="AH193" s="173">
        <f t="shared" si="37"/>
        <v>783.33999999999992</v>
      </c>
      <c r="AI193" s="173">
        <f t="shared" si="37"/>
        <v>787.7</v>
      </c>
      <c r="AJ193" s="173">
        <f t="shared" si="37"/>
        <v>833.44</v>
      </c>
      <c r="AK193" s="173">
        <f t="shared" si="37"/>
        <v>833.04</v>
      </c>
      <c r="AL193" s="173">
        <f t="shared" si="37"/>
        <v>806.54</v>
      </c>
      <c r="AM193" s="173">
        <f t="shared" si="37"/>
        <v>812.68999999999994</v>
      </c>
      <c r="AN193" s="173">
        <f t="shared" si="37"/>
        <v>815.34</v>
      </c>
      <c r="AO193" s="173">
        <f t="shared" si="37"/>
        <v>831.24</v>
      </c>
      <c r="AP193" s="173">
        <f t="shared" si="37"/>
        <v>869.84</v>
      </c>
      <c r="AQ193" s="173">
        <f t="shared" si="37"/>
        <v>927.13999999999987</v>
      </c>
      <c r="AR193" s="173">
        <f t="shared" si="37"/>
        <v>1040.9399999999998</v>
      </c>
      <c r="AS193" s="173">
        <f t="shared" si="37"/>
        <v>960.43999999999994</v>
      </c>
      <c r="AT193" s="173">
        <f t="shared" si="37"/>
        <v>912.54000000000008</v>
      </c>
      <c r="AU193" s="173">
        <f t="shared" si="37"/>
        <v>863.33999999999992</v>
      </c>
      <c r="AV193" s="173">
        <f t="shared" si="37"/>
        <v>763.24</v>
      </c>
      <c r="AW193" s="173">
        <f t="shared" si="37"/>
        <v>694.64</v>
      </c>
      <c r="AX193" s="173">
        <f t="shared" si="37"/>
        <v>684.54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001" priority="161">
      <formula>S$9&gt;=20/24</formula>
    </cfRule>
    <cfRule type="expression" dxfId="5000" priority="162">
      <formula>AND(S$9&gt;=14/24,S$9&lt;20/24)</formula>
    </cfRule>
    <cfRule type="expression" dxfId="4999" priority="163">
      <formula>AND(S$9&gt;=8/24,S$9&lt;14/24)</formula>
    </cfRule>
    <cfRule type="expression" dxfId="4998" priority="164">
      <formula>S$9&lt;8/24</formula>
    </cfRule>
  </conditionalFormatting>
  <conditionalFormatting sqref="B8:AF10 AA70:AF70 B70:Q70 L32:Z33 L31:Q31 B47:AF47 B71:AF71 B48:K50 B72:Q72 C173:AF179 M36 N35:Q36 L29:Q29 L34:Q34 L50:T50 V35:W35 X34:Z35 AA72:AF79 AA48:AF51 B59:AF69 B52:B58 F52:G52 C52:C57 B51:G51 R11:Z11 M37:Z39 L49:Z49 L51:Z51 S34:Z34 U11:Z12 B73:Z79 L44:AF46">
    <cfRule type="expression" dxfId="4997" priority="157">
      <formula>B$9&gt;=20/24</formula>
    </cfRule>
    <cfRule type="expression" dxfId="4996" priority="158">
      <formula>AND(B$9&gt;=14/24,B$9&lt;20/24)</formula>
    </cfRule>
    <cfRule type="expression" dxfId="4995" priority="159">
      <formula>AND(B$9&gt;=8/24,B$9&lt;14/24)</formula>
    </cfRule>
    <cfRule type="expression" dxfId="4994" priority="160">
      <formula>B$9&lt;8/24</formula>
    </cfRule>
  </conditionalFormatting>
  <conditionalFormatting sqref="B171:AF171">
    <cfRule type="expression" dxfId="4993" priority="153">
      <formula>B$9&gt;=20/24</formula>
    </cfRule>
    <cfRule type="expression" dxfId="4992" priority="154">
      <formula>AND(B$9&gt;=14/24,B$9&lt;20/24)</formula>
    </cfRule>
    <cfRule type="expression" dxfId="4991" priority="155">
      <formula>AND(B$9&gt;=8/24,B$9&lt;14/24)</formula>
    </cfRule>
    <cfRule type="expression" dxfId="4990" priority="156">
      <formula>B$9&lt;8/24</formula>
    </cfRule>
  </conditionalFormatting>
  <conditionalFormatting sqref="AL4:AL6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989" priority="148">
      <formula>L$9&gt;=20/24</formula>
    </cfRule>
    <cfRule type="expression" dxfId="4988" priority="149">
      <formula>AND(L$9&gt;=14/24,L$9&lt;20/24)</formula>
    </cfRule>
    <cfRule type="expression" dxfId="4987" priority="150">
      <formula>AND(L$9&gt;=8/24,L$9&lt;14/24)</formula>
    </cfRule>
    <cfRule type="expression" dxfId="4986" priority="151">
      <formula>L$9&lt;8/24</formula>
    </cfRule>
  </conditionalFormatting>
  <conditionalFormatting sqref="L35:M35">
    <cfRule type="expression" dxfId="4985" priority="144">
      <formula>L$9&gt;=20/24</formula>
    </cfRule>
    <cfRule type="expression" dxfId="4984" priority="145">
      <formula>AND(L$9&gt;=14/24,L$9&lt;20/24)</formula>
    </cfRule>
    <cfRule type="expression" dxfId="4983" priority="146">
      <formula>AND(L$9&gt;=8/24,L$9&lt;14/24)</formula>
    </cfRule>
    <cfRule type="expression" dxfId="4982" priority="147">
      <formula>L$9&lt;8/24</formula>
    </cfRule>
  </conditionalFormatting>
  <conditionalFormatting sqref="U13:Z13">
    <cfRule type="expression" dxfId="4981" priority="140">
      <formula>U$9&gt;=20/24</formula>
    </cfRule>
    <cfRule type="expression" dxfId="4980" priority="141">
      <formula>AND(U$9&gt;=14/24,U$9&lt;20/24)</formula>
    </cfRule>
    <cfRule type="expression" dxfId="4979" priority="142">
      <formula>AND(U$9&gt;=8/24,U$9&lt;14/24)</formula>
    </cfRule>
    <cfRule type="expression" dxfId="4978" priority="143">
      <formula>U$9&lt;8/24</formula>
    </cfRule>
  </conditionalFormatting>
  <conditionalFormatting sqref="R31:Z31">
    <cfRule type="expression" dxfId="4977" priority="136">
      <formula>R$9&gt;=20/24</formula>
    </cfRule>
    <cfRule type="expression" dxfId="4976" priority="137">
      <formula>AND(R$9&gt;=14/24,R$9&lt;20/24)</formula>
    </cfRule>
    <cfRule type="expression" dxfId="4975" priority="138">
      <formula>AND(R$9&gt;=8/24,R$9&lt;14/24)</formula>
    </cfRule>
    <cfRule type="expression" dxfId="4974" priority="139">
      <formula>R$9&lt;8/24</formula>
    </cfRule>
  </conditionalFormatting>
  <conditionalFormatting sqref="R48:Z48">
    <cfRule type="expression" dxfId="4973" priority="132">
      <formula>R$9&gt;=20/24</formula>
    </cfRule>
    <cfRule type="expression" dxfId="4972" priority="133">
      <formula>AND(R$9&gt;=14/24,R$9&lt;20/24)</formula>
    </cfRule>
    <cfRule type="expression" dxfId="4971" priority="134">
      <formula>AND(R$9&gt;=8/24,R$9&lt;14/24)</formula>
    </cfRule>
    <cfRule type="expression" dxfId="4970" priority="135">
      <formula>R$9&lt;8/24</formula>
    </cfRule>
  </conditionalFormatting>
  <conditionalFormatting sqref="R70:Z70">
    <cfRule type="expression" dxfId="4969" priority="128">
      <formula>R$9&gt;=20/24</formula>
    </cfRule>
    <cfRule type="expression" dxfId="4968" priority="129">
      <formula>AND(R$9&gt;=14/24,R$9&lt;20/24)</formula>
    </cfRule>
    <cfRule type="expression" dxfId="4967" priority="130">
      <formula>AND(R$9&gt;=8/24,R$9&lt;14/24)</formula>
    </cfRule>
    <cfRule type="expression" dxfId="4966" priority="131">
      <formula>R$9&lt;8/24</formula>
    </cfRule>
  </conditionalFormatting>
  <conditionalFormatting sqref="R72:Z72">
    <cfRule type="expression" dxfId="4965" priority="124">
      <formula>R$9&gt;=20/24</formula>
    </cfRule>
    <cfRule type="expression" dxfId="4964" priority="125">
      <formula>AND(R$9&gt;=14/24,R$9&lt;20/24)</formula>
    </cfRule>
    <cfRule type="expression" dxfId="4963" priority="126">
      <formula>AND(R$9&gt;=8/24,R$9&lt;14/24)</formula>
    </cfRule>
    <cfRule type="expression" dxfId="4962" priority="127">
      <formula>R$9&lt;8/24</formula>
    </cfRule>
  </conditionalFormatting>
  <conditionalFormatting sqref="L11:Q27 R22:AF27">
    <cfRule type="expression" dxfId="4961" priority="120">
      <formula>L$9&gt;=20/24</formula>
    </cfRule>
    <cfRule type="expression" dxfId="4960" priority="121">
      <formula>AND(L$9&gt;=14/24,L$9&lt;20/24)</formula>
    </cfRule>
    <cfRule type="expression" dxfId="4959" priority="122">
      <formula>AND(L$9&gt;=8/24,L$9&lt;14/24)</formula>
    </cfRule>
    <cfRule type="expression" dxfId="4958" priority="123">
      <formula>L$9&lt;8/24</formula>
    </cfRule>
  </conditionalFormatting>
  <conditionalFormatting sqref="L40:Z40">
    <cfRule type="expression" dxfId="4957" priority="116">
      <formula>L$9&gt;=20/24</formula>
    </cfRule>
    <cfRule type="expression" dxfId="4956" priority="117">
      <formula>AND(L$9&gt;=14/24,L$9&lt;20/24)</formula>
    </cfRule>
    <cfRule type="expression" dxfId="4955" priority="118">
      <formula>AND(L$9&gt;=8/24,L$9&lt;14/24)</formula>
    </cfRule>
    <cfRule type="expression" dxfId="4954" priority="119">
      <formula>L$9&lt;8/24</formula>
    </cfRule>
  </conditionalFormatting>
  <conditionalFormatting sqref="L41:Z41">
    <cfRule type="expression" dxfId="4953" priority="112">
      <formula>L$9&gt;=20/24</formula>
    </cfRule>
    <cfRule type="expression" dxfId="4952" priority="113">
      <formula>AND(L$9&gt;=14/24,L$9&lt;20/24)</formula>
    </cfRule>
    <cfRule type="expression" dxfId="4951" priority="114">
      <formula>AND(L$9&gt;=8/24,L$9&lt;14/24)</formula>
    </cfRule>
    <cfRule type="expression" dxfId="4950" priority="115">
      <formula>L$9&lt;8/24</formula>
    </cfRule>
  </conditionalFormatting>
  <conditionalFormatting sqref="L36:L39 M37:Z39">
    <cfRule type="expression" dxfId="4949" priority="108">
      <formula>L$9&gt;=20/24</formula>
    </cfRule>
    <cfRule type="expression" dxfId="4948" priority="109">
      <formula>AND(L$9&gt;=14/24,L$9&lt;20/24)</formula>
    </cfRule>
    <cfRule type="expression" dxfId="4947" priority="110">
      <formula>AND(L$9&gt;=8/24,L$9&lt;14/24)</formula>
    </cfRule>
    <cfRule type="expression" dxfId="4946" priority="111">
      <formula>L$9&lt;8/24</formula>
    </cfRule>
  </conditionalFormatting>
  <conditionalFormatting sqref="R29:AD29">
    <cfRule type="expression" dxfId="4945" priority="104">
      <formula>R$9&gt;=20/24</formula>
    </cfRule>
    <cfRule type="expression" dxfId="4944" priority="105">
      <formula>AND(R$9&gt;=14/24,R$9&lt;20/24)</formula>
    </cfRule>
    <cfRule type="expression" dxfId="4943" priority="106">
      <formula>AND(R$9&gt;=8/24,R$9&lt;14/24)</formula>
    </cfRule>
    <cfRule type="expression" dxfId="4942" priority="107">
      <formula>R$9&lt;8/24</formula>
    </cfRule>
  </conditionalFormatting>
  <conditionalFormatting sqref="R12:Z27 AA16:AF27">
    <cfRule type="expression" dxfId="4941" priority="100">
      <formula>R$9&gt;=20/24</formula>
    </cfRule>
    <cfRule type="expression" dxfId="4940" priority="101">
      <formula>AND(R$9&gt;=14/24,R$9&lt;20/24)</formula>
    </cfRule>
    <cfRule type="expression" dxfId="4939" priority="102">
      <formula>AND(R$9&gt;=8/24,R$9&lt;14/24)</formula>
    </cfRule>
    <cfRule type="expression" dxfId="4938" priority="103">
      <formula>R$9&lt;8/24</formula>
    </cfRule>
  </conditionalFormatting>
  <conditionalFormatting sqref="R34:R39 S35:U39 T35:Z35 S37:Z39 V36:Z39">
    <cfRule type="expression" dxfId="4937" priority="96">
      <formula>R$9&gt;=20/24</formula>
    </cfRule>
    <cfRule type="expression" dxfId="4936" priority="97">
      <formula>AND(R$9&gt;=14/24,R$9&lt;20/24)</formula>
    </cfRule>
    <cfRule type="expression" dxfId="4935" priority="98">
      <formula>AND(R$9&gt;=8/24,R$9&lt;14/24)</formula>
    </cfRule>
    <cfRule type="expression" dxfId="4934" priority="99">
      <formula>R$9&lt;8/24</formula>
    </cfRule>
  </conditionalFormatting>
  <conditionalFormatting sqref="R40:Z40">
    <cfRule type="expression" dxfId="4933" priority="92">
      <formula>R$9&gt;=20/24</formula>
    </cfRule>
    <cfRule type="expression" dxfId="4932" priority="93">
      <formula>AND(R$9&gt;=14/24,R$9&lt;20/24)</formula>
    </cfRule>
    <cfRule type="expression" dxfId="4931" priority="94">
      <formula>AND(R$9&gt;=8/24,R$9&lt;14/24)</formula>
    </cfRule>
    <cfRule type="expression" dxfId="4930" priority="95">
      <formula>R$9&lt;8/24</formula>
    </cfRule>
  </conditionalFormatting>
  <conditionalFormatting sqref="R41:Z41">
    <cfRule type="expression" dxfId="4929" priority="88">
      <formula>R$9&gt;=20/24</formula>
    </cfRule>
    <cfRule type="expression" dxfId="4928" priority="89">
      <formula>AND(R$9&gt;=14/24,R$9&lt;20/24)</formula>
    </cfRule>
    <cfRule type="expression" dxfId="4927" priority="90">
      <formula>AND(R$9&gt;=8/24,R$9&lt;14/24)</formula>
    </cfRule>
    <cfRule type="expression" dxfId="4926" priority="91">
      <formula>R$9&lt;8/24</formula>
    </cfRule>
  </conditionalFormatting>
  <conditionalFormatting sqref="AA52:AF53 AC54:AF58 AA54:AB54">
    <cfRule type="expression" dxfId="4925" priority="84">
      <formula>AA$9&gt;=20/24</formula>
    </cfRule>
    <cfRule type="expression" dxfId="4924" priority="85">
      <formula>AND(AA$9&gt;=14/24,AA$9&lt;20/24)</formula>
    </cfRule>
    <cfRule type="expression" dxfId="4923" priority="86">
      <formula>AND(AA$9&gt;=8/24,AA$9&lt;14/24)</formula>
    </cfRule>
    <cfRule type="expression" dxfId="4922" priority="87">
      <formula>AA$9&lt;8/24</formula>
    </cfRule>
  </conditionalFormatting>
  <conditionalFormatting sqref="AA83:AF86">
    <cfRule type="expression" dxfId="4921" priority="80">
      <formula>AA$9&gt;=20/24</formula>
    </cfRule>
    <cfRule type="expression" dxfId="4920" priority="81">
      <formula>AND(AA$9&gt;=14/24,AA$9&lt;20/24)</formula>
    </cfRule>
    <cfRule type="expression" dxfId="4919" priority="82">
      <formula>AND(AA$9&gt;=8/24,AA$9&lt;14/24)</formula>
    </cfRule>
    <cfRule type="expression" dxfId="4918" priority="83">
      <formula>AA$9&lt;8/24</formula>
    </cfRule>
  </conditionalFormatting>
  <conditionalFormatting sqref="C58 F53:G58">
    <cfRule type="expression" dxfId="4917" priority="76">
      <formula>C$9&gt;=20/24</formula>
    </cfRule>
    <cfRule type="expression" dxfId="4916" priority="77">
      <formula>AND(C$9&gt;=14/24,C$9&lt;20/24)</formula>
    </cfRule>
    <cfRule type="expression" dxfId="4915" priority="78">
      <formula>AND(C$9&gt;=8/24,C$9&lt;14/24)</formula>
    </cfRule>
    <cfRule type="expression" dxfId="4914" priority="79">
      <formula>C$9&lt;8/24</formula>
    </cfRule>
  </conditionalFormatting>
  <conditionalFormatting sqref="B83:K86">
    <cfRule type="expression" dxfId="4913" priority="72">
      <formula>B$9&gt;=20/24</formula>
    </cfRule>
    <cfRule type="expression" dxfId="4912" priority="73">
      <formula>AND(B$9&gt;=14/24,B$9&lt;20/24)</formula>
    </cfRule>
    <cfRule type="expression" dxfId="4911" priority="74">
      <formula>AND(B$9&gt;=8/24,B$9&lt;14/24)</formula>
    </cfRule>
    <cfRule type="expression" dxfId="4910" priority="75">
      <formula>B$9&lt;8/24</formula>
    </cfRule>
  </conditionalFormatting>
  <conditionalFormatting sqref="L83:Q86">
    <cfRule type="expression" dxfId="4909" priority="68">
      <formula>L$9&gt;=20/24</formula>
    </cfRule>
    <cfRule type="expression" dxfId="4908" priority="69">
      <formula>AND(L$9&gt;=14/24,L$9&lt;20/24)</formula>
    </cfRule>
    <cfRule type="expression" dxfId="4907" priority="70">
      <formula>AND(L$9&gt;=8/24,L$9&lt;14/24)</formula>
    </cfRule>
    <cfRule type="expression" dxfId="4906" priority="71">
      <formula>L$9&lt;8/24</formula>
    </cfRule>
  </conditionalFormatting>
  <conditionalFormatting sqref="R83:Z86">
    <cfRule type="expression" dxfId="4905" priority="64">
      <formula>R$9&gt;=20/24</formula>
    </cfRule>
    <cfRule type="expression" dxfId="4904" priority="65">
      <formula>AND(R$9&gt;=14/24,R$9&lt;20/24)</formula>
    </cfRule>
    <cfRule type="expression" dxfId="4903" priority="66">
      <formula>AND(R$9&gt;=8/24,R$9&lt;14/24)</formula>
    </cfRule>
    <cfRule type="expression" dxfId="4902" priority="67">
      <formula>R$9&lt;8/24</formula>
    </cfRule>
  </conditionalFormatting>
  <conditionalFormatting sqref="AG42 B11:AF47">
    <cfRule type="expression" dxfId="4901" priority="63">
      <formula>B11&gt;$AG11</formula>
    </cfRule>
  </conditionalFormatting>
  <conditionalFormatting sqref="T192:AX192">
    <cfRule type="expression" dxfId="4900" priority="59">
      <formula>T$9&gt;=20/24</formula>
    </cfRule>
    <cfRule type="expression" dxfId="4899" priority="60">
      <formula>AND(T$9&gt;=14/24,T$9&lt;20/24)</formula>
    </cfRule>
    <cfRule type="expression" dxfId="4898" priority="61">
      <formula>AND(T$9&gt;=8/24,T$9&lt;14/24)</formula>
    </cfRule>
    <cfRule type="expression" dxfId="4897" priority="62">
      <formula>T$9&lt;8/24</formula>
    </cfRule>
  </conditionalFormatting>
  <conditionalFormatting sqref="A11:A86 A88:A180">
    <cfRule type="expression" dxfId="4896" priority="58">
      <formula>$AH11=0</formula>
    </cfRule>
  </conditionalFormatting>
  <conditionalFormatting sqref="AA87:AF87">
    <cfRule type="expression" dxfId="4895" priority="54">
      <formula>AA$9&gt;=20/24</formula>
    </cfRule>
    <cfRule type="expression" dxfId="4894" priority="55">
      <formula>AND(AA$9&gt;=14/24,AA$9&lt;20/24)</formula>
    </cfRule>
    <cfRule type="expression" dxfId="4893" priority="56">
      <formula>AND(AA$9&gt;=8/24,AA$9&lt;14/24)</formula>
    </cfRule>
    <cfRule type="expression" dxfId="4892" priority="57">
      <formula>AA$9&lt;8/24</formula>
    </cfRule>
  </conditionalFormatting>
  <conditionalFormatting sqref="B87:K87">
    <cfRule type="expression" dxfId="4891" priority="50">
      <formula>B$9&gt;=20/24</formula>
    </cfRule>
    <cfRule type="expression" dxfId="4890" priority="51">
      <formula>AND(B$9&gt;=14/24,B$9&lt;20/24)</formula>
    </cfRule>
    <cfRule type="expression" dxfId="4889" priority="52">
      <formula>AND(B$9&gt;=8/24,B$9&lt;14/24)</formula>
    </cfRule>
    <cfRule type="expression" dxfId="4888" priority="53">
      <formula>B$9&lt;8/24</formula>
    </cfRule>
  </conditionalFormatting>
  <conditionalFormatting sqref="L87:Q87">
    <cfRule type="expression" dxfId="4887" priority="46">
      <formula>L$9&gt;=20/24</formula>
    </cfRule>
    <cfRule type="expression" dxfId="4886" priority="47">
      <formula>AND(L$9&gt;=14/24,L$9&lt;20/24)</formula>
    </cfRule>
    <cfRule type="expression" dxfId="4885" priority="48">
      <formula>AND(L$9&gt;=8/24,L$9&lt;14/24)</formula>
    </cfRule>
    <cfRule type="expression" dxfId="4884" priority="49">
      <formula>L$9&lt;8/24</formula>
    </cfRule>
  </conditionalFormatting>
  <conditionalFormatting sqref="R87:Z87">
    <cfRule type="expression" dxfId="4883" priority="42">
      <formula>R$9&gt;=20/24</formula>
    </cfRule>
    <cfRule type="expression" dxfId="4882" priority="43">
      <formula>AND(R$9&gt;=14/24,R$9&lt;20/24)</formula>
    </cfRule>
    <cfRule type="expression" dxfId="4881" priority="44">
      <formula>AND(R$9&gt;=8/24,R$9&lt;14/24)</formula>
    </cfRule>
    <cfRule type="expression" dxfId="4880" priority="45">
      <formula>R$9&lt;8/24</formula>
    </cfRule>
  </conditionalFormatting>
  <conditionalFormatting sqref="A87">
    <cfRule type="expression" dxfId="4879" priority="41">
      <formula>$AH87=0</formula>
    </cfRule>
  </conditionalFormatting>
  <conditionalFormatting sqref="B28:AF28">
    <cfRule type="expression" dxfId="4878" priority="37">
      <formula>B$9&gt;=20/24</formula>
    </cfRule>
    <cfRule type="expression" dxfId="4877" priority="38">
      <formula>AND(B$9&gt;=14/24,B$9&lt;20/24)</formula>
    </cfRule>
    <cfRule type="expression" dxfId="4876" priority="39">
      <formula>AND(B$9&gt;=8/24,B$9&lt;14/24)</formula>
    </cfRule>
    <cfRule type="expression" dxfId="4875" priority="40">
      <formula>B$9&lt;8/24</formula>
    </cfRule>
  </conditionalFormatting>
  <conditionalFormatting sqref="R28:AA28">
    <cfRule type="expression" dxfId="4874" priority="33">
      <formula>R$9&gt;=20/24</formula>
    </cfRule>
    <cfRule type="expression" dxfId="4873" priority="34">
      <formula>AND(R$9&gt;=14/24,R$9&lt;20/24)</formula>
    </cfRule>
    <cfRule type="expression" dxfId="4872" priority="35">
      <formula>AND(R$9&gt;=8/24,R$9&lt;14/24)</formula>
    </cfRule>
    <cfRule type="expression" dxfId="4871" priority="36">
      <formula>R$9&lt;8/24</formula>
    </cfRule>
  </conditionalFormatting>
  <conditionalFormatting sqref="D52:D58">
    <cfRule type="expression" dxfId="4870" priority="29">
      <formula>D$9&gt;=20/24</formula>
    </cfRule>
    <cfRule type="expression" dxfId="4869" priority="30">
      <formula>AND(D$9&gt;=14/24,D$9&lt;20/24)</formula>
    </cfRule>
    <cfRule type="expression" dxfId="4868" priority="31">
      <formula>AND(D$9&gt;=8/24,D$9&lt;14/24)</formula>
    </cfRule>
    <cfRule type="expression" dxfId="4867" priority="32">
      <formula>D$9&lt;8/24</formula>
    </cfRule>
  </conditionalFormatting>
  <conditionalFormatting sqref="E52:E58">
    <cfRule type="expression" dxfId="4866" priority="25">
      <formula>E$9&gt;=20/24</formula>
    </cfRule>
    <cfRule type="expression" dxfId="4865" priority="26">
      <formula>AND(E$9&gt;=14/24,E$9&lt;20/24)</formula>
    </cfRule>
    <cfRule type="expression" dxfId="4864" priority="27">
      <formula>AND(E$9&gt;=8/24,E$9&lt;14/24)</formula>
    </cfRule>
    <cfRule type="expression" dxfId="4863" priority="28">
      <formula>E$9&lt;8/24</formula>
    </cfRule>
  </conditionalFormatting>
  <conditionalFormatting sqref="H51:J52">
    <cfRule type="expression" dxfId="4862" priority="21">
      <formula>H$9&gt;=20/24</formula>
    </cfRule>
    <cfRule type="expression" dxfId="4861" priority="22">
      <formula>AND(H$9&gt;=14/24,H$9&lt;20/24)</formula>
    </cfRule>
    <cfRule type="expression" dxfId="4860" priority="23">
      <formula>AND(H$9&gt;=8/24,H$9&lt;14/24)</formula>
    </cfRule>
    <cfRule type="expression" dxfId="4859" priority="24">
      <formula>H$9&lt;8/24</formula>
    </cfRule>
  </conditionalFormatting>
  <conditionalFormatting sqref="H53:J58">
    <cfRule type="expression" dxfId="4858" priority="17">
      <formula>H$9&gt;=20/24</formula>
    </cfRule>
    <cfRule type="expression" dxfId="4857" priority="18">
      <formula>AND(H$9&gt;=14/24,H$9&lt;20/24)</formula>
    </cfRule>
    <cfRule type="expression" dxfId="4856" priority="19">
      <formula>AND(H$9&gt;=8/24,H$9&lt;14/24)</formula>
    </cfRule>
    <cfRule type="expression" dxfId="4855" priority="20">
      <formula>H$9&lt;8/24</formula>
    </cfRule>
  </conditionalFormatting>
  <conditionalFormatting sqref="K51:K52">
    <cfRule type="expression" dxfId="4854" priority="13">
      <formula>K$9&gt;=20/24</formula>
    </cfRule>
    <cfRule type="expression" dxfId="4853" priority="14">
      <formula>AND(K$9&gt;=14/24,K$9&lt;20/24)</formula>
    </cfRule>
    <cfRule type="expression" dxfId="4852" priority="15">
      <formula>AND(K$9&gt;=8/24,K$9&lt;14/24)</formula>
    </cfRule>
    <cfRule type="expression" dxfId="4851" priority="16">
      <formula>K$9&lt;8/24</formula>
    </cfRule>
  </conditionalFormatting>
  <conditionalFormatting sqref="K53:K58">
    <cfRule type="expression" dxfId="4850" priority="9">
      <formula>K$9&gt;=20/24</formula>
    </cfRule>
    <cfRule type="expression" dxfId="4849" priority="10">
      <formula>AND(K$9&gt;=14/24,K$9&lt;20/24)</formula>
    </cfRule>
    <cfRule type="expression" dxfId="4848" priority="11">
      <formula>AND(K$9&gt;=8/24,K$9&lt;14/24)</formula>
    </cfRule>
    <cfRule type="expression" dxfId="4847" priority="12">
      <formula>K$9&lt;8/24</formula>
    </cfRule>
  </conditionalFormatting>
  <conditionalFormatting sqref="L52:Z52">
    <cfRule type="expression" dxfId="4846" priority="5">
      <formula>L$9&gt;=20/24</formula>
    </cfRule>
    <cfRule type="expression" dxfId="4845" priority="6">
      <formula>AND(L$9&gt;=14/24,L$9&lt;20/24)</formula>
    </cfRule>
    <cfRule type="expression" dxfId="4844" priority="7">
      <formula>AND(L$9&gt;=8/24,L$9&lt;14/24)</formula>
    </cfRule>
    <cfRule type="expression" dxfId="4843" priority="8">
      <formula>L$9&lt;8/24</formula>
    </cfRule>
  </conditionalFormatting>
  <conditionalFormatting sqref="L53:Z58 AA55:AB58">
    <cfRule type="expression" dxfId="4842" priority="1">
      <formula>L$9&gt;=20/24</formula>
    </cfRule>
    <cfRule type="expression" dxfId="4841" priority="2">
      <formula>AND(L$9&gt;=14/24,L$9&lt;20/24)</formula>
    </cfRule>
    <cfRule type="expression" dxfId="4840" priority="3">
      <formula>AND(L$9&gt;=8/24,L$9&lt;14/24)</formula>
    </cfRule>
    <cfRule type="expression" dxfId="4839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H23" sqref="H23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7</v>
      </c>
      <c r="D4" s="324">
        <f ca="1">IFERROR(DATE(2021,5,14)+C4,"")</f>
        <v>44337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31</v>
      </c>
      <c r="C5" s="32">
        <f t="shared" ref="C5:AF5" si="0">C59</f>
        <v>-3</v>
      </c>
      <c r="D5" s="32">
        <f t="shared" si="0"/>
        <v>-5</v>
      </c>
      <c r="E5" s="32">
        <f t="shared" si="0"/>
        <v>-6</v>
      </c>
      <c r="F5" s="32">
        <f t="shared" si="0"/>
        <v>26</v>
      </c>
      <c r="G5" s="32">
        <f t="shared" si="0"/>
        <v>93</v>
      </c>
      <c r="H5" s="32">
        <f t="shared" si="0"/>
        <v>101</v>
      </c>
      <c r="I5" s="32">
        <f t="shared" si="0"/>
        <v>145.4</v>
      </c>
      <c r="J5" s="32">
        <f t="shared" si="0"/>
        <v>174.5</v>
      </c>
      <c r="K5" s="32">
        <f t="shared" si="0"/>
        <v>168.9</v>
      </c>
      <c r="L5" s="32">
        <f t="shared" si="0"/>
        <v>204.89999999999998</v>
      </c>
      <c r="M5" s="32">
        <f t="shared" si="0"/>
        <v>245.61</v>
      </c>
      <c r="N5" s="32">
        <f t="shared" si="0"/>
        <v>248.93</v>
      </c>
      <c r="O5" s="32">
        <f t="shared" si="0"/>
        <v>241</v>
      </c>
      <c r="P5" s="32">
        <f t="shared" si="0"/>
        <v>297.33</v>
      </c>
      <c r="Q5" s="32">
        <f t="shared" si="0"/>
        <v>305.74</v>
      </c>
      <c r="R5" s="32">
        <f t="shared" si="0"/>
        <v>310</v>
      </c>
      <c r="S5" s="32">
        <f t="shared" si="0"/>
        <v>333.43</v>
      </c>
      <c r="T5" s="32">
        <f t="shared" si="0"/>
        <v>284</v>
      </c>
      <c r="U5" s="32">
        <f t="shared" si="0"/>
        <v>176.16</v>
      </c>
      <c r="V5" s="32">
        <f t="shared" si="0"/>
        <v>297</v>
      </c>
      <c r="W5" s="32">
        <f t="shared" si="0"/>
        <v>0</v>
      </c>
      <c r="X5" s="32">
        <f t="shared" si="0"/>
        <v>0</v>
      </c>
      <c r="Y5" s="32">
        <f t="shared" si="0"/>
        <v>357.22</v>
      </c>
      <c r="Z5" s="32">
        <f t="shared" si="0"/>
        <v>496</v>
      </c>
      <c r="AA5" s="32">
        <f t="shared" si="0"/>
        <v>479</v>
      </c>
      <c r="AB5" s="32">
        <f t="shared" si="0"/>
        <v>494</v>
      </c>
      <c r="AC5" s="32">
        <f t="shared" si="0"/>
        <v>455.3</v>
      </c>
      <c r="AD5" s="32">
        <f t="shared" si="0"/>
        <v>372</v>
      </c>
      <c r="AE5" s="32">
        <f t="shared" si="0"/>
        <v>324</v>
      </c>
      <c r="AF5" s="32">
        <f t="shared" si="0"/>
        <v>323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853MW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Load=602</v>
      </c>
      <c r="B7" s="36">
        <f t="shared" ref="B7:AF7" si="1">B65</f>
        <v>656.6400000000001</v>
      </c>
      <c r="C7" s="36">
        <f t="shared" si="1"/>
        <v>616.94000000000005</v>
      </c>
      <c r="D7" s="36">
        <f t="shared" si="1"/>
        <v>601.63999999999987</v>
      </c>
      <c r="E7" s="36">
        <f t="shared" si="1"/>
        <v>602.23</v>
      </c>
      <c r="F7" s="36">
        <f t="shared" si="1"/>
        <v>623.04</v>
      </c>
      <c r="G7" s="36">
        <f t="shared" si="1"/>
        <v>701.54</v>
      </c>
      <c r="H7" s="36">
        <f t="shared" si="1"/>
        <v>713.94</v>
      </c>
      <c r="I7" s="36">
        <f t="shared" si="1"/>
        <v>762.76</v>
      </c>
      <c r="J7" s="36">
        <f t="shared" si="1"/>
        <v>788.62</v>
      </c>
      <c r="K7" s="36">
        <f t="shared" si="1"/>
        <v>782.43999999999994</v>
      </c>
      <c r="L7" s="36">
        <f>L65</f>
        <v>821.24</v>
      </c>
      <c r="M7" s="36">
        <f t="shared" si="1"/>
        <v>853.15000000000009</v>
      </c>
      <c r="N7" s="36">
        <f t="shared" si="1"/>
        <v>845.17</v>
      </c>
      <c r="O7" s="36">
        <f t="shared" si="1"/>
        <v>844.13999999999987</v>
      </c>
      <c r="P7" s="36">
        <f t="shared" si="1"/>
        <v>895.67000000000007</v>
      </c>
      <c r="Q7" s="36">
        <f t="shared" si="1"/>
        <v>897.07999999999993</v>
      </c>
      <c r="R7" s="36">
        <f t="shared" si="1"/>
        <v>913.54</v>
      </c>
      <c r="S7" s="36">
        <f t="shared" si="1"/>
        <v>937.2399999999999</v>
      </c>
      <c r="T7" s="36">
        <f t="shared" si="1"/>
        <v>887.74</v>
      </c>
      <c r="U7" s="36">
        <f t="shared" si="1"/>
        <v>782.6</v>
      </c>
      <c r="V7" s="36">
        <f t="shared" si="1"/>
        <v>902.63999999999987</v>
      </c>
      <c r="W7" s="36">
        <f t="shared" si="1"/>
        <v>605.33999999999992</v>
      </c>
      <c r="X7" s="36">
        <f t="shared" si="1"/>
        <v>612.43999999999994</v>
      </c>
      <c r="Y7" s="36">
        <f t="shared" si="1"/>
        <v>984.26</v>
      </c>
      <c r="Z7" s="36">
        <f t="shared" si="1"/>
        <v>1179.8400000000001</v>
      </c>
      <c r="AA7" s="36">
        <f t="shared" si="1"/>
        <v>1168.7399999999998</v>
      </c>
      <c r="AB7" s="36">
        <f t="shared" si="1"/>
        <v>1129.24</v>
      </c>
      <c r="AC7" s="36">
        <f t="shared" si="1"/>
        <v>1091.3399999999999</v>
      </c>
      <c r="AD7" s="36">
        <f t="shared" si="1"/>
        <v>1004.44</v>
      </c>
      <c r="AE7" s="36">
        <f t="shared" si="1"/>
        <v>936.14</v>
      </c>
      <c r="AF7" s="36">
        <f t="shared" si="1"/>
        <v>902.34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39.299999999999997</v>
      </c>
      <c r="C11" s="48">
        <v>38</v>
      </c>
      <c r="D11" s="48">
        <v>37.4</v>
      </c>
      <c r="E11" s="48">
        <v>37.99</v>
      </c>
      <c r="F11" s="48">
        <v>37.200000000000003</v>
      </c>
      <c r="G11" s="48">
        <v>36.5</v>
      </c>
      <c r="H11" s="48">
        <v>37</v>
      </c>
      <c r="I11" s="48">
        <v>36.799999999999997</v>
      </c>
      <c r="J11" s="48">
        <v>37</v>
      </c>
      <c r="K11" s="48">
        <v>36.299999999999997</v>
      </c>
      <c r="L11" s="49">
        <v>35.299999999999997</v>
      </c>
      <c r="M11" s="49">
        <v>37.299999999999997</v>
      </c>
      <c r="N11" s="49">
        <v>37.299999999999997</v>
      </c>
      <c r="O11" s="49">
        <v>37.299999999999997</v>
      </c>
      <c r="P11" s="49">
        <v>34.299999999999997</v>
      </c>
      <c r="Q11" s="49">
        <v>37.299999999999997</v>
      </c>
      <c r="R11" s="50">
        <v>32.200000000000003</v>
      </c>
      <c r="S11" s="50">
        <v>33.4</v>
      </c>
      <c r="T11" s="50">
        <v>31.1</v>
      </c>
      <c r="U11" s="50">
        <v>32.4</v>
      </c>
      <c r="V11" s="50">
        <v>31.7</v>
      </c>
      <c r="W11" s="50">
        <v>30.9</v>
      </c>
      <c r="X11" s="50">
        <v>31.4</v>
      </c>
      <c r="Y11" s="50">
        <v>27.9</v>
      </c>
      <c r="Z11" s="50">
        <v>25.6</v>
      </c>
      <c r="AA11" s="50">
        <v>29.4</v>
      </c>
      <c r="AB11" s="50">
        <v>29.4</v>
      </c>
      <c r="AC11" s="50">
        <v>29.4</v>
      </c>
      <c r="AD11" s="50">
        <v>29.6</v>
      </c>
      <c r="AE11" s="50">
        <v>29.4</v>
      </c>
      <c r="AF11" s="50">
        <v>27.6</v>
      </c>
      <c r="AG11" s="51">
        <v>60</v>
      </c>
      <c r="AH11" s="52">
        <f>MAX(B11:AF11)</f>
        <v>39.299999999999997</v>
      </c>
      <c r="AI11" s="53">
        <f>MIN(B11:AF11)</f>
        <v>25.6</v>
      </c>
      <c r="AJ11" s="185"/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50.5</v>
      </c>
      <c r="C12" s="56">
        <v>50.5</v>
      </c>
      <c r="D12" s="56">
        <v>50.3</v>
      </c>
      <c r="E12" s="56">
        <v>50.7</v>
      </c>
      <c r="F12" s="56">
        <v>50.4</v>
      </c>
      <c r="G12" s="56">
        <v>50.2</v>
      </c>
      <c r="H12" s="56">
        <v>50.2</v>
      </c>
      <c r="I12" s="56">
        <v>50.3</v>
      </c>
      <c r="J12" s="56">
        <v>50.2</v>
      </c>
      <c r="K12" s="56">
        <v>50.2</v>
      </c>
      <c r="L12" s="49">
        <v>50.7</v>
      </c>
      <c r="M12" s="49">
        <v>50.5</v>
      </c>
      <c r="N12" s="49">
        <v>50.5</v>
      </c>
      <c r="O12" s="49">
        <v>50.6</v>
      </c>
      <c r="P12" s="49">
        <v>50.7</v>
      </c>
      <c r="Q12" s="49">
        <v>50.8</v>
      </c>
      <c r="R12" s="49">
        <v>50.7</v>
      </c>
      <c r="S12" s="49">
        <v>50.7</v>
      </c>
      <c r="T12" s="49">
        <v>50.4</v>
      </c>
      <c r="U12" s="49">
        <v>50.2</v>
      </c>
      <c r="V12" s="49">
        <v>50.7</v>
      </c>
      <c r="W12" s="49">
        <v>50.4</v>
      </c>
      <c r="X12" s="49">
        <v>50.3</v>
      </c>
      <c r="Y12" s="49">
        <v>50.4</v>
      </c>
      <c r="Z12" s="49">
        <v>50.2</v>
      </c>
      <c r="AA12" s="49">
        <v>50.7</v>
      </c>
      <c r="AB12" s="49">
        <v>50.7</v>
      </c>
      <c r="AC12" s="49">
        <v>50.7</v>
      </c>
      <c r="AD12" s="49">
        <v>50.7</v>
      </c>
      <c r="AE12" s="49">
        <v>50.7</v>
      </c>
      <c r="AF12" s="49">
        <v>50.6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50.2</v>
      </c>
      <c r="AJ12" s="185"/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34.6</v>
      </c>
      <c r="C13" s="56">
        <v>32.6</v>
      </c>
      <c r="D13" s="56">
        <v>31.5</v>
      </c>
      <c r="E13" s="56">
        <v>31.2</v>
      </c>
      <c r="F13" s="56">
        <v>28.2</v>
      </c>
      <c r="G13" s="56">
        <v>26.5</v>
      </c>
      <c r="H13" s="56">
        <v>26.2</v>
      </c>
      <c r="I13" s="56">
        <v>26.6</v>
      </c>
      <c r="J13" s="56">
        <v>26.68</v>
      </c>
      <c r="K13" s="56">
        <v>26.2</v>
      </c>
      <c r="L13" s="49">
        <v>25.2</v>
      </c>
      <c r="M13" s="49">
        <v>24.5</v>
      </c>
      <c r="N13" s="49">
        <v>24.2</v>
      </c>
      <c r="O13" s="49">
        <v>23.6</v>
      </c>
      <c r="P13" s="49">
        <v>23.5</v>
      </c>
      <c r="Q13" s="49">
        <v>23.9</v>
      </c>
      <c r="R13" s="49">
        <v>23.3</v>
      </c>
      <c r="S13" s="49">
        <v>23.3</v>
      </c>
      <c r="T13" s="49">
        <v>24</v>
      </c>
      <c r="U13" s="49">
        <v>23.9</v>
      </c>
      <c r="V13" s="49">
        <v>23.7</v>
      </c>
      <c r="W13" s="49">
        <v>24.2</v>
      </c>
      <c r="X13" s="49">
        <v>30.8</v>
      </c>
      <c r="Y13" s="49">
        <v>27</v>
      </c>
      <c r="Z13" s="49">
        <v>26.9</v>
      </c>
      <c r="AA13" s="49">
        <v>29.8</v>
      </c>
      <c r="AB13" s="49">
        <v>29.8</v>
      </c>
      <c r="AC13" s="49">
        <v>29.8</v>
      </c>
      <c r="AD13" s="49">
        <v>28.8</v>
      </c>
      <c r="AE13" s="49">
        <v>27.7</v>
      </c>
      <c r="AF13" s="49">
        <v>27.1</v>
      </c>
      <c r="AG13" s="59">
        <v>45</v>
      </c>
      <c r="AH13" s="52">
        <f t="shared" si="2"/>
        <v>34.6</v>
      </c>
      <c r="AI13" s="53">
        <f t="shared" si="3"/>
        <v>23.3</v>
      </c>
      <c r="AJ13" s="185"/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56">
        <v>16</v>
      </c>
      <c r="M14" s="56">
        <v>16</v>
      </c>
      <c r="N14" s="56">
        <v>16</v>
      </c>
      <c r="O14" s="56">
        <v>16</v>
      </c>
      <c r="P14" s="56">
        <v>16</v>
      </c>
      <c r="Q14" s="56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49">
        <v>16</v>
      </c>
      <c r="AB14" s="49">
        <v>16</v>
      </c>
      <c r="AC14" s="49">
        <v>16</v>
      </c>
      <c r="AD14" s="49">
        <v>16</v>
      </c>
      <c r="AE14" s="49">
        <v>16</v>
      </c>
      <c r="AF14" s="49">
        <v>16</v>
      </c>
      <c r="AG14" s="59">
        <v>25</v>
      </c>
      <c r="AH14" s="52">
        <f t="shared" si="2"/>
        <v>16</v>
      </c>
      <c r="AI14" s="53">
        <f t="shared" si="3"/>
        <v>16</v>
      </c>
      <c r="AJ14" s="185"/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23.7</v>
      </c>
      <c r="C15" s="56">
        <v>22.5</v>
      </c>
      <c r="D15" s="56">
        <v>20.2</v>
      </c>
      <c r="E15" s="56">
        <v>20.2</v>
      </c>
      <c r="F15" s="56">
        <v>16.5</v>
      </c>
      <c r="G15" s="56">
        <v>19</v>
      </c>
      <c r="H15" s="56">
        <v>16.399999999999999</v>
      </c>
      <c r="I15" s="56">
        <v>19.899999999999999</v>
      </c>
      <c r="J15" s="56">
        <v>17.8</v>
      </c>
      <c r="K15" s="56">
        <v>17.899999999999999</v>
      </c>
      <c r="L15" s="49">
        <v>16.899999999999999</v>
      </c>
      <c r="M15" s="49">
        <v>13.4</v>
      </c>
      <c r="N15" s="49">
        <v>16.8</v>
      </c>
      <c r="O15" s="49">
        <v>16.3</v>
      </c>
      <c r="P15" s="49">
        <v>13.4</v>
      </c>
      <c r="Q15" s="49">
        <v>13.5</v>
      </c>
      <c r="R15" s="49">
        <v>13.5</v>
      </c>
      <c r="S15" s="49">
        <v>13.6</v>
      </c>
      <c r="T15" s="49">
        <v>13.5</v>
      </c>
      <c r="U15" s="49">
        <v>13.6</v>
      </c>
      <c r="V15" s="49">
        <v>13.6</v>
      </c>
      <c r="W15" s="49">
        <v>13.6</v>
      </c>
      <c r="X15" s="49">
        <v>13.5</v>
      </c>
      <c r="Y15" s="49">
        <v>13.6</v>
      </c>
      <c r="Z15" s="49">
        <v>13.6</v>
      </c>
      <c r="AA15" s="49">
        <v>13.6</v>
      </c>
      <c r="AB15" s="49">
        <v>13.6</v>
      </c>
      <c r="AC15" s="49">
        <v>13.6</v>
      </c>
      <c r="AD15" s="49">
        <v>13.6</v>
      </c>
      <c r="AE15" s="49">
        <v>16.8</v>
      </c>
      <c r="AF15" s="49">
        <v>15.6</v>
      </c>
      <c r="AG15" s="59">
        <v>25</v>
      </c>
      <c r="AH15" s="52">
        <f t="shared" si="2"/>
        <v>23.7</v>
      </c>
      <c r="AI15" s="53">
        <f t="shared" si="3"/>
        <v>13.4</v>
      </c>
      <c r="AJ15" s="185"/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56">
        <v>6.2</v>
      </c>
      <c r="N16" s="56">
        <v>6.2</v>
      </c>
      <c r="O16" s="56">
        <v>6.2</v>
      </c>
      <c r="P16" s="56">
        <v>6.2</v>
      </c>
      <c r="Q16" s="56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J16" s="185"/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</v>
      </c>
      <c r="C17" s="56">
        <v>22</v>
      </c>
      <c r="D17" s="56">
        <v>22</v>
      </c>
      <c r="E17" s="56">
        <v>22</v>
      </c>
      <c r="F17" s="56">
        <v>22</v>
      </c>
      <c r="G17" s="56">
        <v>22</v>
      </c>
      <c r="H17" s="56">
        <v>22</v>
      </c>
      <c r="I17" s="56">
        <v>22</v>
      </c>
      <c r="J17" s="56">
        <v>22</v>
      </c>
      <c r="K17" s="56">
        <v>22</v>
      </c>
      <c r="L17" s="56">
        <v>22</v>
      </c>
      <c r="M17" s="49">
        <v>22.6</v>
      </c>
      <c r="N17" s="49">
        <v>22.3</v>
      </c>
      <c r="O17" s="49">
        <v>22.3</v>
      </c>
      <c r="P17" s="49">
        <v>21.9</v>
      </c>
      <c r="Q17" s="49">
        <v>21.8</v>
      </c>
      <c r="R17" s="49">
        <v>21.3</v>
      </c>
      <c r="S17" s="49">
        <v>21.3</v>
      </c>
      <c r="T17" s="49">
        <v>21.3</v>
      </c>
      <c r="U17" s="49">
        <v>21.9</v>
      </c>
      <c r="V17" s="49">
        <v>22.2</v>
      </c>
      <c r="W17" s="49">
        <v>22.3</v>
      </c>
      <c r="X17" s="49">
        <v>22.2</v>
      </c>
      <c r="Y17" s="49">
        <v>22.3</v>
      </c>
      <c r="Z17" s="49">
        <v>22</v>
      </c>
      <c r="AA17" s="49">
        <v>22.1</v>
      </c>
      <c r="AB17" s="49">
        <v>22.1</v>
      </c>
      <c r="AC17" s="49">
        <v>22.1</v>
      </c>
      <c r="AD17" s="49">
        <v>22.5</v>
      </c>
      <c r="AE17" s="49">
        <v>22.5</v>
      </c>
      <c r="AF17" s="49">
        <v>22.5</v>
      </c>
      <c r="AG17" s="59">
        <v>22.1</v>
      </c>
      <c r="AH17" s="52">
        <f t="shared" si="2"/>
        <v>22.6</v>
      </c>
      <c r="AI17" s="53">
        <f t="shared" si="3"/>
        <v>21.3</v>
      </c>
      <c r="AJ17" s="185"/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56">
        <v>5</v>
      </c>
      <c r="M18" s="56">
        <v>5</v>
      </c>
      <c r="N18" s="56">
        <v>5</v>
      </c>
      <c r="O18" s="56">
        <v>5</v>
      </c>
      <c r="P18" s="56">
        <v>5</v>
      </c>
      <c r="Q18" s="56">
        <v>5</v>
      </c>
      <c r="R18" s="56">
        <v>5</v>
      </c>
      <c r="S18" s="56">
        <v>5</v>
      </c>
      <c r="T18" s="56">
        <v>5</v>
      </c>
      <c r="U18" s="56">
        <v>5</v>
      </c>
      <c r="V18" s="56">
        <v>5</v>
      </c>
      <c r="W18" s="56">
        <v>5</v>
      </c>
      <c r="X18" s="56">
        <v>5</v>
      </c>
      <c r="Y18" s="56">
        <v>5</v>
      </c>
      <c r="Z18" s="56">
        <v>5</v>
      </c>
      <c r="AA18" s="56">
        <v>5</v>
      </c>
      <c r="AB18" s="56">
        <v>5</v>
      </c>
      <c r="AC18" s="56">
        <v>5</v>
      </c>
      <c r="AD18" s="56">
        <v>5</v>
      </c>
      <c r="AE18" s="56">
        <v>5</v>
      </c>
      <c r="AF18" s="56">
        <v>5</v>
      </c>
      <c r="AG18" s="59">
        <v>22.1</v>
      </c>
      <c r="AH18" s="52">
        <f t="shared" si="2"/>
        <v>5</v>
      </c>
      <c r="AI18" s="53">
        <f t="shared" si="3"/>
        <v>5</v>
      </c>
      <c r="AJ18" s="185"/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14.4</v>
      </c>
      <c r="C19" s="56">
        <v>13.7</v>
      </c>
      <c r="D19" s="56">
        <v>13.7</v>
      </c>
      <c r="E19" s="56">
        <v>13.6</v>
      </c>
      <c r="F19" s="56">
        <v>13.6</v>
      </c>
      <c r="G19" s="56">
        <v>14.5</v>
      </c>
      <c r="H19" s="56">
        <v>14.4</v>
      </c>
      <c r="I19" s="56">
        <v>14.12</v>
      </c>
      <c r="J19" s="56">
        <v>14</v>
      </c>
      <c r="K19" s="56">
        <v>14.2</v>
      </c>
      <c r="L19" s="56">
        <v>11.5</v>
      </c>
      <c r="M19" s="49">
        <v>12.2</v>
      </c>
      <c r="N19" s="49">
        <v>12.2</v>
      </c>
      <c r="O19" s="49">
        <v>12</v>
      </c>
      <c r="P19" s="49">
        <v>11.2</v>
      </c>
      <c r="Q19" s="49">
        <v>10</v>
      </c>
      <c r="R19" s="49">
        <v>10</v>
      </c>
      <c r="S19" s="49">
        <v>9.4</v>
      </c>
      <c r="T19" s="49">
        <v>10.1</v>
      </c>
      <c r="U19" s="49">
        <v>10.7</v>
      </c>
      <c r="V19" s="49">
        <v>11.7</v>
      </c>
      <c r="W19" s="49">
        <v>11.6</v>
      </c>
      <c r="X19" s="49">
        <v>11.5</v>
      </c>
      <c r="Y19" s="49">
        <v>11.4</v>
      </c>
      <c r="Z19" s="49">
        <v>14.2</v>
      </c>
      <c r="AA19" s="49">
        <v>13.5</v>
      </c>
      <c r="AB19" s="49">
        <v>13.5</v>
      </c>
      <c r="AC19" s="49">
        <v>13.5</v>
      </c>
      <c r="AD19" s="49">
        <v>10.8</v>
      </c>
      <c r="AE19" s="49">
        <v>12.6</v>
      </c>
      <c r="AF19" s="49">
        <v>12.5</v>
      </c>
      <c r="AG19" s="59">
        <v>22</v>
      </c>
      <c r="AH19" s="52">
        <f t="shared" si="2"/>
        <v>14.5</v>
      </c>
      <c r="AI19" s="53">
        <f t="shared" si="3"/>
        <v>9.4</v>
      </c>
      <c r="AJ19" s="185"/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56">
        <v>7</v>
      </c>
      <c r="M20" s="56">
        <v>7</v>
      </c>
      <c r="N20" s="56">
        <v>7</v>
      </c>
      <c r="O20" s="56">
        <v>7</v>
      </c>
      <c r="P20" s="56">
        <v>7</v>
      </c>
      <c r="Q20" s="56">
        <v>7</v>
      </c>
      <c r="R20" s="56">
        <v>7</v>
      </c>
      <c r="S20" s="56">
        <v>7</v>
      </c>
      <c r="T20" s="56">
        <v>7</v>
      </c>
      <c r="U20" s="56">
        <v>7</v>
      </c>
      <c r="V20" s="56">
        <v>7</v>
      </c>
      <c r="W20" s="56">
        <v>7</v>
      </c>
      <c r="X20" s="56">
        <v>7</v>
      </c>
      <c r="Y20" s="56">
        <v>7</v>
      </c>
      <c r="Z20" s="56">
        <v>7</v>
      </c>
      <c r="AA20" s="56">
        <v>7</v>
      </c>
      <c r="AB20" s="56">
        <v>7</v>
      </c>
      <c r="AC20" s="56">
        <v>7</v>
      </c>
      <c r="AD20" s="56">
        <v>7</v>
      </c>
      <c r="AE20" s="56">
        <v>7</v>
      </c>
      <c r="AF20" s="56">
        <v>7</v>
      </c>
      <c r="AG20" s="59">
        <v>22</v>
      </c>
      <c r="AH20" s="52">
        <f t="shared" si="2"/>
        <v>7</v>
      </c>
      <c r="AI20" s="53">
        <f t="shared" si="3"/>
        <v>7</v>
      </c>
      <c r="AJ20" s="185"/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56">
        <v>3.5</v>
      </c>
      <c r="M21" s="56">
        <v>3.5</v>
      </c>
      <c r="N21" s="56">
        <v>3.5</v>
      </c>
      <c r="O21" s="56">
        <v>3.5</v>
      </c>
      <c r="P21" s="56">
        <v>3.5</v>
      </c>
      <c r="Q21" s="56">
        <v>3.5</v>
      </c>
      <c r="R21" s="56">
        <v>3.5</v>
      </c>
      <c r="S21" s="56">
        <v>3.5</v>
      </c>
      <c r="T21" s="56">
        <v>3.5</v>
      </c>
      <c r="U21" s="56">
        <v>3.5</v>
      </c>
      <c r="V21" s="56">
        <v>3.5</v>
      </c>
      <c r="W21" s="56">
        <v>3.5</v>
      </c>
      <c r="X21" s="56">
        <v>3.5</v>
      </c>
      <c r="Y21" s="56">
        <v>3.5</v>
      </c>
      <c r="Z21" s="56">
        <v>3.5</v>
      </c>
      <c r="AA21" s="56">
        <v>3.5</v>
      </c>
      <c r="AB21" s="56">
        <v>3.5</v>
      </c>
      <c r="AC21" s="56">
        <v>3.5</v>
      </c>
      <c r="AD21" s="56">
        <v>3.5</v>
      </c>
      <c r="AE21" s="56">
        <v>3.5</v>
      </c>
      <c r="AF21" s="56">
        <v>3.5</v>
      </c>
      <c r="AG21" s="59">
        <v>14.9</v>
      </c>
      <c r="AH21" s="52">
        <f t="shared" si="2"/>
        <v>3.5</v>
      </c>
      <c r="AI21" s="53">
        <f t="shared" si="3"/>
        <v>3.5</v>
      </c>
      <c r="AJ21" s="185"/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J22" s="185"/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J23" s="185"/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3.5</v>
      </c>
      <c r="AA24" s="56">
        <v>3.5</v>
      </c>
      <c r="AB24" s="56">
        <v>3.5</v>
      </c>
      <c r="AC24" s="56">
        <v>3.5</v>
      </c>
      <c r="AD24" s="56">
        <v>3.5</v>
      </c>
      <c r="AE24" s="56">
        <v>3.5</v>
      </c>
      <c r="AF24" s="56">
        <v>3.5</v>
      </c>
      <c r="AG24" s="59">
        <v>12</v>
      </c>
      <c r="AH24" s="52">
        <f t="shared" si="2"/>
        <v>3.5</v>
      </c>
      <c r="AI24" s="53">
        <f t="shared" si="3"/>
        <v>3.5</v>
      </c>
      <c r="AJ24" s="185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85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85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J27" s="185"/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85</v>
      </c>
      <c r="E28" s="56">
        <v>85</v>
      </c>
      <c r="F28" s="56">
        <v>85</v>
      </c>
      <c r="G28" s="56">
        <v>85</v>
      </c>
      <c r="H28" s="56">
        <v>85</v>
      </c>
      <c r="I28" s="56">
        <v>85</v>
      </c>
      <c r="J28" s="56">
        <v>85</v>
      </c>
      <c r="K28" s="56">
        <v>85</v>
      </c>
      <c r="L28" s="56">
        <v>85</v>
      </c>
      <c r="M28" s="56">
        <v>85</v>
      </c>
      <c r="N28" s="56">
        <v>85</v>
      </c>
      <c r="O28" s="56">
        <v>85</v>
      </c>
      <c r="P28" s="56">
        <v>85</v>
      </c>
      <c r="Q28" s="56">
        <v>85</v>
      </c>
      <c r="R28" s="56">
        <v>85</v>
      </c>
      <c r="S28" s="56">
        <v>85</v>
      </c>
      <c r="T28" s="56">
        <v>85</v>
      </c>
      <c r="U28" s="56">
        <v>85</v>
      </c>
      <c r="V28" s="56">
        <v>85</v>
      </c>
      <c r="W28" s="56">
        <v>85</v>
      </c>
      <c r="X28" s="56">
        <v>85</v>
      </c>
      <c r="Y28" s="56">
        <v>85</v>
      </c>
      <c r="Z28" s="56">
        <v>95</v>
      </c>
      <c r="AA28" s="56">
        <v>85</v>
      </c>
      <c r="AB28" s="56">
        <v>85</v>
      </c>
      <c r="AC28" s="56">
        <v>85</v>
      </c>
      <c r="AD28" s="56">
        <v>85</v>
      </c>
      <c r="AE28" s="56">
        <v>85</v>
      </c>
      <c r="AF28" s="56">
        <v>85</v>
      </c>
      <c r="AG28" s="59">
        <v>85</v>
      </c>
      <c r="AH28" s="52">
        <f t="shared" si="2"/>
        <v>95</v>
      </c>
      <c r="AI28" s="53">
        <f t="shared" si="3"/>
        <v>85</v>
      </c>
      <c r="AJ28" s="185"/>
      <c r="AK28" s="54"/>
    </row>
    <row r="29" spans="1:88" ht="15.75" thickBot="1" x14ac:dyDescent="0.3">
      <c r="A29" s="66" t="s">
        <v>36</v>
      </c>
      <c r="B29" s="56">
        <v>58.7</v>
      </c>
      <c r="C29" s="56">
        <v>57</v>
      </c>
      <c r="D29" s="56">
        <v>59.2</v>
      </c>
      <c r="E29" s="56">
        <v>54.2</v>
      </c>
      <c r="F29" s="56">
        <v>52</v>
      </c>
      <c r="G29" s="56">
        <v>51.4</v>
      </c>
      <c r="H29" s="56">
        <v>52</v>
      </c>
      <c r="I29" s="56">
        <v>53.1</v>
      </c>
      <c r="J29" s="56">
        <v>52.7</v>
      </c>
      <c r="K29" s="56">
        <v>51.9</v>
      </c>
      <c r="L29" s="67">
        <v>50.1</v>
      </c>
      <c r="M29" s="67">
        <v>48.3</v>
      </c>
      <c r="N29" s="67">
        <v>47.5</v>
      </c>
      <c r="O29" s="67">
        <v>45.6</v>
      </c>
      <c r="P29" s="67">
        <v>45.6</v>
      </c>
      <c r="Q29" s="67">
        <v>48.5</v>
      </c>
      <c r="R29" s="67">
        <v>46.6</v>
      </c>
      <c r="S29" s="67">
        <v>44.8</v>
      </c>
      <c r="T29" s="67">
        <v>43.6</v>
      </c>
      <c r="U29" s="67">
        <v>43.7</v>
      </c>
      <c r="V29" s="67">
        <v>42.5</v>
      </c>
      <c r="W29" s="67">
        <v>41.7</v>
      </c>
      <c r="X29" s="67">
        <v>41.5</v>
      </c>
      <c r="Y29" s="67">
        <v>39.299999999999997</v>
      </c>
      <c r="Z29" s="67">
        <v>38.200000000000003</v>
      </c>
      <c r="AA29" s="67">
        <v>36.700000000000003</v>
      </c>
      <c r="AB29" s="67">
        <v>37.700000000000003</v>
      </c>
      <c r="AC29" s="67">
        <v>37.6</v>
      </c>
      <c r="AD29" s="67">
        <v>38.9</v>
      </c>
      <c r="AE29" s="56">
        <v>40.5</v>
      </c>
      <c r="AF29" s="56">
        <v>41.9</v>
      </c>
      <c r="AG29" s="59">
        <v>240</v>
      </c>
      <c r="AH29" s="52">
        <f t="shared" si="2"/>
        <v>59.2</v>
      </c>
      <c r="AI29" s="53">
        <f t="shared" si="3"/>
        <v>36.700000000000003</v>
      </c>
      <c r="AJ29" s="185"/>
      <c r="AK29" s="54"/>
    </row>
    <row r="30" spans="1:88" ht="15.75" thickBot="1" x14ac:dyDescent="0.3">
      <c r="A30" s="68" t="s">
        <v>37</v>
      </c>
      <c r="B30" s="69">
        <f>SUM(B11:B28)</f>
        <v>337.7</v>
      </c>
      <c r="C30" s="69">
        <f t="shared" ref="C30:AF30" si="4">SUM(C11:C28)</f>
        <v>332.5</v>
      </c>
      <c r="D30" s="69">
        <f t="shared" si="4"/>
        <v>318.29999999999995</v>
      </c>
      <c r="E30" s="69">
        <f t="shared" si="4"/>
        <v>318.89</v>
      </c>
      <c r="F30" s="69">
        <f t="shared" si="4"/>
        <v>311.10000000000002</v>
      </c>
      <c r="G30" s="69">
        <f t="shared" si="4"/>
        <v>311.89999999999998</v>
      </c>
      <c r="H30" s="69">
        <f t="shared" si="4"/>
        <v>309.39999999999998</v>
      </c>
      <c r="I30" s="69">
        <f t="shared" si="4"/>
        <v>312.91999999999996</v>
      </c>
      <c r="J30" s="69">
        <f t="shared" si="4"/>
        <v>310.88</v>
      </c>
      <c r="K30" s="69">
        <f t="shared" si="4"/>
        <v>310</v>
      </c>
      <c r="L30" s="69">
        <f t="shared" si="4"/>
        <v>304.79999999999995</v>
      </c>
      <c r="M30" s="69">
        <f t="shared" si="4"/>
        <v>303.7</v>
      </c>
      <c r="N30" s="69">
        <f t="shared" si="4"/>
        <v>306.5</v>
      </c>
      <c r="O30" s="69">
        <f t="shared" si="4"/>
        <v>305.3</v>
      </c>
      <c r="P30" s="69">
        <f t="shared" si="4"/>
        <v>298.2</v>
      </c>
      <c r="Q30" s="69">
        <f t="shared" si="4"/>
        <v>300.5</v>
      </c>
      <c r="R30" s="69">
        <f t="shared" si="4"/>
        <v>294.2</v>
      </c>
      <c r="S30" s="69">
        <f t="shared" si="4"/>
        <v>294.89999999999998</v>
      </c>
      <c r="T30" s="69">
        <f t="shared" si="4"/>
        <v>293.60000000000002</v>
      </c>
      <c r="U30" s="69">
        <f t="shared" si="4"/>
        <v>295.89999999999998</v>
      </c>
      <c r="V30" s="69">
        <f>SUM(V11:V28)</f>
        <v>296.79999999999995</v>
      </c>
      <c r="W30" s="69">
        <f t="shared" si="4"/>
        <v>296.2</v>
      </c>
      <c r="X30" s="69">
        <f t="shared" si="4"/>
        <v>302.89999999999998</v>
      </c>
      <c r="Y30" s="69">
        <f t="shared" si="4"/>
        <v>295.8</v>
      </c>
      <c r="Z30" s="69">
        <v>305.7</v>
      </c>
      <c r="AA30" s="69">
        <f t="shared" si="4"/>
        <v>302.29999999999995</v>
      </c>
      <c r="AB30" s="69">
        <f t="shared" si="4"/>
        <v>302.29999999999995</v>
      </c>
      <c r="AC30" s="69">
        <f t="shared" si="4"/>
        <v>302.29999999999995</v>
      </c>
      <c r="AD30" s="69">
        <f t="shared" si="4"/>
        <v>299.20000000000005</v>
      </c>
      <c r="AE30" s="69">
        <f t="shared" si="4"/>
        <v>302.89999999999998</v>
      </c>
      <c r="AF30" s="69">
        <f t="shared" si="4"/>
        <v>299.10000000000002</v>
      </c>
      <c r="AG30" s="59">
        <f>SUM(AG11:AG29)</f>
        <v>729.2</v>
      </c>
      <c r="AH30" s="52">
        <f t="shared" si="2"/>
        <v>337.7</v>
      </c>
      <c r="AI30" s="53">
        <f t="shared" si="3"/>
        <v>293.60000000000002</v>
      </c>
      <c r="AJ30" s="185"/>
      <c r="AK30" s="54"/>
    </row>
    <row r="31" spans="1:88" x14ac:dyDescent="0.25">
      <c r="A31" s="55" t="s">
        <v>38</v>
      </c>
      <c r="B31" s="48">
        <v>91</v>
      </c>
      <c r="C31" s="56">
        <v>86</v>
      </c>
      <c r="D31" s="56">
        <v>86</v>
      </c>
      <c r="E31" s="56">
        <v>87</v>
      </c>
      <c r="F31" s="56">
        <v>86</v>
      </c>
      <c r="G31" s="56">
        <v>97</v>
      </c>
      <c r="H31" s="56">
        <v>97</v>
      </c>
      <c r="I31" s="56">
        <v>97</v>
      </c>
      <c r="J31" s="56">
        <v>97</v>
      </c>
      <c r="K31" s="56">
        <v>96.9</v>
      </c>
      <c r="L31" s="49">
        <v>98.5</v>
      </c>
      <c r="M31" s="49">
        <v>96.9</v>
      </c>
      <c r="N31" s="49">
        <v>97</v>
      </c>
      <c r="O31" s="49">
        <v>96.9</v>
      </c>
      <c r="P31" s="49">
        <v>96.9</v>
      </c>
      <c r="Q31" s="49">
        <v>96.8</v>
      </c>
      <c r="R31" s="49">
        <v>96.9</v>
      </c>
      <c r="S31" s="49">
        <v>97</v>
      </c>
      <c r="T31" s="49">
        <v>97</v>
      </c>
      <c r="U31" s="49">
        <v>97</v>
      </c>
      <c r="V31" s="49">
        <v>96.8</v>
      </c>
      <c r="W31" s="49">
        <v>96.9</v>
      </c>
      <c r="X31" s="49">
        <v>96.9</v>
      </c>
      <c r="Y31" s="49">
        <v>96.9</v>
      </c>
      <c r="Z31" s="49">
        <v>97.1</v>
      </c>
      <c r="AA31" s="48">
        <v>97.1</v>
      </c>
      <c r="AB31" s="48">
        <v>97</v>
      </c>
      <c r="AC31" s="48">
        <v>97</v>
      </c>
      <c r="AD31" s="48">
        <v>97</v>
      </c>
      <c r="AE31" s="48">
        <v>97</v>
      </c>
      <c r="AF31" s="48">
        <v>97</v>
      </c>
      <c r="AG31" s="57">
        <v>144</v>
      </c>
      <c r="AH31" s="52">
        <f t="shared" si="2"/>
        <v>98.5</v>
      </c>
      <c r="AI31" s="53">
        <f t="shared" si="3"/>
        <v>86</v>
      </c>
      <c r="AJ31" s="185"/>
      <c r="AK31" s="54"/>
    </row>
    <row r="32" spans="1:88" x14ac:dyDescent="0.25">
      <c r="A32" s="58" t="s">
        <v>39</v>
      </c>
      <c r="B32" s="56">
        <v>69.3</v>
      </c>
      <c r="C32" s="56">
        <v>69.2</v>
      </c>
      <c r="D32" s="56">
        <v>70</v>
      </c>
      <c r="E32" s="56">
        <v>70</v>
      </c>
      <c r="F32" s="56">
        <v>70</v>
      </c>
      <c r="G32" s="56">
        <v>70</v>
      </c>
      <c r="H32" s="56">
        <v>69.400000000000006</v>
      </c>
      <c r="I32" s="56">
        <v>69.599999999999994</v>
      </c>
      <c r="J32" s="56">
        <v>68.599999999999994</v>
      </c>
      <c r="K32" s="56">
        <v>69</v>
      </c>
      <c r="L32" s="70">
        <v>69.3</v>
      </c>
      <c r="M32" s="70">
        <v>60.1</v>
      </c>
      <c r="N32" s="70">
        <v>54.7</v>
      </c>
      <c r="O32" s="70">
        <v>55.7</v>
      </c>
      <c r="P32" s="70">
        <v>57.6</v>
      </c>
      <c r="Q32" s="70">
        <v>50.4</v>
      </c>
      <c r="R32" s="70">
        <v>69.599999999999994</v>
      </c>
      <c r="S32" s="70">
        <v>69.599999999999994</v>
      </c>
      <c r="T32" s="70">
        <v>70.5</v>
      </c>
      <c r="U32" s="70">
        <v>45.9</v>
      </c>
      <c r="V32" s="70">
        <v>45.4</v>
      </c>
      <c r="W32" s="70">
        <v>45.9</v>
      </c>
      <c r="X32" s="70">
        <v>46.3</v>
      </c>
      <c r="Y32" s="70">
        <v>67.2</v>
      </c>
      <c r="Z32" s="70">
        <v>70.7</v>
      </c>
      <c r="AA32" s="56">
        <v>71</v>
      </c>
      <c r="AB32" s="56">
        <v>69.7</v>
      </c>
      <c r="AC32" s="56">
        <v>70.7</v>
      </c>
      <c r="AD32" s="56">
        <v>69</v>
      </c>
      <c r="AE32" s="56">
        <v>45</v>
      </c>
      <c r="AF32" s="56">
        <v>25</v>
      </c>
      <c r="AG32" s="59">
        <v>70</v>
      </c>
      <c r="AH32" s="52">
        <f t="shared" si="2"/>
        <v>71</v>
      </c>
      <c r="AI32" s="53">
        <f t="shared" si="3"/>
        <v>25</v>
      </c>
      <c r="AJ32" s="185"/>
      <c r="AK32" s="54"/>
    </row>
    <row r="33" spans="1:41" x14ac:dyDescent="0.25">
      <c r="A33" s="58" t="s">
        <v>40</v>
      </c>
      <c r="B33" s="56">
        <v>31.8</v>
      </c>
      <c r="C33" s="56">
        <v>39.5</v>
      </c>
      <c r="D33" s="56">
        <v>39.6</v>
      </c>
      <c r="E33" s="56">
        <v>40</v>
      </c>
      <c r="F33" s="56">
        <v>37.4</v>
      </c>
      <c r="G33" s="56">
        <v>36</v>
      </c>
      <c r="H33" s="56">
        <v>43</v>
      </c>
      <c r="I33" s="56">
        <v>43.2</v>
      </c>
      <c r="J33" s="56">
        <v>43</v>
      </c>
      <c r="K33" s="56">
        <v>43</v>
      </c>
      <c r="L33" s="70">
        <v>46.4</v>
      </c>
      <c r="M33" s="70">
        <v>44.2</v>
      </c>
      <c r="N33" s="70">
        <v>40.200000000000003</v>
      </c>
      <c r="O33" s="70">
        <v>42.5</v>
      </c>
      <c r="P33" s="70">
        <v>43.1</v>
      </c>
      <c r="Q33" s="70">
        <v>41.2</v>
      </c>
      <c r="R33" s="70">
        <v>41</v>
      </c>
      <c r="S33" s="70">
        <v>41.1</v>
      </c>
      <c r="T33" s="70">
        <v>40.5</v>
      </c>
      <c r="U33" s="70">
        <v>65.400000000000006</v>
      </c>
      <c r="V33" s="70">
        <v>65</v>
      </c>
      <c r="W33" s="70">
        <v>64.7</v>
      </c>
      <c r="X33" s="70">
        <v>64.599999999999994</v>
      </c>
      <c r="Y33" s="70">
        <v>65.400000000000006</v>
      </c>
      <c r="Z33" s="70">
        <v>65</v>
      </c>
      <c r="AA33" s="56">
        <v>64.8</v>
      </c>
      <c r="AB33" s="56">
        <v>64</v>
      </c>
      <c r="AC33" s="56">
        <v>63.8</v>
      </c>
      <c r="AD33" s="56">
        <v>65</v>
      </c>
      <c r="AE33" s="56">
        <v>65</v>
      </c>
      <c r="AF33" s="56">
        <v>56</v>
      </c>
      <c r="AG33" s="59">
        <v>69</v>
      </c>
      <c r="AH33" s="52">
        <f t="shared" si="2"/>
        <v>65.400000000000006</v>
      </c>
      <c r="AI33" s="53">
        <f t="shared" si="3"/>
        <v>31.8</v>
      </c>
      <c r="AJ33" s="185"/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28.6</v>
      </c>
      <c r="E34" s="56">
        <v>28.6</v>
      </c>
      <c r="F34" s="56">
        <v>28.3</v>
      </c>
      <c r="G34" s="56">
        <v>28.5</v>
      </c>
      <c r="H34" s="56">
        <v>28.9</v>
      </c>
      <c r="I34" s="56">
        <v>28.5</v>
      </c>
      <c r="J34" s="56">
        <v>28.5</v>
      </c>
      <c r="K34" s="56">
        <v>28.5</v>
      </c>
      <c r="L34" s="70">
        <v>28</v>
      </c>
      <c r="M34" s="70">
        <v>28.2</v>
      </c>
      <c r="N34" s="70">
        <v>28.2</v>
      </c>
      <c r="O34" s="70">
        <v>28.2</v>
      </c>
      <c r="P34" s="70">
        <v>28.2</v>
      </c>
      <c r="Q34" s="70">
        <v>28.2</v>
      </c>
      <c r="R34" s="70">
        <v>28.2</v>
      </c>
      <c r="S34" s="70">
        <v>28.2</v>
      </c>
      <c r="T34" s="70">
        <v>28.2</v>
      </c>
      <c r="U34" s="70">
        <v>28.5</v>
      </c>
      <c r="V34" s="70">
        <v>28.2</v>
      </c>
      <c r="W34" s="70">
        <v>28.2</v>
      </c>
      <c r="X34" s="70">
        <v>28.2</v>
      </c>
      <c r="Y34" s="70">
        <v>28.2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28.9</v>
      </c>
      <c r="AI34" s="53">
        <f t="shared" si="3"/>
        <v>28</v>
      </c>
      <c r="AJ34" s="185"/>
      <c r="AK34" s="54"/>
    </row>
    <row r="35" spans="1:41" x14ac:dyDescent="0.25">
      <c r="A35" s="58" t="s">
        <v>42</v>
      </c>
      <c r="B35" s="56">
        <v>23</v>
      </c>
      <c r="C35" s="56">
        <v>20.2</v>
      </c>
      <c r="D35" s="56">
        <v>19.8</v>
      </c>
      <c r="E35" s="56">
        <v>19.600000000000001</v>
      </c>
      <c r="F35" s="56">
        <v>20</v>
      </c>
      <c r="G35" s="56">
        <v>20</v>
      </c>
      <c r="H35" s="56">
        <v>20</v>
      </c>
      <c r="I35" s="56">
        <v>21</v>
      </c>
      <c r="J35" s="56">
        <v>21</v>
      </c>
      <c r="K35" s="56">
        <v>21</v>
      </c>
      <c r="L35" s="49">
        <v>25</v>
      </c>
      <c r="M35" s="49">
        <v>30</v>
      </c>
      <c r="N35" s="49">
        <v>25.1</v>
      </c>
      <c r="O35" s="49">
        <v>30</v>
      </c>
      <c r="P35" s="49">
        <v>30</v>
      </c>
      <c r="Q35" s="49">
        <v>30</v>
      </c>
      <c r="R35" s="49">
        <v>29.9</v>
      </c>
      <c r="S35" s="49">
        <v>29.87</v>
      </c>
      <c r="T35" s="49">
        <v>30</v>
      </c>
      <c r="U35" s="49">
        <v>30</v>
      </c>
      <c r="V35" s="70">
        <v>29.8</v>
      </c>
      <c r="W35" s="70">
        <v>29.8</v>
      </c>
      <c r="X35" s="70">
        <v>29.8</v>
      </c>
      <c r="Y35" s="70">
        <v>29.8</v>
      </c>
      <c r="Z35" s="70">
        <v>30</v>
      </c>
      <c r="AA35" s="56">
        <v>30</v>
      </c>
      <c r="AB35" s="56">
        <v>30</v>
      </c>
      <c r="AC35" s="56">
        <v>30</v>
      </c>
      <c r="AD35" s="56">
        <v>30</v>
      </c>
      <c r="AE35" s="56">
        <v>30</v>
      </c>
      <c r="AF35" s="56">
        <v>30</v>
      </c>
      <c r="AG35" s="59">
        <v>30</v>
      </c>
      <c r="AH35" s="52">
        <f t="shared" si="2"/>
        <v>30</v>
      </c>
      <c r="AI35" s="53">
        <f t="shared" si="3"/>
        <v>19.600000000000001</v>
      </c>
      <c r="AJ35" s="185"/>
      <c r="AK35" s="54"/>
    </row>
    <row r="36" spans="1:41" x14ac:dyDescent="0.25">
      <c r="A36" s="58" t="s">
        <v>43</v>
      </c>
      <c r="B36" s="56">
        <v>17.3</v>
      </c>
      <c r="C36" s="71">
        <v>17</v>
      </c>
      <c r="D36" s="71">
        <v>17.2</v>
      </c>
      <c r="E36" s="71">
        <v>17</v>
      </c>
      <c r="F36" s="71">
        <v>17.100000000000001</v>
      </c>
      <c r="G36" s="71">
        <v>18</v>
      </c>
      <c r="H36" s="71">
        <v>18.100000000000001</v>
      </c>
      <c r="I36" s="71">
        <v>18</v>
      </c>
      <c r="J36" s="71">
        <v>18</v>
      </c>
      <c r="K36" s="71">
        <v>18</v>
      </c>
      <c r="L36" s="49">
        <v>17.2</v>
      </c>
      <c r="M36" s="49">
        <v>17.3</v>
      </c>
      <c r="N36" s="49">
        <v>17.399999999999999</v>
      </c>
      <c r="O36" s="49">
        <v>17.399999999999999</v>
      </c>
      <c r="P36" s="49">
        <v>17.2</v>
      </c>
      <c r="Q36" s="49">
        <v>17.100000000000001</v>
      </c>
      <c r="R36" s="49">
        <v>16.600000000000001</v>
      </c>
      <c r="S36" s="49">
        <v>16</v>
      </c>
      <c r="T36" s="49">
        <v>16.8</v>
      </c>
      <c r="U36" s="49">
        <v>16.600000000000001</v>
      </c>
      <c r="V36" s="49">
        <v>16.5</v>
      </c>
      <c r="W36" s="49">
        <v>16.5</v>
      </c>
      <c r="X36" s="49">
        <v>16.600000000000001</v>
      </c>
      <c r="Y36" s="49">
        <v>16.600000000000001</v>
      </c>
      <c r="Z36" s="49">
        <v>16.600000000000001</v>
      </c>
      <c r="AA36" s="56">
        <v>16.600000000000001</v>
      </c>
      <c r="AB36" s="56">
        <v>16.600000000000001</v>
      </c>
      <c r="AC36" s="56">
        <v>16.600000000000001</v>
      </c>
      <c r="AD36" s="56">
        <v>16.600000000000001</v>
      </c>
      <c r="AE36" s="56">
        <v>16.600000000000001</v>
      </c>
      <c r="AF36" s="56">
        <v>16.600000000000001</v>
      </c>
      <c r="AG36" s="59">
        <v>24</v>
      </c>
      <c r="AH36" s="52">
        <f t="shared" si="2"/>
        <v>18.100000000000001</v>
      </c>
      <c r="AI36" s="53">
        <f t="shared" si="3"/>
        <v>16</v>
      </c>
      <c r="AJ36" s="185"/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59">
        <v>15</v>
      </c>
      <c r="AH37" s="52">
        <f t="shared" si="2"/>
        <v>0</v>
      </c>
      <c r="AI37" s="53">
        <f t="shared" si="3"/>
        <v>0</v>
      </c>
      <c r="AJ37" s="185"/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56">
        <v>10</v>
      </c>
      <c r="O38" s="56">
        <v>10</v>
      </c>
      <c r="P38" s="56">
        <v>10</v>
      </c>
      <c r="Q38" s="56">
        <v>10</v>
      </c>
      <c r="R38" s="56">
        <v>10</v>
      </c>
      <c r="S38" s="56">
        <v>10</v>
      </c>
      <c r="T38" s="56">
        <v>10</v>
      </c>
      <c r="U38" s="56">
        <v>10</v>
      </c>
      <c r="V38" s="56">
        <v>10</v>
      </c>
      <c r="W38" s="56">
        <v>10</v>
      </c>
      <c r="X38" s="56">
        <v>10</v>
      </c>
      <c r="Y38" s="56">
        <v>10</v>
      </c>
      <c r="Z38" s="56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J38" s="185"/>
      <c r="AK38" s="54"/>
      <c r="AL38" s="64"/>
      <c r="AO38" s="64"/>
    </row>
    <row r="39" spans="1:41" s="64" customFormat="1" x14ac:dyDescent="0.25">
      <c r="A39" s="72" t="s">
        <v>46</v>
      </c>
      <c r="B39" s="56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71">
        <v>3.9</v>
      </c>
      <c r="M39" s="71">
        <v>3.9</v>
      </c>
      <c r="N39" s="71">
        <v>3.9</v>
      </c>
      <c r="O39" s="71">
        <v>3.9</v>
      </c>
      <c r="P39" s="71">
        <v>3.9</v>
      </c>
      <c r="Q39" s="71">
        <v>3.9</v>
      </c>
      <c r="R39" s="71">
        <v>3.9</v>
      </c>
      <c r="S39" s="71">
        <v>3.9</v>
      </c>
      <c r="T39" s="71">
        <v>3.9</v>
      </c>
      <c r="U39" s="71">
        <v>3.9</v>
      </c>
      <c r="V39" s="71">
        <v>3.9</v>
      </c>
      <c r="W39" s="71">
        <v>3.9</v>
      </c>
      <c r="X39" s="71">
        <v>3.9</v>
      </c>
      <c r="Y39" s="71">
        <v>3.9</v>
      </c>
      <c r="Z39" s="71">
        <v>3.9</v>
      </c>
      <c r="AA39" s="71">
        <v>3.9</v>
      </c>
      <c r="AB39" s="71">
        <v>3.9</v>
      </c>
      <c r="AC39" s="71">
        <v>3.9</v>
      </c>
      <c r="AD39" s="71">
        <v>3.9</v>
      </c>
      <c r="AE39" s="71">
        <v>3.9</v>
      </c>
      <c r="AF39" s="71">
        <v>3.9</v>
      </c>
      <c r="AG39" s="59">
        <v>14</v>
      </c>
      <c r="AH39" s="52">
        <f t="shared" si="2"/>
        <v>3.9</v>
      </c>
      <c r="AI39" s="53">
        <f t="shared" si="3"/>
        <v>3.9</v>
      </c>
      <c r="AJ39" s="185"/>
      <c r="AK39" s="54"/>
      <c r="AL39"/>
      <c r="AM39"/>
      <c r="AN39"/>
      <c r="AO39"/>
    </row>
    <row r="40" spans="1:41" x14ac:dyDescent="0.25">
      <c r="A40" s="58" t="s">
        <v>47</v>
      </c>
      <c r="B40" s="56">
        <v>7.1</v>
      </c>
      <c r="C40" s="56">
        <v>7.1</v>
      </c>
      <c r="D40" s="56">
        <v>7.2</v>
      </c>
      <c r="E40" s="56">
        <v>7.2</v>
      </c>
      <c r="F40" s="56">
        <v>7.2</v>
      </c>
      <c r="G40" s="56">
        <v>7.2</v>
      </c>
      <c r="H40" s="56">
        <v>7.2</v>
      </c>
      <c r="I40" s="56">
        <v>7.2</v>
      </c>
      <c r="J40" s="56">
        <v>7.2</v>
      </c>
      <c r="K40" s="56">
        <v>7.2</v>
      </c>
      <c r="L40" s="56">
        <v>7.2</v>
      </c>
      <c r="M40" s="56">
        <v>7.2</v>
      </c>
      <c r="N40" s="56">
        <v>7.2</v>
      </c>
      <c r="O40" s="56">
        <v>7.2</v>
      </c>
      <c r="P40" s="56">
        <v>7.2</v>
      </c>
      <c r="Q40" s="56">
        <v>7.2</v>
      </c>
      <c r="R40" s="56">
        <v>7.2</v>
      </c>
      <c r="S40" s="56">
        <v>7.2</v>
      </c>
      <c r="T40" s="56">
        <v>7.2</v>
      </c>
      <c r="U40" s="56">
        <v>7.2</v>
      </c>
      <c r="V40" s="56">
        <v>7.2</v>
      </c>
      <c r="W40" s="56">
        <v>7.2</v>
      </c>
      <c r="X40" s="56">
        <v>7.2</v>
      </c>
      <c r="Y40" s="56">
        <v>7.2</v>
      </c>
      <c r="Z40" s="56">
        <v>7.2</v>
      </c>
      <c r="AA40" s="56">
        <v>7.2</v>
      </c>
      <c r="AB40" s="56">
        <v>7.2</v>
      </c>
      <c r="AC40" s="56">
        <v>7.2</v>
      </c>
      <c r="AD40" s="56">
        <v>7.2</v>
      </c>
      <c r="AE40" s="56">
        <v>7.2</v>
      </c>
      <c r="AF40" s="56">
        <v>7.2</v>
      </c>
      <c r="AG40" s="59">
        <v>10.050000000000001</v>
      </c>
      <c r="AH40" s="52">
        <f t="shared" si="2"/>
        <v>7.2</v>
      </c>
      <c r="AI40" s="53">
        <f t="shared" si="3"/>
        <v>7.1</v>
      </c>
      <c r="AJ40" s="185"/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56">
        <v>2.5</v>
      </c>
      <c r="M41" s="56">
        <v>2.5</v>
      </c>
      <c r="N41" s="56">
        <v>2.5</v>
      </c>
      <c r="O41" s="56">
        <v>2.5</v>
      </c>
      <c r="P41" s="56">
        <v>2.5</v>
      </c>
      <c r="Q41" s="56">
        <v>2.5</v>
      </c>
      <c r="R41" s="56">
        <v>2.5</v>
      </c>
      <c r="S41" s="56">
        <v>2.5</v>
      </c>
      <c r="T41" s="56">
        <v>2.5</v>
      </c>
      <c r="U41" s="56">
        <v>2.5</v>
      </c>
      <c r="V41" s="56">
        <v>2.5</v>
      </c>
      <c r="W41" s="56">
        <v>2.5</v>
      </c>
      <c r="X41" s="56">
        <v>2.5</v>
      </c>
      <c r="Y41" s="56">
        <v>2.5</v>
      </c>
      <c r="Z41" s="56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J41" s="185"/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J42" s="185"/>
      <c r="AK42" s="54"/>
    </row>
    <row r="43" spans="1:41" ht="15.75" thickBot="1" x14ac:dyDescent="0.3">
      <c r="A43" s="68" t="s">
        <v>50</v>
      </c>
      <c r="B43" s="69">
        <f>SUM(B31:B42)</f>
        <v>287.94000000000005</v>
      </c>
      <c r="C43" s="69">
        <f t="shared" ref="C43:AF43" si="6">SUM(C31:C42)</f>
        <v>287.44</v>
      </c>
      <c r="D43" s="69">
        <f t="shared" si="6"/>
        <v>288.33999999999997</v>
      </c>
      <c r="E43" s="69">
        <f t="shared" si="6"/>
        <v>289.33999999999997</v>
      </c>
      <c r="F43" s="69">
        <f t="shared" si="6"/>
        <v>285.94</v>
      </c>
      <c r="G43" s="69">
        <f t="shared" si="6"/>
        <v>296.64</v>
      </c>
      <c r="H43" s="69">
        <f t="shared" si="6"/>
        <v>303.54000000000002</v>
      </c>
      <c r="I43" s="69">
        <f t="shared" si="6"/>
        <v>304.44</v>
      </c>
      <c r="J43" s="69">
        <f t="shared" si="6"/>
        <v>303.24</v>
      </c>
      <c r="K43" s="69">
        <f t="shared" si="6"/>
        <v>303.53999999999996</v>
      </c>
      <c r="L43" s="69">
        <f t="shared" si="6"/>
        <v>311.54000000000002</v>
      </c>
      <c r="M43" s="69">
        <f t="shared" si="6"/>
        <v>303.83999999999997</v>
      </c>
      <c r="N43" s="69">
        <f t="shared" si="6"/>
        <v>289.73999999999995</v>
      </c>
      <c r="O43" s="69">
        <f t="shared" si="6"/>
        <v>297.83999999999997</v>
      </c>
      <c r="P43" s="69">
        <f t="shared" si="6"/>
        <v>300.14</v>
      </c>
      <c r="Q43" s="69">
        <f t="shared" si="6"/>
        <v>290.83999999999997</v>
      </c>
      <c r="R43" s="69">
        <f t="shared" si="6"/>
        <v>309.33999999999997</v>
      </c>
      <c r="S43" s="69">
        <f t="shared" si="6"/>
        <v>308.90999999999997</v>
      </c>
      <c r="T43" s="69">
        <f t="shared" si="6"/>
        <v>310.14</v>
      </c>
      <c r="U43" s="69">
        <f t="shared" si="6"/>
        <v>310.54000000000002</v>
      </c>
      <c r="V43" s="69">
        <f t="shared" si="6"/>
        <v>308.83999999999997</v>
      </c>
      <c r="W43" s="69">
        <f t="shared" si="6"/>
        <v>309.14</v>
      </c>
      <c r="X43" s="69">
        <f t="shared" si="6"/>
        <v>309.53999999999996</v>
      </c>
      <c r="Y43" s="69">
        <f t="shared" si="6"/>
        <v>331.24000000000007</v>
      </c>
      <c r="Z43" s="69">
        <v>335.04</v>
      </c>
      <c r="AA43" s="69">
        <f t="shared" si="6"/>
        <v>335.14</v>
      </c>
      <c r="AB43" s="69">
        <f t="shared" si="6"/>
        <v>332.94</v>
      </c>
      <c r="AC43" s="69">
        <f t="shared" si="6"/>
        <v>333.74</v>
      </c>
      <c r="AD43" s="69">
        <f t="shared" si="6"/>
        <v>333.24</v>
      </c>
      <c r="AE43" s="69">
        <f t="shared" si="6"/>
        <v>309.24</v>
      </c>
      <c r="AF43" s="69">
        <f t="shared" si="6"/>
        <v>280.24</v>
      </c>
      <c r="AG43" s="74">
        <f>SUM(AG31:AG42)</f>
        <v>464.91</v>
      </c>
      <c r="AH43" s="52">
        <f t="shared" si="2"/>
        <v>335.14</v>
      </c>
      <c r="AI43" s="53">
        <f t="shared" si="3"/>
        <v>280.24</v>
      </c>
      <c r="AJ43" s="185"/>
      <c r="AK43" s="54"/>
    </row>
    <row r="44" spans="1:41" x14ac:dyDescent="0.25">
      <c r="A44" s="55" t="s">
        <v>51</v>
      </c>
      <c r="B44" s="49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30.3</v>
      </c>
      <c r="AA44" s="49">
        <v>30.3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30.3</v>
      </c>
      <c r="AI44" s="53">
        <f t="shared" si="3"/>
        <v>0</v>
      </c>
      <c r="AJ44" s="185"/>
      <c r="AK44" s="54"/>
    </row>
    <row r="45" spans="1:41" x14ac:dyDescent="0.25">
      <c r="A45" s="58" t="s">
        <v>52</v>
      </c>
      <c r="B45" s="70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9.4</v>
      </c>
      <c r="AA45" s="70">
        <v>16.100000000000001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16.100000000000001</v>
      </c>
      <c r="AI45" s="53">
        <f t="shared" si="3"/>
        <v>0</v>
      </c>
      <c r="AJ45" s="185"/>
      <c r="AK45" s="54"/>
    </row>
    <row r="46" spans="1:41" ht="15.75" thickBot="1" x14ac:dyDescent="0.3">
      <c r="A46" s="72" t="s">
        <v>53</v>
      </c>
      <c r="B46" s="77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3.4</v>
      </c>
      <c r="AA46" s="77">
        <v>5.9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5.9</v>
      </c>
      <c r="AI46" s="53">
        <f t="shared" si="3"/>
        <v>0</v>
      </c>
      <c r="AJ46" s="185"/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v>43.1</v>
      </c>
      <c r="AA47" s="69">
        <f t="shared" si="7"/>
        <v>52.300000000000004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52.300000000000004</v>
      </c>
      <c r="AI47" s="53">
        <f t="shared" si="3"/>
        <v>0</v>
      </c>
      <c r="AJ47" s="185"/>
      <c r="AK47" s="54"/>
    </row>
    <row r="48" spans="1:41" x14ac:dyDescent="0.25">
      <c r="A48" s="55" t="s">
        <v>55</v>
      </c>
      <c r="B48" s="49">
        <v>1</v>
      </c>
      <c r="C48" s="49">
        <v>-3</v>
      </c>
      <c r="D48" s="49">
        <v>-5</v>
      </c>
      <c r="E48" s="49">
        <v>-6</v>
      </c>
      <c r="F48" s="49">
        <v>-6</v>
      </c>
      <c r="G48" s="49">
        <v>3</v>
      </c>
      <c r="H48" s="49">
        <v>8</v>
      </c>
      <c r="I48" s="49">
        <v>5.4</v>
      </c>
      <c r="J48" s="49">
        <v>4.5</v>
      </c>
      <c r="K48" s="49">
        <v>6.9</v>
      </c>
      <c r="L48" s="49">
        <v>12.7</v>
      </c>
      <c r="M48" s="49">
        <v>25.61</v>
      </c>
      <c r="N48" s="49">
        <v>25.93</v>
      </c>
      <c r="O48" s="49">
        <v>16</v>
      </c>
      <c r="P48" s="49">
        <v>59.33</v>
      </c>
      <c r="Q48" s="49">
        <v>60.74</v>
      </c>
      <c r="R48" s="49">
        <v>60</v>
      </c>
      <c r="S48" s="49">
        <v>60.43</v>
      </c>
      <c r="T48" s="49">
        <v>54</v>
      </c>
      <c r="U48" s="49">
        <v>52.16</v>
      </c>
      <c r="V48" s="49">
        <v>57</v>
      </c>
      <c r="W48" s="49"/>
      <c r="X48" s="49"/>
      <c r="Y48" s="49">
        <v>50.22</v>
      </c>
      <c r="Z48" s="49">
        <v>62</v>
      </c>
      <c r="AA48" s="49">
        <v>66</v>
      </c>
      <c r="AB48" s="49">
        <v>70</v>
      </c>
      <c r="AC48" s="49">
        <v>66.3</v>
      </c>
      <c r="AD48" s="49">
        <v>59</v>
      </c>
      <c r="AE48" s="49">
        <v>52</v>
      </c>
      <c r="AF48" s="49">
        <v>46</v>
      </c>
      <c r="AG48" s="57"/>
      <c r="AH48" s="52">
        <f t="shared" si="2"/>
        <v>70</v>
      </c>
      <c r="AI48" s="53">
        <f t="shared" si="3"/>
        <v>-6</v>
      </c>
      <c r="AJ48" s="185"/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132</v>
      </c>
      <c r="AA49" s="70">
        <v>123</v>
      </c>
      <c r="AB49" s="70">
        <v>123</v>
      </c>
      <c r="AC49" s="70">
        <f>38+46</f>
        <v>84</v>
      </c>
      <c r="AD49" s="70">
        <f>35+32</f>
        <v>67</v>
      </c>
      <c r="AE49" s="70">
        <f>34+28</f>
        <v>62</v>
      </c>
      <c r="AF49" s="70">
        <f>31+26</f>
        <v>57</v>
      </c>
      <c r="AG49" s="59"/>
      <c r="AH49" s="52">
        <f t="shared" si="2"/>
        <v>132</v>
      </c>
      <c r="AI49" s="53">
        <f t="shared" si="3"/>
        <v>0</v>
      </c>
      <c r="AJ49" s="185"/>
      <c r="AK49" s="54"/>
    </row>
    <row r="50" spans="1:37" x14ac:dyDescent="0.25">
      <c r="A50" s="58" t="s">
        <v>57</v>
      </c>
      <c r="B50" s="70">
        <v>30</v>
      </c>
      <c r="C50" s="70">
        <v>0</v>
      </c>
      <c r="D50" s="70">
        <v>0</v>
      </c>
      <c r="E50" s="70">
        <v>0</v>
      </c>
      <c r="F50" s="70">
        <v>32</v>
      </c>
      <c r="G50" s="49">
        <v>90</v>
      </c>
      <c r="H50" s="49">
        <v>93</v>
      </c>
      <c r="I50" s="49">
        <v>140</v>
      </c>
      <c r="J50" s="49">
        <v>170</v>
      </c>
      <c r="K50" s="49">
        <v>162</v>
      </c>
      <c r="L50" s="70">
        <f>95.4+96.8</f>
        <v>192.2</v>
      </c>
      <c r="M50" s="70">
        <v>220</v>
      </c>
      <c r="N50" s="70">
        <v>223</v>
      </c>
      <c r="O50" s="70">
        <v>225</v>
      </c>
      <c r="P50" s="70">
        <f>119+119</f>
        <v>238</v>
      </c>
      <c r="Q50" s="70">
        <f>123+122</f>
        <v>245</v>
      </c>
      <c r="R50" s="70">
        <v>250</v>
      </c>
      <c r="S50" s="70">
        <v>273</v>
      </c>
      <c r="T50" s="70">
        <v>230</v>
      </c>
      <c r="U50" s="80">
        <v>124</v>
      </c>
      <c r="V50" s="80">
        <v>240</v>
      </c>
      <c r="W50" s="80"/>
      <c r="X50" s="80"/>
      <c r="Y50" s="80">
        <v>307</v>
      </c>
      <c r="Z50" s="80">
        <v>302</v>
      </c>
      <c r="AA50" s="70">
        <v>290</v>
      </c>
      <c r="AB50" s="70">
        <v>301</v>
      </c>
      <c r="AC50" s="70">
        <v>305</v>
      </c>
      <c r="AD50" s="70">
        <v>246</v>
      </c>
      <c r="AE50" s="70">
        <v>210</v>
      </c>
      <c r="AF50" s="70">
        <v>220</v>
      </c>
      <c r="AG50" s="81"/>
      <c r="AH50" s="52">
        <f t="shared" si="2"/>
        <v>307</v>
      </c>
      <c r="AI50" s="53">
        <f t="shared" si="3"/>
        <v>0</v>
      </c>
      <c r="AJ50" s="185"/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81"/>
      <c r="AH51" s="52">
        <f t="shared" si="2"/>
        <v>0</v>
      </c>
      <c r="AI51" s="53">
        <f t="shared" si="3"/>
        <v>0</v>
      </c>
      <c r="AJ51" s="185"/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49">
        <v>0</v>
      </c>
      <c r="P52" s="70">
        <v>0</v>
      </c>
      <c r="Q52" s="70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J52" s="185"/>
      <c r="AK52" s="54"/>
    </row>
    <row r="53" spans="1:37" x14ac:dyDescent="0.25">
      <c r="A53" s="58" t="s">
        <v>60</v>
      </c>
      <c r="B53" s="83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83">
        <v>0</v>
      </c>
      <c r="P53" s="70">
        <v>0</v>
      </c>
      <c r="Q53" s="70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J53" s="185"/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70">
        <v>0</v>
      </c>
      <c r="M54" s="70">
        <v>0</v>
      </c>
      <c r="N54" s="70">
        <v>0</v>
      </c>
      <c r="O54" s="83">
        <v>0</v>
      </c>
      <c r="P54" s="70">
        <v>0</v>
      </c>
      <c r="Q54" s="70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J54" s="185"/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82">
        <v>0</v>
      </c>
      <c r="P55" s="70">
        <v>0</v>
      </c>
      <c r="Q55" s="70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J55" s="185"/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82">
        <v>0</v>
      </c>
      <c r="P56" s="70">
        <v>0</v>
      </c>
      <c r="Q56" s="70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J56" s="185"/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85">
        <v>0</v>
      </c>
      <c r="P57" s="70">
        <v>0</v>
      </c>
      <c r="Q57" s="70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J57" s="185"/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70">
        <v>0</v>
      </c>
      <c r="M58" s="70">
        <v>0</v>
      </c>
      <c r="N58" s="70">
        <v>0</v>
      </c>
      <c r="O58" s="85">
        <v>0</v>
      </c>
      <c r="P58" s="70">
        <v>0</v>
      </c>
      <c r="Q58" s="70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J58" s="185"/>
      <c r="AK58" s="54"/>
    </row>
    <row r="59" spans="1:37" ht="15.75" thickBot="1" x14ac:dyDescent="0.3">
      <c r="A59" s="68" t="s">
        <v>66</v>
      </c>
      <c r="B59" s="69">
        <f>SUM(B48:B58)</f>
        <v>31</v>
      </c>
      <c r="C59" s="69">
        <f t="shared" ref="C59:AF59" si="8">SUM(C48:C58)</f>
        <v>-3</v>
      </c>
      <c r="D59" s="69">
        <f t="shared" si="8"/>
        <v>-5</v>
      </c>
      <c r="E59" s="69">
        <f t="shared" si="8"/>
        <v>-6</v>
      </c>
      <c r="F59" s="69">
        <f t="shared" si="8"/>
        <v>26</v>
      </c>
      <c r="G59" s="69">
        <f t="shared" si="8"/>
        <v>93</v>
      </c>
      <c r="H59" s="69">
        <f t="shared" si="8"/>
        <v>101</v>
      </c>
      <c r="I59" s="69">
        <f t="shared" si="8"/>
        <v>145.4</v>
      </c>
      <c r="J59" s="69">
        <f t="shared" si="8"/>
        <v>174.5</v>
      </c>
      <c r="K59" s="69">
        <f t="shared" si="8"/>
        <v>168.9</v>
      </c>
      <c r="L59" s="69">
        <f t="shared" si="8"/>
        <v>204.89999999999998</v>
      </c>
      <c r="M59" s="69">
        <f t="shared" si="8"/>
        <v>245.61</v>
      </c>
      <c r="N59" s="69">
        <f t="shared" si="8"/>
        <v>248.93</v>
      </c>
      <c r="O59" s="69">
        <f t="shared" si="8"/>
        <v>241</v>
      </c>
      <c r="P59" s="69">
        <f t="shared" si="8"/>
        <v>297.33</v>
      </c>
      <c r="Q59" s="69">
        <f t="shared" si="8"/>
        <v>305.74</v>
      </c>
      <c r="R59" s="69">
        <f t="shared" si="8"/>
        <v>310</v>
      </c>
      <c r="S59" s="69">
        <f t="shared" si="8"/>
        <v>333.43</v>
      </c>
      <c r="T59" s="69">
        <f t="shared" si="8"/>
        <v>284</v>
      </c>
      <c r="U59" s="69">
        <f t="shared" si="8"/>
        <v>176.16</v>
      </c>
      <c r="V59" s="69">
        <f t="shared" si="8"/>
        <v>297</v>
      </c>
      <c r="W59" s="69">
        <f t="shared" si="8"/>
        <v>0</v>
      </c>
      <c r="X59" s="69">
        <f t="shared" si="8"/>
        <v>0</v>
      </c>
      <c r="Y59" s="69">
        <f t="shared" si="8"/>
        <v>357.22</v>
      </c>
      <c r="Z59" s="69">
        <f t="shared" si="8"/>
        <v>496</v>
      </c>
      <c r="AA59" s="69">
        <f t="shared" si="8"/>
        <v>479</v>
      </c>
      <c r="AB59" s="69">
        <f t="shared" si="8"/>
        <v>494</v>
      </c>
      <c r="AC59" s="69">
        <f t="shared" si="8"/>
        <v>455.3</v>
      </c>
      <c r="AD59" s="69">
        <f t="shared" si="8"/>
        <v>372</v>
      </c>
      <c r="AE59" s="69">
        <f t="shared" si="8"/>
        <v>324</v>
      </c>
      <c r="AF59" s="69">
        <f t="shared" si="8"/>
        <v>323</v>
      </c>
      <c r="AG59" s="74">
        <f>SUM(AG48:AG58)</f>
        <v>0</v>
      </c>
      <c r="AH59" s="52">
        <f t="shared" si="2"/>
        <v>496</v>
      </c>
      <c r="AI59" s="53">
        <f t="shared" si="3"/>
        <v>-6</v>
      </c>
      <c r="AJ59" s="185"/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J60" s="185"/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J61" s="185"/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J62" s="185"/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  <c r="AJ63" s="185"/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  <c r="AJ64" s="185"/>
    </row>
    <row r="65" spans="1:36" ht="15.75" thickBot="1" x14ac:dyDescent="0.3">
      <c r="A65" s="90" t="s">
        <v>72</v>
      </c>
      <c r="B65" s="91">
        <f>B63+B59+B47+B43+B30+B64</f>
        <v>656.6400000000001</v>
      </c>
      <c r="C65" s="91">
        <f t="shared" ref="C65:AF65" si="10">C63+C59+C47+C43+C30+C64</f>
        <v>616.94000000000005</v>
      </c>
      <c r="D65" s="91">
        <f t="shared" si="10"/>
        <v>601.63999999999987</v>
      </c>
      <c r="E65" s="91">
        <f t="shared" si="10"/>
        <v>602.23</v>
      </c>
      <c r="F65" s="91">
        <f t="shared" si="10"/>
        <v>623.04</v>
      </c>
      <c r="G65" s="91">
        <f t="shared" si="10"/>
        <v>701.54</v>
      </c>
      <c r="H65" s="91">
        <f t="shared" si="10"/>
        <v>713.94</v>
      </c>
      <c r="I65" s="91">
        <f t="shared" si="10"/>
        <v>762.76</v>
      </c>
      <c r="J65" s="91">
        <f t="shared" si="10"/>
        <v>788.62</v>
      </c>
      <c r="K65" s="91">
        <f t="shared" si="10"/>
        <v>782.43999999999994</v>
      </c>
      <c r="L65" s="91">
        <f t="shared" si="10"/>
        <v>821.24</v>
      </c>
      <c r="M65" s="91">
        <f t="shared" si="10"/>
        <v>853.15000000000009</v>
      </c>
      <c r="N65" s="91">
        <f t="shared" si="10"/>
        <v>845.17</v>
      </c>
      <c r="O65" s="91">
        <f t="shared" si="10"/>
        <v>844.13999999999987</v>
      </c>
      <c r="P65" s="91">
        <f t="shared" si="10"/>
        <v>895.67000000000007</v>
      </c>
      <c r="Q65" s="91">
        <f t="shared" si="10"/>
        <v>897.07999999999993</v>
      </c>
      <c r="R65" s="91">
        <f t="shared" si="10"/>
        <v>913.54</v>
      </c>
      <c r="S65" s="91">
        <f t="shared" si="10"/>
        <v>937.2399999999999</v>
      </c>
      <c r="T65" s="91">
        <f t="shared" si="10"/>
        <v>887.74</v>
      </c>
      <c r="U65" s="91">
        <f t="shared" si="10"/>
        <v>782.6</v>
      </c>
      <c r="V65" s="91">
        <f t="shared" si="10"/>
        <v>902.63999999999987</v>
      </c>
      <c r="W65" s="91">
        <f t="shared" si="10"/>
        <v>605.33999999999992</v>
      </c>
      <c r="X65" s="91">
        <f t="shared" si="10"/>
        <v>612.43999999999994</v>
      </c>
      <c r="Y65" s="91">
        <f t="shared" si="10"/>
        <v>984.26</v>
      </c>
      <c r="Z65" s="91">
        <f t="shared" si="10"/>
        <v>1179.8400000000001</v>
      </c>
      <c r="AA65" s="91">
        <f t="shared" si="10"/>
        <v>1168.7399999999998</v>
      </c>
      <c r="AB65" s="91">
        <f t="shared" si="10"/>
        <v>1129.24</v>
      </c>
      <c r="AC65" s="91">
        <f t="shared" si="10"/>
        <v>1091.3399999999999</v>
      </c>
      <c r="AD65" s="91">
        <f t="shared" si="10"/>
        <v>1004.44</v>
      </c>
      <c r="AE65" s="91">
        <f t="shared" si="10"/>
        <v>936.14</v>
      </c>
      <c r="AF65" s="91">
        <f t="shared" si="10"/>
        <v>902.34</v>
      </c>
      <c r="AG65" s="74">
        <f>AG63+AG59+AG47+AG43+AG30+AG64</f>
        <v>1355.5100000000002</v>
      </c>
      <c r="AH65" s="52">
        <f t="shared" si="2"/>
        <v>1179.8400000000001</v>
      </c>
      <c r="AI65" s="53">
        <f t="shared" si="3"/>
        <v>601.63999999999987</v>
      </c>
      <c r="AJ65" s="185"/>
    </row>
    <row r="66" spans="1:36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  <c r="AJ66" s="185"/>
    </row>
    <row r="67" spans="1:36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  <c r="AJ67" s="185"/>
    </row>
    <row r="68" spans="1:36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  <c r="AJ68" s="185"/>
    </row>
    <row r="69" spans="1:36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  <c r="AJ69" s="185"/>
    </row>
    <row r="70" spans="1:36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  <c r="AJ70" s="185"/>
    </row>
    <row r="71" spans="1:36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  <c r="AJ71" s="185"/>
    </row>
    <row r="72" spans="1:36" x14ac:dyDescent="0.25">
      <c r="A72" s="93" t="s">
        <v>79</v>
      </c>
      <c r="B72" s="96">
        <v>50.02</v>
      </c>
      <c r="C72" s="94">
        <v>50.03</v>
      </c>
      <c r="D72" s="94">
        <v>50.031999999999996</v>
      </c>
      <c r="E72" s="94">
        <v>50.061999999999998</v>
      </c>
      <c r="F72" s="94">
        <v>50.055</v>
      </c>
      <c r="G72" s="94">
        <v>50.014000000000003</v>
      </c>
      <c r="H72" s="94">
        <v>50.058999999999997</v>
      </c>
      <c r="I72" s="94">
        <v>50.018999999999998</v>
      </c>
      <c r="J72" s="94">
        <v>50.088999999999999</v>
      </c>
      <c r="K72" s="94">
        <v>56.9</v>
      </c>
      <c r="L72" s="94">
        <v>50.048000000000002</v>
      </c>
      <c r="M72" s="94">
        <v>49.966000000000001</v>
      </c>
      <c r="N72" s="94">
        <v>50.076000000000001</v>
      </c>
      <c r="O72" s="94">
        <v>49.970999999999997</v>
      </c>
      <c r="P72" s="94">
        <v>50.048999999999999</v>
      </c>
      <c r="Q72" s="95">
        <v>49.970999999999997</v>
      </c>
      <c r="R72" s="94">
        <v>49.99</v>
      </c>
      <c r="S72" s="94">
        <v>50.02</v>
      </c>
      <c r="T72" s="94">
        <v>49.96</v>
      </c>
      <c r="U72" s="94">
        <v>50.02</v>
      </c>
      <c r="V72" s="94">
        <v>49.97</v>
      </c>
      <c r="W72" s="94">
        <v>49.95</v>
      </c>
      <c r="X72" s="94">
        <v>49.92</v>
      </c>
      <c r="Y72" s="94">
        <v>49.87</v>
      </c>
      <c r="Z72" s="94">
        <v>49.85</v>
      </c>
      <c r="AA72" s="94">
        <v>49.854999999999997</v>
      </c>
      <c r="AB72" s="94">
        <v>49.97</v>
      </c>
      <c r="AC72" s="94">
        <v>49.976999999999997</v>
      </c>
      <c r="AD72" s="94">
        <v>50.031999999999996</v>
      </c>
      <c r="AE72" s="94">
        <v>50.067999999999998</v>
      </c>
      <c r="AF72" s="96">
        <v>50.073</v>
      </c>
      <c r="AG72" s="97"/>
      <c r="AH72" s="52">
        <f t="shared" si="2"/>
        <v>56.9</v>
      </c>
      <c r="AI72" s="53">
        <f t="shared" si="3"/>
        <v>49.85</v>
      </c>
      <c r="AJ72" s="185"/>
    </row>
    <row r="73" spans="1:36" x14ac:dyDescent="0.25">
      <c r="A73" s="98" t="s">
        <v>80</v>
      </c>
      <c r="B73" s="100">
        <v>126</v>
      </c>
      <c r="C73" s="70">
        <v>126.4</v>
      </c>
      <c r="D73" s="70">
        <v>127.1</v>
      </c>
      <c r="E73" s="70">
        <v>127.9</v>
      </c>
      <c r="F73" s="70">
        <v>128.30000000000001</v>
      </c>
      <c r="G73" s="70">
        <v>128.4</v>
      </c>
      <c r="H73" s="70">
        <v>128.19999999999999</v>
      </c>
      <c r="I73" s="70">
        <v>127.4</v>
      </c>
      <c r="J73" s="70">
        <v>127.1</v>
      </c>
      <c r="K73" s="70">
        <v>125.5</v>
      </c>
      <c r="L73" s="70">
        <v>125.7</v>
      </c>
      <c r="M73" s="70">
        <v>124.7</v>
      </c>
      <c r="N73" s="70">
        <v>123.7</v>
      </c>
      <c r="O73" s="70">
        <v>124.2</v>
      </c>
      <c r="P73" s="70">
        <v>124.1</v>
      </c>
      <c r="Q73" s="99">
        <v>124</v>
      </c>
      <c r="R73" s="99">
        <v>123.3</v>
      </c>
      <c r="S73" s="99">
        <v>124.7</v>
      </c>
      <c r="T73" s="99">
        <v>124.9</v>
      </c>
      <c r="U73" s="99">
        <v>125.7</v>
      </c>
      <c r="V73" s="99">
        <v>125.6</v>
      </c>
      <c r="W73" s="99">
        <v>126.4</v>
      </c>
      <c r="X73" s="99">
        <v>127</v>
      </c>
      <c r="Y73" s="99">
        <v>124.7</v>
      </c>
      <c r="Z73" s="99">
        <v>124.7</v>
      </c>
      <c r="AA73" s="70">
        <v>126.2</v>
      </c>
      <c r="AB73" s="70">
        <v>126.2</v>
      </c>
      <c r="AC73" s="70">
        <v>125.3</v>
      </c>
      <c r="AD73" s="70">
        <v>125.7</v>
      </c>
      <c r="AE73" s="70">
        <v>127.3</v>
      </c>
      <c r="AF73" s="100">
        <v>127.2</v>
      </c>
      <c r="AG73" s="101"/>
      <c r="AH73" s="52">
        <f t="shared" si="2"/>
        <v>128.4</v>
      </c>
      <c r="AI73" s="53">
        <f t="shared" si="3"/>
        <v>123.3</v>
      </c>
      <c r="AJ73" s="185"/>
    </row>
    <row r="74" spans="1:36" x14ac:dyDescent="0.25">
      <c r="A74" s="98" t="s">
        <v>81</v>
      </c>
      <c r="B74" s="100">
        <v>129.5</v>
      </c>
      <c r="C74" s="70">
        <v>130</v>
      </c>
      <c r="D74" s="70">
        <v>130.6</v>
      </c>
      <c r="E74" s="70">
        <v>131.19999999999999</v>
      </c>
      <c r="F74" s="70">
        <v>131.5</v>
      </c>
      <c r="G74" s="70">
        <v>131.1</v>
      </c>
      <c r="H74" s="70">
        <v>130.9</v>
      </c>
      <c r="I74" s="70">
        <v>130</v>
      </c>
      <c r="J74" s="70">
        <v>129.5</v>
      </c>
      <c r="K74" s="70">
        <v>127</v>
      </c>
      <c r="L74" s="70">
        <v>128.4</v>
      </c>
      <c r="M74" s="70">
        <v>127.2</v>
      </c>
      <c r="N74" s="70">
        <v>126.5</v>
      </c>
      <c r="O74" s="70">
        <v>127.5</v>
      </c>
      <c r="P74" s="70">
        <v>127.2</v>
      </c>
      <c r="Q74" s="99">
        <v>127</v>
      </c>
      <c r="R74" s="99">
        <v>126.5</v>
      </c>
      <c r="S74" s="99">
        <v>128.30000000000001</v>
      </c>
      <c r="T74" s="99">
        <v>128.30000000000001</v>
      </c>
      <c r="U74" s="99">
        <v>129.1</v>
      </c>
      <c r="V74" s="99">
        <v>128.69999999999999</v>
      </c>
      <c r="W74" s="99">
        <v>129.69999999999999</v>
      </c>
      <c r="X74" s="99">
        <v>130</v>
      </c>
      <c r="Y74" s="99">
        <v>127.5</v>
      </c>
      <c r="Z74" s="99">
        <v>127.5</v>
      </c>
      <c r="AA74" s="70">
        <v>128.9</v>
      </c>
      <c r="AB74" s="70">
        <v>128.9</v>
      </c>
      <c r="AC74" s="70">
        <v>128.19999999999999</v>
      </c>
      <c r="AD74" s="70">
        <v>128.80000000000001</v>
      </c>
      <c r="AE74" s="70">
        <v>130.6</v>
      </c>
      <c r="AF74" s="100">
        <v>130.1</v>
      </c>
      <c r="AG74" s="101"/>
      <c r="AH74" s="52">
        <f t="shared" si="2"/>
        <v>131.5</v>
      </c>
      <c r="AI74" s="53">
        <f t="shared" si="3"/>
        <v>126.5</v>
      </c>
      <c r="AJ74" s="185"/>
    </row>
    <row r="75" spans="1:36" x14ac:dyDescent="0.25">
      <c r="A75" s="98" t="s">
        <v>82</v>
      </c>
      <c r="B75" s="100">
        <v>130</v>
      </c>
      <c r="C75" s="70">
        <v>130.9</v>
      </c>
      <c r="D75" s="70">
        <v>129</v>
      </c>
      <c r="E75" s="70">
        <v>129.6</v>
      </c>
      <c r="F75" s="70">
        <v>130.1</v>
      </c>
      <c r="G75" s="70">
        <v>130</v>
      </c>
      <c r="H75" s="70">
        <v>129</v>
      </c>
      <c r="I75" s="70">
        <v>130.1</v>
      </c>
      <c r="J75" s="70">
        <v>128.19999999999999</v>
      </c>
      <c r="K75" s="70">
        <v>127</v>
      </c>
      <c r="L75" s="70">
        <v>127.7</v>
      </c>
      <c r="M75" s="70">
        <v>126.3</v>
      </c>
      <c r="N75" s="70">
        <v>126.4</v>
      </c>
      <c r="O75" s="70">
        <v>127.3</v>
      </c>
      <c r="P75" s="70">
        <v>127.3</v>
      </c>
      <c r="Q75" s="70">
        <v>127.7</v>
      </c>
      <c r="R75" s="70">
        <v>125.8</v>
      </c>
      <c r="S75" s="70">
        <v>124.5</v>
      </c>
      <c r="T75" s="99">
        <v>128.6</v>
      </c>
      <c r="U75" s="99">
        <v>127.4</v>
      </c>
      <c r="V75" s="99">
        <v>127.5</v>
      </c>
      <c r="W75" s="99">
        <v>128.1</v>
      </c>
      <c r="X75" s="99">
        <v>125.9</v>
      </c>
      <c r="Y75" s="99">
        <v>128.80000000000001</v>
      </c>
      <c r="Z75" s="99">
        <v>128.80000000000001</v>
      </c>
      <c r="AA75" s="70">
        <v>125.4</v>
      </c>
      <c r="AB75" s="70">
        <v>125.4</v>
      </c>
      <c r="AC75" s="70">
        <v>125.9</v>
      </c>
      <c r="AD75" s="70">
        <v>128.6</v>
      </c>
      <c r="AE75" s="70">
        <v>131</v>
      </c>
      <c r="AF75" s="100">
        <v>130.80000000000001</v>
      </c>
      <c r="AG75" s="101"/>
      <c r="AH75" s="52">
        <f t="shared" si="2"/>
        <v>131</v>
      </c>
      <c r="AI75" s="53">
        <f t="shared" si="3"/>
        <v>124.5</v>
      </c>
      <c r="AJ75" s="185"/>
    </row>
    <row r="76" spans="1:36" x14ac:dyDescent="0.25">
      <c r="A76" s="102" t="s">
        <v>83</v>
      </c>
      <c r="B76" s="100">
        <v>132.4</v>
      </c>
      <c r="C76" s="70">
        <v>133.30000000000001</v>
      </c>
      <c r="D76" s="70">
        <v>132.4</v>
      </c>
      <c r="E76" s="70">
        <v>132.19999999999999</v>
      </c>
      <c r="F76" s="70">
        <v>133</v>
      </c>
      <c r="G76" s="70">
        <v>132</v>
      </c>
      <c r="H76" s="70">
        <v>131.9</v>
      </c>
      <c r="I76" s="70">
        <v>131.80000000000001</v>
      </c>
      <c r="J76" s="70">
        <v>130</v>
      </c>
      <c r="K76" s="70">
        <v>128.5</v>
      </c>
      <c r="L76" s="70">
        <v>128.80000000000001</v>
      </c>
      <c r="M76" s="70">
        <v>128.5</v>
      </c>
      <c r="N76" s="70">
        <v>128.80000000000001</v>
      </c>
      <c r="O76" s="70">
        <v>129.5</v>
      </c>
      <c r="P76" s="70">
        <v>129.69999999999999</v>
      </c>
      <c r="Q76" s="70">
        <v>129.69999999999999</v>
      </c>
      <c r="R76" s="70">
        <v>126.7</v>
      </c>
      <c r="S76" s="70">
        <v>125.6</v>
      </c>
      <c r="T76" s="99">
        <v>128.69999999999999</v>
      </c>
      <c r="U76" s="99">
        <v>129.1</v>
      </c>
      <c r="V76" s="99">
        <v>128.9</v>
      </c>
      <c r="W76" s="99">
        <v>129.5</v>
      </c>
      <c r="X76" s="99">
        <v>128.19999999999999</v>
      </c>
      <c r="Y76" s="99">
        <v>127.3</v>
      </c>
      <c r="Z76" s="99">
        <v>127.3</v>
      </c>
      <c r="AA76" s="70">
        <v>127</v>
      </c>
      <c r="AB76" s="70">
        <v>127</v>
      </c>
      <c r="AC76" s="70">
        <v>127.9</v>
      </c>
      <c r="AD76" s="70">
        <v>131</v>
      </c>
      <c r="AE76" s="70">
        <v>134</v>
      </c>
      <c r="AF76" s="100">
        <v>132.80000000000001</v>
      </c>
      <c r="AG76" s="101"/>
      <c r="AH76" s="52">
        <f t="shared" si="2"/>
        <v>134</v>
      </c>
      <c r="AI76" s="53">
        <f t="shared" si="3"/>
        <v>125.6</v>
      </c>
      <c r="AJ76" s="185"/>
    </row>
    <row r="77" spans="1:36" x14ac:dyDescent="0.25">
      <c r="A77" s="102" t="s">
        <v>84</v>
      </c>
      <c r="B77" s="104">
        <v>133.30000000000001</v>
      </c>
      <c r="C77" s="103">
        <v>133.80000000000001</v>
      </c>
      <c r="D77" s="103">
        <v>134.80000000000001</v>
      </c>
      <c r="E77" s="103">
        <v>134.80000000000001</v>
      </c>
      <c r="F77" s="103">
        <v>134.5</v>
      </c>
      <c r="G77" s="103">
        <v>134.19999999999999</v>
      </c>
      <c r="H77" s="103">
        <v>135.6</v>
      </c>
      <c r="I77" s="103">
        <v>134.5</v>
      </c>
      <c r="J77" s="103">
        <v>135.19999999999999</v>
      </c>
      <c r="K77" s="103">
        <v>130.9</v>
      </c>
      <c r="L77" s="103">
        <v>133.30000000000001</v>
      </c>
      <c r="M77" s="103">
        <v>134.69999999999999</v>
      </c>
      <c r="N77" s="103">
        <v>133.1</v>
      </c>
      <c r="O77" s="103">
        <v>133.5</v>
      </c>
      <c r="P77" s="103">
        <v>134.5</v>
      </c>
      <c r="Q77" s="103">
        <v>133.5</v>
      </c>
      <c r="R77" s="103">
        <v>133.19999999999999</v>
      </c>
      <c r="S77" s="103">
        <v>97</v>
      </c>
      <c r="T77" s="99">
        <v>133.6</v>
      </c>
      <c r="U77" s="99">
        <v>133.69999999999999</v>
      </c>
      <c r="V77" s="99">
        <v>97</v>
      </c>
      <c r="W77" s="99">
        <v>136.4</v>
      </c>
      <c r="X77" s="99">
        <v>134.69999999999999</v>
      </c>
      <c r="Y77" s="99">
        <v>131.6</v>
      </c>
      <c r="Z77" s="99">
        <v>131.6</v>
      </c>
      <c r="AA77" s="103">
        <v>134.6</v>
      </c>
      <c r="AB77" s="103">
        <v>134.6</v>
      </c>
      <c r="AC77" s="103">
        <v>134.30000000000001</v>
      </c>
      <c r="AD77" s="103">
        <v>134</v>
      </c>
      <c r="AE77" s="103">
        <v>134.5</v>
      </c>
      <c r="AF77" s="104">
        <v>133.69999999999999</v>
      </c>
      <c r="AG77" s="105"/>
      <c r="AH77" s="52">
        <f t="shared" si="2"/>
        <v>136.4</v>
      </c>
      <c r="AI77" s="53">
        <f t="shared" si="3"/>
        <v>97</v>
      </c>
      <c r="AJ77" s="185"/>
    </row>
    <row r="78" spans="1:36" x14ac:dyDescent="0.25">
      <c r="A78" s="98" t="s">
        <v>85</v>
      </c>
      <c r="B78" s="100">
        <v>135.1</v>
      </c>
      <c r="C78" s="70">
        <v>136.9</v>
      </c>
      <c r="D78" s="70">
        <v>139.6</v>
      </c>
      <c r="E78" s="70">
        <v>138</v>
      </c>
      <c r="F78" s="70">
        <v>138</v>
      </c>
      <c r="G78" s="70">
        <v>138</v>
      </c>
      <c r="H78" s="70">
        <v>139.5</v>
      </c>
      <c r="I78" s="70">
        <v>136.4</v>
      </c>
      <c r="J78" s="70">
        <v>137.4</v>
      </c>
      <c r="K78" s="70">
        <v>135.69999999999999</v>
      </c>
      <c r="L78" s="70">
        <v>133.1</v>
      </c>
      <c r="M78" s="70">
        <v>121.1</v>
      </c>
      <c r="N78" s="70">
        <v>126.9</v>
      </c>
      <c r="O78" s="70">
        <v>139.69999999999999</v>
      </c>
      <c r="P78" s="70">
        <v>127.5</v>
      </c>
      <c r="Q78" s="70">
        <v>121.7</v>
      </c>
      <c r="R78" s="70">
        <v>121.3</v>
      </c>
      <c r="S78" s="70">
        <v>122.3</v>
      </c>
      <c r="T78" s="99">
        <v>131.9</v>
      </c>
      <c r="U78" s="99">
        <v>131.5</v>
      </c>
      <c r="V78" s="99">
        <v>130.4</v>
      </c>
      <c r="W78" s="99">
        <v>132.19999999999999</v>
      </c>
      <c r="X78" s="99">
        <v>133.1</v>
      </c>
      <c r="Y78" s="99">
        <v>134.30000000000001</v>
      </c>
      <c r="Z78" s="99">
        <v>134.30000000000001</v>
      </c>
      <c r="AA78" s="70">
        <v>126.2</v>
      </c>
      <c r="AB78" s="70">
        <v>126.2</v>
      </c>
      <c r="AC78" s="70">
        <v>128.1</v>
      </c>
      <c r="AD78" s="70">
        <v>130</v>
      </c>
      <c r="AE78" s="70">
        <v>131.9</v>
      </c>
      <c r="AF78" s="100">
        <v>136.30000000000001</v>
      </c>
      <c r="AG78" s="101"/>
      <c r="AH78" s="52">
        <f>MAX(B78:AF78)</f>
        <v>139.69999999999999</v>
      </c>
      <c r="AI78" s="53">
        <f>MIN(B78:AF78)</f>
        <v>121.1</v>
      </c>
      <c r="AJ78" s="185"/>
    </row>
    <row r="79" spans="1:36" ht="15.75" thickBot="1" x14ac:dyDescent="0.3">
      <c r="A79" s="98" t="s">
        <v>86</v>
      </c>
      <c r="B79" s="107">
        <v>66.599999999999994</v>
      </c>
      <c r="C79" s="106">
        <v>66.8</v>
      </c>
      <c r="D79" s="106">
        <v>67.099999999999994</v>
      </c>
      <c r="E79" s="106">
        <v>67.400000000000006</v>
      </c>
      <c r="F79" s="106">
        <v>67.400000000000006</v>
      </c>
      <c r="G79" s="106">
        <v>67</v>
      </c>
      <c r="H79" s="106">
        <v>66.900000000000006</v>
      </c>
      <c r="I79" s="106">
        <v>66.3</v>
      </c>
      <c r="J79" s="106">
        <v>66.099999999999994</v>
      </c>
      <c r="K79" s="106">
        <v>65.3</v>
      </c>
      <c r="L79" s="106">
        <v>65.599999999999994</v>
      </c>
      <c r="M79" s="106">
        <v>65.099999999999994</v>
      </c>
      <c r="N79" s="106">
        <v>64.7</v>
      </c>
      <c r="O79" s="106">
        <v>65.2</v>
      </c>
      <c r="P79" s="106">
        <v>65.099999999999994</v>
      </c>
      <c r="Q79" s="106">
        <v>65</v>
      </c>
      <c r="R79" s="106">
        <v>64.8</v>
      </c>
      <c r="S79" s="106">
        <v>65.7</v>
      </c>
      <c r="T79" s="106">
        <v>65.599999999999994</v>
      </c>
      <c r="U79" s="106">
        <v>66.2</v>
      </c>
      <c r="V79" s="106">
        <v>65.900000000000006</v>
      </c>
      <c r="W79" s="106">
        <v>66.400000000000006</v>
      </c>
      <c r="X79" s="106">
        <v>66.5</v>
      </c>
      <c r="Y79" s="106">
        <v>65.099999999999994</v>
      </c>
      <c r="Z79" s="106">
        <v>65.099999999999994</v>
      </c>
      <c r="AA79" s="106">
        <v>65.7</v>
      </c>
      <c r="AB79" s="106">
        <v>65.7</v>
      </c>
      <c r="AC79" s="106">
        <v>65.599999999999994</v>
      </c>
      <c r="AD79" s="106">
        <v>66.099999999999994</v>
      </c>
      <c r="AE79" s="106">
        <v>66.900000000000006</v>
      </c>
      <c r="AF79" s="107">
        <v>66.5</v>
      </c>
      <c r="AG79" s="108"/>
      <c r="AH79" s="52">
        <f>MAX(B79:AF79)</f>
        <v>67.400000000000006</v>
      </c>
      <c r="AI79" s="53">
        <f>MIN(B79:AF79)</f>
        <v>64.7</v>
      </c>
      <c r="AJ79" s="185"/>
    </row>
    <row r="80" spans="1:36" x14ac:dyDescent="0.25">
      <c r="A80" s="109" t="s">
        <v>87</v>
      </c>
      <c r="B80" s="110">
        <f>SUMIF(B48:B57,"&gt;0")</f>
        <v>31</v>
      </c>
      <c r="C80" s="110">
        <f t="shared" ref="C80:AF80" si="19">SUMIF(C48:C57,"&gt;0")</f>
        <v>0</v>
      </c>
      <c r="D80" s="110">
        <f t="shared" si="19"/>
        <v>0</v>
      </c>
      <c r="E80" s="110">
        <f t="shared" si="19"/>
        <v>0</v>
      </c>
      <c r="F80" s="110">
        <f t="shared" si="19"/>
        <v>32</v>
      </c>
      <c r="G80" s="110">
        <f t="shared" si="19"/>
        <v>93</v>
      </c>
      <c r="H80" s="110">
        <f t="shared" si="19"/>
        <v>101</v>
      </c>
      <c r="I80" s="110">
        <f t="shared" si="19"/>
        <v>145.4</v>
      </c>
      <c r="J80" s="110">
        <f t="shared" si="19"/>
        <v>174.5</v>
      </c>
      <c r="K80" s="110">
        <f t="shared" si="19"/>
        <v>168.9</v>
      </c>
      <c r="L80" s="110">
        <f t="shared" si="19"/>
        <v>204.89999999999998</v>
      </c>
      <c r="M80" s="110">
        <f t="shared" si="19"/>
        <v>245.61</v>
      </c>
      <c r="N80" s="110">
        <f t="shared" si="19"/>
        <v>248.93</v>
      </c>
      <c r="O80" s="110">
        <f t="shared" si="19"/>
        <v>241</v>
      </c>
      <c r="P80" s="110">
        <f t="shared" si="19"/>
        <v>297.33</v>
      </c>
      <c r="Q80" s="110">
        <f t="shared" si="19"/>
        <v>305.74</v>
      </c>
      <c r="R80" s="110">
        <f t="shared" si="19"/>
        <v>310</v>
      </c>
      <c r="S80" s="110">
        <f t="shared" si="19"/>
        <v>333.43</v>
      </c>
      <c r="T80" s="110">
        <f t="shared" si="19"/>
        <v>284</v>
      </c>
      <c r="U80" s="110">
        <f t="shared" si="19"/>
        <v>176.16</v>
      </c>
      <c r="V80" s="110">
        <f t="shared" si="19"/>
        <v>297</v>
      </c>
      <c r="W80" s="110">
        <f t="shared" si="19"/>
        <v>0</v>
      </c>
      <c r="X80" s="110">
        <f t="shared" si="19"/>
        <v>0</v>
      </c>
      <c r="Y80" s="110">
        <f t="shared" si="19"/>
        <v>357.22</v>
      </c>
      <c r="Z80" s="110">
        <f t="shared" si="19"/>
        <v>496</v>
      </c>
      <c r="AA80" s="110">
        <f t="shared" si="19"/>
        <v>479</v>
      </c>
      <c r="AB80" s="110">
        <f t="shared" si="19"/>
        <v>494</v>
      </c>
      <c r="AC80" s="110">
        <f t="shared" si="19"/>
        <v>455.3</v>
      </c>
      <c r="AD80" s="110">
        <f t="shared" si="19"/>
        <v>372</v>
      </c>
      <c r="AE80" s="110">
        <f t="shared" si="19"/>
        <v>324</v>
      </c>
      <c r="AF80" s="110">
        <f t="shared" si="19"/>
        <v>323</v>
      </c>
      <c r="AG80" s="111"/>
      <c r="AH80" s="52">
        <f>MAX(B80:AF80)</f>
        <v>496</v>
      </c>
      <c r="AI80" s="53">
        <f>MIN(B80:AF80)</f>
        <v>0</v>
      </c>
      <c r="AJ80" s="185"/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  <c r="AJ81" s="185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125.41999999999997</v>
      </c>
      <c r="C82" s="115">
        <f t="shared" ref="C82:AF82" si="20">C11+C13+C17+C34+C36+C38+C40+C94+C108+C110+C121+C127+C130+C139+C143+C144+C147+C154+C159+C162+C163+C164+C172+C177+C83+C84+C85+C86+C99</f>
        <v>122.01999999999998</v>
      </c>
      <c r="D82" s="115">
        <f t="shared" si="20"/>
        <v>119.91999999999996</v>
      </c>
      <c r="E82" s="115">
        <f t="shared" si="20"/>
        <v>125.00999999999996</v>
      </c>
      <c r="F82" s="115">
        <f t="shared" si="20"/>
        <v>140.51999999999998</v>
      </c>
      <c r="G82" s="115">
        <f t="shared" si="20"/>
        <v>180.31999999999996</v>
      </c>
      <c r="H82" s="115">
        <f t="shared" si="20"/>
        <v>193.81999999999996</v>
      </c>
      <c r="I82" s="115">
        <f t="shared" si="20"/>
        <v>214.22</v>
      </c>
      <c r="J82" s="115">
        <f t="shared" si="20"/>
        <v>234.29999999999998</v>
      </c>
      <c r="K82" s="115">
        <f t="shared" si="20"/>
        <v>286.51999999999992</v>
      </c>
      <c r="L82" s="115">
        <f t="shared" si="20"/>
        <v>243.82</v>
      </c>
      <c r="M82" s="115">
        <f t="shared" si="20"/>
        <v>250.41999999999996</v>
      </c>
      <c r="N82" s="115">
        <f t="shared" si="20"/>
        <v>238.01999999999998</v>
      </c>
      <c r="O82" s="115">
        <f t="shared" si="20"/>
        <v>227.01999999999998</v>
      </c>
      <c r="P82" s="115">
        <f t="shared" si="20"/>
        <v>208.02</v>
      </c>
      <c r="Q82" s="115">
        <f t="shared" si="20"/>
        <v>210.21999999999997</v>
      </c>
      <c r="R82" s="115">
        <f t="shared" si="20"/>
        <v>280.41999999999996</v>
      </c>
      <c r="S82" s="115">
        <f t="shared" si="20"/>
        <v>277.21999999999997</v>
      </c>
      <c r="T82" s="115">
        <f t="shared" si="20"/>
        <v>284.31999999999994</v>
      </c>
      <c r="U82" s="115">
        <f t="shared" si="20"/>
        <v>294.31999999999994</v>
      </c>
      <c r="V82" s="115">
        <f t="shared" si="20"/>
        <v>216.81999999999996</v>
      </c>
      <c r="W82" s="115">
        <f t="shared" si="20"/>
        <v>215.82</v>
      </c>
      <c r="X82" s="115">
        <f t="shared" si="20"/>
        <v>233.32000000000002</v>
      </c>
      <c r="Y82" s="115">
        <f t="shared" si="20"/>
        <v>275.71999999999997</v>
      </c>
      <c r="Z82" s="115">
        <f t="shared" si="20"/>
        <v>306.21999999999997</v>
      </c>
      <c r="AA82" s="115">
        <f t="shared" si="20"/>
        <v>284.52</v>
      </c>
      <c r="AB82" s="115">
        <f t="shared" si="20"/>
        <v>264.61999999999995</v>
      </c>
      <c r="AC82" s="115">
        <f t="shared" si="20"/>
        <v>234.01999999999998</v>
      </c>
      <c r="AD82" s="115">
        <f t="shared" si="20"/>
        <v>185.32</v>
      </c>
      <c r="AE82" s="115">
        <f t="shared" si="20"/>
        <v>157.31999999999996</v>
      </c>
      <c r="AF82" s="115">
        <f t="shared" si="20"/>
        <v>141.01999999999998</v>
      </c>
      <c r="AG82" s="116"/>
      <c r="AH82" s="52">
        <f>MAX(B82:AF82)</f>
        <v>306.21999999999997</v>
      </c>
      <c r="AI82" s="53">
        <f>MIN(B82:AF82)</f>
        <v>119.91999999999996</v>
      </c>
      <c r="AJ82" s="185"/>
    </row>
    <row r="83" spans="1:37" x14ac:dyDescent="0.25">
      <c r="A83" s="117" t="s">
        <v>89</v>
      </c>
      <c r="B83" s="119">
        <v>67.2</v>
      </c>
      <c r="C83" s="118">
        <v>68.599999999999994</v>
      </c>
      <c r="D83" s="118">
        <v>67.5</v>
      </c>
      <c r="E83" s="118">
        <v>62</v>
      </c>
      <c r="F83" s="118">
        <v>59.2</v>
      </c>
      <c r="G83" s="118">
        <v>57.1</v>
      </c>
      <c r="H83" s="118">
        <v>57</v>
      </c>
      <c r="I83" s="118">
        <v>54.7</v>
      </c>
      <c r="J83" s="118">
        <v>53.4</v>
      </c>
      <c r="K83" s="118">
        <v>56.1</v>
      </c>
      <c r="L83" s="118">
        <v>53.9</v>
      </c>
      <c r="M83" s="118">
        <v>54.1</v>
      </c>
      <c r="N83" s="118">
        <v>57.2</v>
      </c>
      <c r="O83" s="118">
        <v>57.5</v>
      </c>
      <c r="P83" s="118">
        <v>58.7</v>
      </c>
      <c r="Q83" s="118">
        <v>54.2</v>
      </c>
      <c r="R83" s="118">
        <v>63.5</v>
      </c>
      <c r="S83" s="118">
        <v>62.4</v>
      </c>
      <c r="T83" s="118">
        <v>61.3</v>
      </c>
      <c r="U83" s="118">
        <v>60.7</v>
      </c>
      <c r="V83" s="118">
        <v>63.2</v>
      </c>
      <c r="W83" s="118">
        <v>68.400000000000006</v>
      </c>
      <c r="X83" s="118">
        <v>66.2</v>
      </c>
      <c r="Y83" s="118">
        <v>63.9</v>
      </c>
      <c r="Z83" s="118">
        <v>42.2</v>
      </c>
      <c r="AA83" s="50">
        <v>49</v>
      </c>
      <c r="AB83" s="50">
        <v>47</v>
      </c>
      <c r="AC83" s="50">
        <v>51</v>
      </c>
      <c r="AD83" s="50">
        <v>57</v>
      </c>
      <c r="AE83" s="50">
        <v>51</v>
      </c>
      <c r="AF83" s="119">
        <v>41</v>
      </c>
      <c r="AG83" s="120">
        <v>75</v>
      </c>
      <c r="AH83" s="52">
        <f>IF(ABS(MAX(B83:AF83))&gt;ABS(MIN(B83:AF83)),MAX(B83:AF83),MIN(B83:AF83))</f>
        <v>68.599999999999994</v>
      </c>
      <c r="AI83" s="121">
        <f>INDEX($B$9:$AF$9,1,MATCH(AH83,B83:AF83,0))</f>
        <v>8.3333333333333301E-2</v>
      </c>
      <c r="AJ83" s="185"/>
    </row>
    <row r="84" spans="1:37" x14ac:dyDescent="0.25">
      <c r="A84" s="122" t="s">
        <v>90</v>
      </c>
      <c r="B84" s="123">
        <f>-35.2-39.1</f>
        <v>-74.300000000000011</v>
      </c>
      <c r="C84" s="83">
        <f>-36.7-40.4</f>
        <v>-77.099999999999994</v>
      </c>
      <c r="D84" s="83">
        <v>-78</v>
      </c>
      <c r="E84" s="83">
        <v>-70</v>
      </c>
      <c r="F84" s="83">
        <v>-62.5</v>
      </c>
      <c r="G84" s="83">
        <v>-49</v>
      </c>
      <c r="H84" s="83">
        <v>-42</v>
      </c>
      <c r="I84" s="83">
        <v>-33</v>
      </c>
      <c r="J84" s="83">
        <v>-24.6</v>
      </c>
      <c r="K84" s="83">
        <v>26.3</v>
      </c>
      <c r="L84" s="83">
        <f>-(8.1+9.6)</f>
        <v>-17.7</v>
      </c>
      <c r="M84" s="83">
        <v>-17</v>
      </c>
      <c r="N84" s="83">
        <f>-(11+12)</f>
        <v>-23</v>
      </c>
      <c r="O84" s="83">
        <v>-28</v>
      </c>
      <c r="P84" s="83">
        <f>-(15.7+18)</f>
        <v>-33.700000000000003</v>
      </c>
      <c r="Q84" s="83">
        <v>-29</v>
      </c>
      <c r="R84" s="83">
        <v>36.9</v>
      </c>
      <c r="S84" s="83">
        <v>33.200000000000003</v>
      </c>
      <c r="T84" s="83">
        <v>34.299999999999997</v>
      </c>
      <c r="U84" s="83">
        <v>36.799999999999997</v>
      </c>
      <c r="V84" s="83">
        <v>-38.9</v>
      </c>
      <c r="W84" s="83">
        <v>-45.2</v>
      </c>
      <c r="X84" s="83">
        <f>-39.2</f>
        <v>-39.200000000000003</v>
      </c>
      <c r="Y84" s="83">
        <v>-19</v>
      </c>
      <c r="Z84" s="83">
        <v>9.8000000000000007</v>
      </c>
      <c r="AA84" s="70">
        <v>5</v>
      </c>
      <c r="AB84" s="70">
        <v>4</v>
      </c>
      <c r="AC84" s="70">
        <v>-10</v>
      </c>
      <c r="AD84" s="70">
        <v>-32</v>
      </c>
      <c r="AE84" s="70">
        <v>-46</v>
      </c>
      <c r="AF84" s="123">
        <v>-44</v>
      </c>
      <c r="AG84" s="120">
        <v>240</v>
      </c>
      <c r="AH84" s="52">
        <f>IF(ABS(MAX(B84:AF84))&gt;ABS(MIN(B84:AF84)),MAX(B84:AF84),MIN(B84:AF84))</f>
        <v>-78</v>
      </c>
      <c r="AI84" s="121">
        <f>INDEX($B$9:$AF$9,1,MATCH(AH84,B84:AF84,0))</f>
        <v>0.125</v>
      </c>
      <c r="AJ84" s="185"/>
    </row>
    <row r="85" spans="1:37" x14ac:dyDescent="0.25">
      <c r="A85" s="122" t="s">
        <v>91</v>
      </c>
      <c r="B85" s="123">
        <v>-3.1</v>
      </c>
      <c r="C85" s="83">
        <v>-4.0999999999999996</v>
      </c>
      <c r="D85" s="83">
        <v>-4.0999999999999996</v>
      </c>
      <c r="E85" s="83">
        <v>-2.5</v>
      </c>
      <c r="F85" s="83">
        <v>-1.2</v>
      </c>
      <c r="G85" s="83">
        <v>3.8</v>
      </c>
      <c r="H85" s="83">
        <v>4.5999999999999996</v>
      </c>
      <c r="I85" s="83">
        <v>7.8</v>
      </c>
      <c r="J85" s="83">
        <v>8</v>
      </c>
      <c r="K85" s="83">
        <v>8.3000000000000007</v>
      </c>
      <c r="L85" s="83">
        <v>8.9</v>
      </c>
      <c r="M85" s="83">
        <v>10.6</v>
      </c>
      <c r="N85" s="83">
        <v>8.6999999999999993</v>
      </c>
      <c r="O85" s="83">
        <v>9</v>
      </c>
      <c r="P85" s="83">
        <v>5.4</v>
      </c>
      <c r="Q85" s="83">
        <v>4.5</v>
      </c>
      <c r="R85" s="83">
        <v>3.2</v>
      </c>
      <c r="S85" s="83">
        <v>3.6</v>
      </c>
      <c r="T85" s="83">
        <v>5.2</v>
      </c>
      <c r="U85" s="83">
        <v>4.5</v>
      </c>
      <c r="V85" s="83">
        <v>6.7</v>
      </c>
      <c r="W85" s="83">
        <v>3.9</v>
      </c>
      <c r="X85" s="83">
        <v>6.3</v>
      </c>
      <c r="Y85" s="83">
        <v>10.3</v>
      </c>
      <c r="Z85" s="83">
        <v>33.1</v>
      </c>
      <c r="AA85" s="70">
        <v>19</v>
      </c>
      <c r="AB85" s="70">
        <v>12.6</v>
      </c>
      <c r="AC85" s="70">
        <v>8.6999999999999993</v>
      </c>
      <c r="AD85" s="70">
        <v>2.2999999999999998</v>
      </c>
      <c r="AE85" s="70">
        <v>1</v>
      </c>
      <c r="AF85" s="123">
        <v>1.1000000000000001</v>
      </c>
      <c r="AG85" s="120">
        <v>60</v>
      </c>
      <c r="AH85" s="52">
        <f>IF(ABS(MAX(B85:AF85))&gt;ABS(MIN(B85:AF85)),MAX(B85:AF85),MIN(B85:AF85))</f>
        <v>33.1</v>
      </c>
      <c r="AI85" s="121">
        <f>INDEX($B$9:$AF$9,1,MATCH(AH85,B85:AF85,0))</f>
        <v>0.8125</v>
      </c>
      <c r="AJ85" s="185"/>
    </row>
    <row r="86" spans="1:37" x14ac:dyDescent="0.25">
      <c r="A86" s="124" t="s">
        <v>92</v>
      </c>
      <c r="B86" s="126">
        <v>-54.2</v>
      </c>
      <c r="C86" s="85">
        <v>-51.6</v>
      </c>
      <c r="D86" s="85">
        <v>-50.4</v>
      </c>
      <c r="E86" s="85">
        <v>-49.5</v>
      </c>
      <c r="F86" s="85">
        <v>-36</v>
      </c>
      <c r="G86" s="85">
        <v>-11.3</v>
      </c>
      <c r="H86" s="85">
        <v>-6.2</v>
      </c>
      <c r="I86" s="85">
        <v>7.2</v>
      </c>
      <c r="J86" s="85">
        <v>19.7</v>
      </c>
      <c r="K86" s="85">
        <v>19.2</v>
      </c>
      <c r="L86" s="85">
        <v>25.4</v>
      </c>
      <c r="M86" s="85">
        <v>27.2</v>
      </c>
      <c r="N86" s="85">
        <v>20.100000000000001</v>
      </c>
      <c r="O86" s="85">
        <v>14.1</v>
      </c>
      <c r="P86" s="85">
        <v>6.9</v>
      </c>
      <c r="Q86" s="85">
        <v>6.6</v>
      </c>
      <c r="R86" s="85">
        <v>9.6</v>
      </c>
      <c r="S86" s="85">
        <v>10.199999999999999</v>
      </c>
      <c r="T86" s="85">
        <v>16.5</v>
      </c>
      <c r="U86" s="85">
        <v>23.4</v>
      </c>
      <c r="V86" s="85">
        <v>17.899999999999999</v>
      </c>
      <c r="W86" s="85">
        <v>21</v>
      </c>
      <c r="X86" s="85">
        <v>25.2</v>
      </c>
      <c r="Y86" s="85">
        <v>52.9</v>
      </c>
      <c r="Z86" s="85">
        <v>55.9</v>
      </c>
      <c r="AA86" s="125">
        <v>39.5</v>
      </c>
      <c r="AB86" s="125">
        <v>29</v>
      </c>
      <c r="AC86" s="125">
        <v>12.3</v>
      </c>
      <c r="AD86" s="125">
        <v>-13.6</v>
      </c>
      <c r="AE86" s="125">
        <v>-19</v>
      </c>
      <c r="AF86" s="126">
        <v>-25</v>
      </c>
      <c r="AG86" s="127">
        <v>120</v>
      </c>
      <c r="AH86" s="52">
        <f>IF(ABS(MAX(B86:AF86))&gt;ABS(MIN(B86:AF86)),MAX(B86:AF86),MIN(B86:AF86))</f>
        <v>55.9</v>
      </c>
      <c r="AI86" s="121">
        <f>INDEX($B$9:$AF$9,1,MATCH(AH86,B86:AF86,0))</f>
        <v>0.8125</v>
      </c>
      <c r="AJ86" s="185"/>
    </row>
    <row r="87" spans="1:37" ht="15.75" thickBot="1" x14ac:dyDescent="0.3">
      <c r="A87" s="124" t="s">
        <v>93</v>
      </c>
      <c r="B87" s="126">
        <v>-20.7</v>
      </c>
      <c r="C87" s="85">
        <v>-24</v>
      </c>
      <c r="D87" s="85">
        <v>-24.5</v>
      </c>
      <c r="E87" s="85">
        <v>-19.3</v>
      </c>
      <c r="F87" s="85">
        <v>-18</v>
      </c>
      <c r="G87" s="85">
        <v>-5.8</v>
      </c>
      <c r="H87" s="85">
        <v>-4.5999999999999996</v>
      </c>
      <c r="I87" s="85">
        <v>9.3000000000000007</v>
      </c>
      <c r="J87" s="85">
        <v>13.9</v>
      </c>
      <c r="K87" s="85">
        <v>14.8</v>
      </c>
      <c r="L87" s="85">
        <v>29.1</v>
      </c>
      <c r="M87" s="85">
        <v>34.5</v>
      </c>
      <c r="N87" s="85">
        <v>35.5</v>
      </c>
      <c r="O87" s="85">
        <v>35.6</v>
      </c>
      <c r="P87" s="85">
        <v>32.9</v>
      </c>
      <c r="Q87" s="85">
        <v>42.2</v>
      </c>
      <c r="R87" s="85">
        <v>27.7</v>
      </c>
      <c r="S87" s="85">
        <v>36.200000000000003</v>
      </c>
      <c r="T87" s="85">
        <v>35.6</v>
      </c>
      <c r="U87" s="85">
        <v>26.8</v>
      </c>
      <c r="V87" s="85">
        <v>21.9</v>
      </c>
      <c r="W87" s="85">
        <v>10.6</v>
      </c>
      <c r="X87" s="85">
        <v>13</v>
      </c>
      <c r="Y87" s="85">
        <v>39.200000000000003</v>
      </c>
      <c r="Z87" s="85">
        <v>62.6</v>
      </c>
      <c r="AA87" s="125">
        <v>61</v>
      </c>
      <c r="AB87" s="125">
        <v>72</v>
      </c>
      <c r="AC87" s="125">
        <v>61</v>
      </c>
      <c r="AD87" s="125">
        <v>41</v>
      </c>
      <c r="AE87" s="125">
        <v>31</v>
      </c>
      <c r="AF87" s="126">
        <v>37</v>
      </c>
      <c r="AG87" s="127"/>
      <c r="AH87" s="52">
        <f>IF(ABS(MAX(B87:AF87))&gt;ABS(MIN(B87:AF87)),MAX(B87:AF87),MIN(B87:AF87))</f>
        <v>72</v>
      </c>
      <c r="AI87" s="121">
        <f>INDEX($B$9:$AF$9,1,MATCH(AH87,B87:AF87,0))</f>
        <v>0.85416666666666663</v>
      </c>
      <c r="AJ87" s="185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853.15000000000009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7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7)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7)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656.6400000000001</v>
      </c>
      <c r="U193" s="173">
        <f t="shared" si="37"/>
        <v>616.94000000000005</v>
      </c>
      <c r="V193" s="173">
        <f t="shared" si="37"/>
        <v>601.63999999999987</v>
      </c>
      <c r="W193" s="173">
        <f t="shared" si="37"/>
        <v>602.23</v>
      </c>
      <c r="X193" s="173">
        <f t="shared" si="37"/>
        <v>623.04</v>
      </c>
      <c r="Y193" s="173">
        <f t="shared" si="37"/>
        <v>701.54</v>
      </c>
      <c r="Z193" s="173">
        <f t="shared" si="37"/>
        <v>713.94</v>
      </c>
      <c r="AA193" s="173">
        <f t="shared" si="37"/>
        <v>762.76</v>
      </c>
      <c r="AB193" s="173">
        <f t="shared" si="37"/>
        <v>788.62</v>
      </c>
      <c r="AC193" s="173">
        <f t="shared" si="37"/>
        <v>782.43999999999994</v>
      </c>
      <c r="AD193" s="173">
        <f t="shared" si="37"/>
        <v>821.24</v>
      </c>
      <c r="AE193" s="173">
        <f t="shared" si="37"/>
        <v>853.15000000000009</v>
      </c>
      <c r="AF193" s="173">
        <f t="shared" si="37"/>
        <v>845.17</v>
      </c>
      <c r="AG193" s="173">
        <f t="shared" si="37"/>
        <v>844.13999999999987</v>
      </c>
      <c r="AH193" s="173">
        <f t="shared" si="37"/>
        <v>895.67000000000007</v>
      </c>
      <c r="AI193" s="173">
        <f t="shared" si="37"/>
        <v>897.07999999999993</v>
      </c>
      <c r="AJ193" s="173">
        <f t="shared" si="37"/>
        <v>913.54</v>
      </c>
      <c r="AK193" s="173">
        <f t="shared" si="37"/>
        <v>937.2399999999999</v>
      </c>
      <c r="AL193" s="173">
        <f t="shared" si="37"/>
        <v>887.74</v>
      </c>
      <c r="AM193" s="173">
        <f t="shared" si="37"/>
        <v>782.6</v>
      </c>
      <c r="AN193" s="173">
        <f t="shared" si="37"/>
        <v>902.63999999999987</v>
      </c>
      <c r="AO193" s="173">
        <f t="shared" si="37"/>
        <v>605.33999999999992</v>
      </c>
      <c r="AP193" s="173">
        <f t="shared" si="37"/>
        <v>612.43999999999994</v>
      </c>
      <c r="AQ193" s="173">
        <f t="shared" si="37"/>
        <v>984.26</v>
      </c>
      <c r="AR193" s="173">
        <f t="shared" si="37"/>
        <v>1179.8400000000001</v>
      </c>
      <c r="AS193" s="173">
        <f t="shared" si="37"/>
        <v>1168.7399999999998</v>
      </c>
      <c r="AT193" s="173">
        <f t="shared" si="37"/>
        <v>1129.24</v>
      </c>
      <c r="AU193" s="173">
        <f t="shared" si="37"/>
        <v>1091.3399999999999</v>
      </c>
      <c r="AV193" s="173">
        <f t="shared" si="37"/>
        <v>1004.44</v>
      </c>
      <c r="AW193" s="173">
        <f t="shared" si="37"/>
        <v>936.14</v>
      </c>
      <c r="AX193" s="173">
        <f t="shared" si="37"/>
        <v>902.34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838" priority="158">
      <formula>S$9&gt;=20/24</formula>
    </cfRule>
    <cfRule type="expression" dxfId="4837" priority="159">
      <formula>AND(S$9&gt;=14/24,S$9&lt;20/24)</formula>
    </cfRule>
    <cfRule type="expression" dxfId="4836" priority="160">
      <formula>AND(S$9&gt;=8/24,S$9&lt;14/24)</formula>
    </cfRule>
    <cfRule type="expression" dxfId="4835" priority="161">
      <formula>S$9&lt;8/24</formula>
    </cfRule>
  </conditionalFormatting>
  <conditionalFormatting sqref="B8:AF10 AA70:AF70 C70:Q70 L32:Z33 L31:Q31 C47:AF47 C71:AF71 C72:Q72 C173:AF179 M36 N35:Q36 L29:Q29 M37:Q39 L34:Q34 L50:T50 V35:W35 S34:W34 AA48:AF50 R11:T11 C59:AF69 C48:K52 L51:Q58 L49:Z49 X34:Z35 R38:AF39 C73:Z79 AA72:AF79 U11:AF12 L44:AF46">
    <cfRule type="expression" dxfId="4834" priority="154">
      <formula>B$9&gt;=20/24</formula>
    </cfRule>
    <cfRule type="expression" dxfId="4833" priority="155">
      <formula>AND(B$9&gt;=14/24,B$9&lt;20/24)</formula>
    </cfRule>
    <cfRule type="expression" dxfId="4832" priority="156">
      <formula>AND(B$9&gt;=8/24,B$9&lt;14/24)</formula>
    </cfRule>
    <cfRule type="expression" dxfId="4831" priority="157">
      <formula>B$9&lt;8/24</formula>
    </cfRule>
  </conditionalFormatting>
  <conditionalFormatting sqref="B171:AF171">
    <cfRule type="expression" dxfId="4830" priority="150">
      <formula>B$9&gt;=20/24</formula>
    </cfRule>
    <cfRule type="expression" dxfId="4829" priority="151">
      <formula>AND(B$9&gt;=14/24,B$9&lt;20/24)</formula>
    </cfRule>
    <cfRule type="expression" dxfId="4828" priority="152">
      <formula>AND(B$9&gt;=8/24,B$9&lt;14/24)</formula>
    </cfRule>
    <cfRule type="expression" dxfId="4827" priority="153">
      <formula>B$9&lt;8/24</formula>
    </cfRule>
  </conditionalFormatting>
  <conditionalFormatting sqref="AL4:AL6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826" priority="145">
      <formula>L$9&gt;=20/24</formula>
    </cfRule>
    <cfRule type="expression" dxfId="4825" priority="146">
      <formula>AND(L$9&gt;=14/24,L$9&lt;20/24)</formula>
    </cfRule>
    <cfRule type="expression" dxfId="4824" priority="147">
      <formula>AND(L$9&gt;=8/24,L$9&lt;14/24)</formula>
    </cfRule>
    <cfRule type="expression" dxfId="4823" priority="148">
      <formula>L$9&lt;8/24</formula>
    </cfRule>
  </conditionalFormatting>
  <conditionalFormatting sqref="L35:M35">
    <cfRule type="expression" dxfId="4822" priority="141">
      <formula>L$9&gt;=20/24</formula>
    </cfRule>
    <cfRule type="expression" dxfId="4821" priority="142">
      <formula>AND(L$9&gt;=14/24,L$9&lt;20/24)</formula>
    </cfRule>
    <cfRule type="expression" dxfId="4820" priority="143">
      <formula>AND(L$9&gt;=8/24,L$9&lt;14/24)</formula>
    </cfRule>
    <cfRule type="expression" dxfId="4819" priority="144">
      <formula>L$9&lt;8/24</formula>
    </cfRule>
  </conditionalFormatting>
  <conditionalFormatting sqref="U13:AF13">
    <cfRule type="expression" dxfId="4818" priority="137">
      <formula>U$9&gt;=20/24</formula>
    </cfRule>
    <cfRule type="expression" dxfId="4817" priority="138">
      <formula>AND(U$9&gt;=14/24,U$9&lt;20/24)</formula>
    </cfRule>
    <cfRule type="expression" dxfId="4816" priority="139">
      <formula>AND(U$9&gt;=8/24,U$9&lt;14/24)</formula>
    </cfRule>
    <cfRule type="expression" dxfId="4815" priority="140">
      <formula>U$9&lt;8/24</formula>
    </cfRule>
  </conditionalFormatting>
  <conditionalFormatting sqref="R31:Z31">
    <cfRule type="expression" dxfId="4814" priority="133">
      <formula>R$9&gt;=20/24</formula>
    </cfRule>
    <cfRule type="expression" dxfId="4813" priority="134">
      <formula>AND(R$9&gt;=14/24,R$9&lt;20/24)</formula>
    </cfRule>
    <cfRule type="expression" dxfId="4812" priority="135">
      <formula>AND(R$9&gt;=8/24,R$9&lt;14/24)</formula>
    </cfRule>
    <cfRule type="expression" dxfId="4811" priority="136">
      <formula>R$9&lt;8/24</formula>
    </cfRule>
  </conditionalFormatting>
  <conditionalFormatting sqref="R48:Z48">
    <cfRule type="expression" dxfId="4810" priority="129">
      <formula>R$9&gt;=20/24</formula>
    </cfRule>
    <cfRule type="expression" dxfId="4809" priority="130">
      <formula>AND(R$9&gt;=14/24,R$9&lt;20/24)</formula>
    </cfRule>
    <cfRule type="expression" dxfId="4808" priority="131">
      <formula>AND(R$9&gt;=8/24,R$9&lt;14/24)</formula>
    </cfRule>
    <cfRule type="expression" dxfId="4807" priority="132">
      <formula>R$9&lt;8/24</formula>
    </cfRule>
  </conditionalFormatting>
  <conditionalFormatting sqref="R70:Z70">
    <cfRule type="expression" dxfId="4806" priority="125">
      <formula>R$9&gt;=20/24</formula>
    </cfRule>
    <cfRule type="expression" dxfId="4805" priority="126">
      <formula>AND(R$9&gt;=14/24,R$9&lt;20/24)</formula>
    </cfRule>
    <cfRule type="expression" dxfId="4804" priority="127">
      <formula>AND(R$9&gt;=8/24,R$9&lt;14/24)</formula>
    </cfRule>
    <cfRule type="expression" dxfId="4803" priority="128">
      <formula>R$9&lt;8/24</formula>
    </cfRule>
  </conditionalFormatting>
  <conditionalFormatting sqref="R72:Z72">
    <cfRule type="expression" dxfId="4802" priority="121">
      <formula>R$9&gt;=20/24</formula>
    </cfRule>
    <cfRule type="expression" dxfId="4801" priority="122">
      <formula>AND(R$9&gt;=14/24,R$9&lt;20/24)</formula>
    </cfRule>
    <cfRule type="expression" dxfId="4800" priority="123">
      <formula>AND(R$9&gt;=8/24,R$9&lt;14/24)</formula>
    </cfRule>
    <cfRule type="expression" dxfId="4799" priority="124">
      <formula>R$9&lt;8/24</formula>
    </cfRule>
  </conditionalFormatting>
  <conditionalFormatting sqref="L11:Q27 R20:AF27 R18:AF18">
    <cfRule type="expression" dxfId="4798" priority="117">
      <formula>L$9&gt;=20/24</formula>
    </cfRule>
    <cfRule type="expression" dxfId="4797" priority="118">
      <formula>AND(L$9&gt;=14/24,L$9&lt;20/24)</formula>
    </cfRule>
    <cfRule type="expression" dxfId="4796" priority="119">
      <formula>AND(L$9&gt;=8/24,L$9&lt;14/24)</formula>
    </cfRule>
    <cfRule type="expression" dxfId="4795" priority="120">
      <formula>L$9&lt;8/24</formula>
    </cfRule>
  </conditionalFormatting>
  <conditionalFormatting sqref="L40:AF40">
    <cfRule type="expression" dxfId="4794" priority="113">
      <formula>L$9&gt;=20/24</formula>
    </cfRule>
    <cfRule type="expression" dxfId="4793" priority="114">
      <formula>AND(L$9&gt;=14/24,L$9&lt;20/24)</formula>
    </cfRule>
    <cfRule type="expression" dxfId="4792" priority="115">
      <formula>AND(L$9&gt;=8/24,L$9&lt;14/24)</formula>
    </cfRule>
    <cfRule type="expression" dxfId="4791" priority="116">
      <formula>L$9&lt;8/24</formula>
    </cfRule>
  </conditionalFormatting>
  <conditionalFormatting sqref="L41:AF41">
    <cfRule type="expression" dxfId="4790" priority="109">
      <formula>L$9&gt;=20/24</formula>
    </cfRule>
    <cfRule type="expression" dxfId="4789" priority="110">
      <formula>AND(L$9&gt;=14/24,L$9&lt;20/24)</formula>
    </cfRule>
    <cfRule type="expression" dxfId="4788" priority="111">
      <formula>AND(L$9&gt;=8/24,L$9&lt;14/24)</formula>
    </cfRule>
    <cfRule type="expression" dxfId="4787" priority="112">
      <formula>L$9&lt;8/24</formula>
    </cfRule>
  </conditionalFormatting>
  <conditionalFormatting sqref="L36:L39 M38:AF39">
    <cfRule type="expression" dxfId="4786" priority="105">
      <formula>L$9&gt;=20/24</formula>
    </cfRule>
    <cfRule type="expression" dxfId="4785" priority="106">
      <formula>AND(L$9&gt;=14/24,L$9&lt;20/24)</formula>
    </cfRule>
    <cfRule type="expression" dxfId="4784" priority="107">
      <formula>AND(L$9&gt;=8/24,L$9&lt;14/24)</formula>
    </cfRule>
    <cfRule type="expression" dxfId="4783" priority="108">
      <formula>L$9&lt;8/24</formula>
    </cfRule>
  </conditionalFormatting>
  <conditionalFormatting sqref="R29:AD29">
    <cfRule type="expression" dxfId="4782" priority="101">
      <formula>R$9&gt;=20/24</formula>
    </cfRule>
    <cfRule type="expression" dxfId="4781" priority="102">
      <formula>AND(R$9&gt;=14/24,R$9&lt;20/24)</formula>
    </cfRule>
    <cfRule type="expression" dxfId="4780" priority="103">
      <formula>AND(R$9&gt;=8/24,R$9&lt;14/24)</formula>
    </cfRule>
    <cfRule type="expression" dxfId="4779" priority="104">
      <formula>R$9&lt;8/24</formula>
    </cfRule>
  </conditionalFormatting>
  <conditionalFormatting sqref="R12:T27 S16:Z16 S14:Z14 U14:AF27">
    <cfRule type="expression" dxfId="4778" priority="97">
      <formula>R$9&gt;=20/24</formula>
    </cfRule>
    <cfRule type="expression" dxfId="4777" priority="98">
      <formula>AND(R$9&gt;=14/24,R$9&lt;20/24)</formula>
    </cfRule>
    <cfRule type="expression" dxfId="4776" priority="99">
      <formula>AND(R$9&gt;=8/24,R$9&lt;14/24)</formula>
    </cfRule>
    <cfRule type="expression" dxfId="4775" priority="100">
      <formula>R$9&lt;8/24</formula>
    </cfRule>
  </conditionalFormatting>
  <conditionalFormatting sqref="R34:R39 S35:U39 V36:Z39 AA37:AF39 S37:AF37">
    <cfRule type="expression" dxfId="4774" priority="93">
      <formula>R$9&gt;=20/24</formula>
    </cfRule>
    <cfRule type="expression" dxfId="4773" priority="94">
      <formula>AND(R$9&gt;=14/24,R$9&lt;20/24)</formula>
    </cfRule>
    <cfRule type="expression" dxfId="4772" priority="95">
      <formula>AND(R$9&gt;=8/24,R$9&lt;14/24)</formula>
    </cfRule>
    <cfRule type="expression" dxfId="4771" priority="96">
      <formula>R$9&lt;8/24</formula>
    </cfRule>
  </conditionalFormatting>
  <conditionalFormatting sqref="R40:AF40">
    <cfRule type="expression" dxfId="4770" priority="89">
      <formula>R$9&gt;=20/24</formula>
    </cfRule>
    <cfRule type="expression" dxfId="4769" priority="90">
      <formula>AND(R$9&gt;=14/24,R$9&lt;20/24)</formula>
    </cfRule>
    <cfRule type="expression" dxfId="4768" priority="91">
      <formula>AND(R$9&gt;=8/24,R$9&lt;14/24)</formula>
    </cfRule>
    <cfRule type="expression" dxfId="4767" priority="92">
      <formula>R$9&lt;8/24</formula>
    </cfRule>
  </conditionalFormatting>
  <conditionalFormatting sqref="R41:AF41">
    <cfRule type="expression" dxfId="4766" priority="85">
      <formula>R$9&gt;=20/24</formula>
    </cfRule>
    <cfRule type="expression" dxfId="4765" priority="86">
      <formula>AND(R$9&gt;=14/24,R$9&lt;20/24)</formula>
    </cfRule>
    <cfRule type="expression" dxfId="4764" priority="87">
      <formula>AND(R$9&gt;=8/24,R$9&lt;14/24)</formula>
    </cfRule>
    <cfRule type="expression" dxfId="4763" priority="88">
      <formula>R$9&lt;8/24</formula>
    </cfRule>
  </conditionalFormatting>
  <conditionalFormatting sqref="R51:AF58">
    <cfRule type="expression" dxfId="4762" priority="81">
      <formula>R$9&gt;=20/24</formula>
    </cfRule>
    <cfRule type="expression" dxfId="4761" priority="82">
      <formula>AND(R$9&gt;=14/24,R$9&lt;20/24)</formula>
    </cfRule>
    <cfRule type="expression" dxfId="4760" priority="83">
      <formula>AND(R$9&gt;=8/24,R$9&lt;14/24)</formula>
    </cfRule>
    <cfRule type="expression" dxfId="4759" priority="84">
      <formula>R$9&lt;8/24</formula>
    </cfRule>
  </conditionalFormatting>
  <conditionalFormatting sqref="AA83:AF86">
    <cfRule type="expression" dxfId="4758" priority="77">
      <formula>AA$9&gt;=20/24</formula>
    </cfRule>
    <cfRule type="expression" dxfId="4757" priority="78">
      <formula>AND(AA$9&gt;=14/24,AA$9&lt;20/24)</formula>
    </cfRule>
    <cfRule type="expression" dxfId="4756" priority="79">
      <formula>AND(AA$9&gt;=8/24,AA$9&lt;14/24)</formula>
    </cfRule>
    <cfRule type="expression" dxfId="4755" priority="80">
      <formula>AA$9&lt;8/24</formula>
    </cfRule>
  </conditionalFormatting>
  <conditionalFormatting sqref="C53:K58">
    <cfRule type="expression" dxfId="4754" priority="73">
      <formula>C$9&gt;=20/24</formula>
    </cfRule>
    <cfRule type="expression" dxfId="4753" priority="74">
      <formula>AND(C$9&gt;=14/24,C$9&lt;20/24)</formula>
    </cfRule>
    <cfRule type="expression" dxfId="4752" priority="75">
      <formula>AND(C$9&gt;=8/24,C$9&lt;14/24)</formula>
    </cfRule>
    <cfRule type="expression" dxfId="4751" priority="76">
      <formula>C$9&lt;8/24</formula>
    </cfRule>
  </conditionalFormatting>
  <conditionalFormatting sqref="C83:K86">
    <cfRule type="expression" dxfId="4750" priority="69">
      <formula>C$9&gt;=20/24</formula>
    </cfRule>
    <cfRule type="expression" dxfId="4749" priority="70">
      <formula>AND(C$9&gt;=14/24,C$9&lt;20/24)</formula>
    </cfRule>
    <cfRule type="expression" dxfId="4748" priority="71">
      <formula>AND(C$9&gt;=8/24,C$9&lt;14/24)</formula>
    </cfRule>
    <cfRule type="expression" dxfId="4747" priority="72">
      <formula>C$9&lt;8/24</formula>
    </cfRule>
  </conditionalFormatting>
  <conditionalFormatting sqref="L83:Q86">
    <cfRule type="expression" dxfId="4746" priority="65">
      <formula>L$9&gt;=20/24</formula>
    </cfRule>
    <cfRule type="expression" dxfId="4745" priority="66">
      <formula>AND(L$9&gt;=14/24,L$9&lt;20/24)</formula>
    </cfRule>
    <cfRule type="expression" dxfId="4744" priority="67">
      <formula>AND(L$9&gt;=8/24,L$9&lt;14/24)</formula>
    </cfRule>
    <cfRule type="expression" dxfId="4743" priority="68">
      <formula>L$9&lt;8/24</formula>
    </cfRule>
  </conditionalFormatting>
  <conditionalFormatting sqref="R83:Z86">
    <cfRule type="expression" dxfId="4742" priority="61">
      <formula>R$9&gt;=20/24</formula>
    </cfRule>
    <cfRule type="expression" dxfId="4741" priority="62">
      <formula>AND(R$9&gt;=14/24,R$9&lt;20/24)</formula>
    </cfRule>
    <cfRule type="expression" dxfId="4740" priority="63">
      <formula>AND(R$9&gt;=8/24,R$9&lt;14/24)</formula>
    </cfRule>
    <cfRule type="expression" dxfId="4739" priority="64">
      <formula>R$9&lt;8/24</formula>
    </cfRule>
  </conditionalFormatting>
  <conditionalFormatting sqref="AG42 C11:AF47">
    <cfRule type="expression" dxfId="4738" priority="60">
      <formula>C11&gt;$AG11</formula>
    </cfRule>
  </conditionalFormatting>
  <conditionalFormatting sqref="T192:AX192">
    <cfRule type="expression" dxfId="4737" priority="56">
      <formula>T$9&gt;=20/24</formula>
    </cfRule>
    <cfRule type="expression" dxfId="4736" priority="57">
      <formula>AND(T$9&gt;=14/24,T$9&lt;20/24)</formula>
    </cfRule>
    <cfRule type="expression" dxfId="4735" priority="58">
      <formula>AND(T$9&gt;=8/24,T$9&lt;14/24)</formula>
    </cfRule>
    <cfRule type="expression" dxfId="4734" priority="59">
      <formula>T$9&lt;8/24</formula>
    </cfRule>
  </conditionalFormatting>
  <conditionalFormatting sqref="A11:A86 A88:A180">
    <cfRule type="expression" dxfId="4733" priority="55">
      <formula>$AH11=0</formula>
    </cfRule>
  </conditionalFormatting>
  <conditionalFormatting sqref="AA87:AF87">
    <cfRule type="expression" dxfId="4732" priority="51">
      <formula>AA$9&gt;=20/24</formula>
    </cfRule>
    <cfRule type="expression" dxfId="4731" priority="52">
      <formula>AND(AA$9&gt;=14/24,AA$9&lt;20/24)</formula>
    </cfRule>
    <cfRule type="expression" dxfId="4730" priority="53">
      <formula>AND(AA$9&gt;=8/24,AA$9&lt;14/24)</formula>
    </cfRule>
    <cfRule type="expression" dxfId="4729" priority="54">
      <formula>AA$9&lt;8/24</formula>
    </cfRule>
  </conditionalFormatting>
  <conditionalFormatting sqref="C87:K87">
    <cfRule type="expression" dxfId="4728" priority="47">
      <formula>C$9&gt;=20/24</formula>
    </cfRule>
    <cfRule type="expression" dxfId="4727" priority="48">
      <formula>AND(C$9&gt;=14/24,C$9&lt;20/24)</formula>
    </cfRule>
    <cfRule type="expression" dxfId="4726" priority="49">
      <formula>AND(C$9&gt;=8/24,C$9&lt;14/24)</formula>
    </cfRule>
    <cfRule type="expression" dxfId="4725" priority="50">
      <formula>C$9&lt;8/24</formula>
    </cfRule>
  </conditionalFormatting>
  <conditionalFormatting sqref="L87:Q87">
    <cfRule type="expression" dxfId="4724" priority="43">
      <formula>L$9&gt;=20/24</formula>
    </cfRule>
    <cfRule type="expression" dxfId="4723" priority="44">
      <formula>AND(L$9&gt;=14/24,L$9&lt;20/24)</formula>
    </cfRule>
    <cfRule type="expression" dxfId="4722" priority="45">
      <formula>AND(L$9&gt;=8/24,L$9&lt;14/24)</formula>
    </cfRule>
    <cfRule type="expression" dxfId="4721" priority="46">
      <formula>L$9&lt;8/24</formula>
    </cfRule>
  </conditionalFormatting>
  <conditionalFormatting sqref="R87:Z87">
    <cfRule type="expression" dxfId="4720" priority="39">
      <formula>R$9&gt;=20/24</formula>
    </cfRule>
    <cfRule type="expression" dxfId="4719" priority="40">
      <formula>AND(R$9&gt;=14/24,R$9&lt;20/24)</formula>
    </cfRule>
    <cfRule type="expression" dxfId="4718" priority="41">
      <formula>AND(R$9&gt;=8/24,R$9&lt;14/24)</formula>
    </cfRule>
    <cfRule type="expression" dxfId="4717" priority="42">
      <formula>R$9&lt;8/24</formula>
    </cfRule>
  </conditionalFormatting>
  <conditionalFormatting sqref="A87">
    <cfRule type="expression" dxfId="4716" priority="38">
      <formula>$AH87=0</formula>
    </cfRule>
  </conditionalFormatting>
  <conditionalFormatting sqref="C28:AF28">
    <cfRule type="expression" dxfId="4715" priority="34">
      <formula>C$9&gt;=20/24</formula>
    </cfRule>
    <cfRule type="expression" dxfId="4714" priority="35">
      <formula>AND(C$9&gt;=14/24,C$9&lt;20/24)</formula>
    </cfRule>
    <cfRule type="expression" dxfId="4713" priority="36">
      <formula>AND(C$9&gt;=8/24,C$9&lt;14/24)</formula>
    </cfRule>
    <cfRule type="expression" dxfId="4712" priority="37">
      <formula>C$9&lt;8/24</formula>
    </cfRule>
  </conditionalFormatting>
  <conditionalFormatting sqref="R28:AA28">
    <cfRule type="expression" dxfId="4711" priority="30">
      <formula>R$9&gt;=20/24</formula>
    </cfRule>
    <cfRule type="expression" dxfId="4710" priority="31">
      <formula>AND(R$9&gt;=14/24,R$9&lt;20/24)</formula>
    </cfRule>
    <cfRule type="expression" dxfId="4709" priority="32">
      <formula>AND(R$9&gt;=8/24,R$9&lt;14/24)</formula>
    </cfRule>
    <cfRule type="expression" dxfId="4708" priority="33">
      <formula>R$9&lt;8/24</formula>
    </cfRule>
  </conditionalFormatting>
  <conditionalFormatting sqref="B59:B79 B44:B51">
    <cfRule type="expression" dxfId="4707" priority="26">
      <formula>B$9&gt;=20/24</formula>
    </cfRule>
    <cfRule type="expression" dxfId="4706" priority="27">
      <formula>AND(B$9&gt;=14/24,B$9&lt;20/24)</formula>
    </cfRule>
    <cfRule type="expression" dxfId="4705" priority="28">
      <formula>AND(B$9&gt;=8/24,B$9&lt;14/24)</formula>
    </cfRule>
    <cfRule type="expression" dxfId="4704" priority="29">
      <formula>B$9&lt;8/24</formula>
    </cfRule>
  </conditionalFormatting>
  <conditionalFormatting sqref="B22:B27">
    <cfRule type="expression" dxfId="4703" priority="22">
      <formula>B$9&gt;=20/24</formula>
    </cfRule>
    <cfRule type="expression" dxfId="4702" priority="23">
      <formula>AND(B$9&gt;=14/24,B$9&lt;20/24)</formula>
    </cfRule>
    <cfRule type="expression" dxfId="4701" priority="24">
      <formula>AND(B$9&gt;=8/24,B$9&lt;14/24)</formula>
    </cfRule>
    <cfRule type="expression" dxfId="4700" priority="25">
      <formula>B$9&lt;8/24</formula>
    </cfRule>
  </conditionalFormatting>
  <conditionalFormatting sqref="B16:B27">
    <cfRule type="expression" dxfId="4699" priority="18">
      <formula>B$9&gt;=20/24</formula>
    </cfRule>
    <cfRule type="expression" dxfId="4698" priority="19">
      <formula>AND(B$9&gt;=14/24,B$9&lt;20/24)</formula>
    </cfRule>
    <cfRule type="expression" dxfId="4697" priority="20">
      <formula>AND(B$9&gt;=8/24,B$9&lt;14/24)</formula>
    </cfRule>
    <cfRule type="expression" dxfId="4696" priority="21">
      <formula>B$9&lt;8/24</formula>
    </cfRule>
  </conditionalFormatting>
  <conditionalFormatting sqref="B52:B58">
    <cfRule type="expression" dxfId="4695" priority="14">
      <formula>B$9&gt;=20/24</formula>
    </cfRule>
    <cfRule type="expression" dxfId="4694" priority="15">
      <formula>AND(B$9&gt;=14/24,B$9&lt;20/24)</formula>
    </cfRule>
    <cfRule type="expression" dxfId="4693" priority="16">
      <formula>AND(B$9&gt;=8/24,B$9&lt;14/24)</formula>
    </cfRule>
    <cfRule type="expression" dxfId="4692" priority="17">
      <formula>B$9&lt;8/24</formula>
    </cfRule>
  </conditionalFormatting>
  <conditionalFormatting sqref="B83:B86">
    <cfRule type="expression" dxfId="4691" priority="10">
      <formula>B$9&gt;=20/24</formula>
    </cfRule>
    <cfRule type="expression" dxfId="4690" priority="11">
      <formula>AND(B$9&gt;=14/24,B$9&lt;20/24)</formula>
    </cfRule>
    <cfRule type="expression" dxfId="4689" priority="12">
      <formula>AND(B$9&gt;=8/24,B$9&lt;14/24)</formula>
    </cfRule>
    <cfRule type="expression" dxfId="4688" priority="13">
      <formula>B$9&lt;8/24</formula>
    </cfRule>
  </conditionalFormatting>
  <conditionalFormatting sqref="B11:B47">
    <cfRule type="expression" dxfId="4687" priority="9">
      <formula>B11&gt;$AG11</formula>
    </cfRule>
  </conditionalFormatting>
  <conditionalFormatting sqref="B87">
    <cfRule type="expression" dxfId="4686" priority="5">
      <formula>B$9&gt;=20/24</formula>
    </cfRule>
    <cfRule type="expression" dxfId="4685" priority="6">
      <formula>AND(B$9&gt;=14/24,B$9&lt;20/24)</formula>
    </cfRule>
    <cfRule type="expression" dxfId="4684" priority="7">
      <formula>AND(B$9&gt;=8/24,B$9&lt;14/24)</formula>
    </cfRule>
    <cfRule type="expression" dxfId="4683" priority="8">
      <formula>B$9&lt;8/24</formula>
    </cfRule>
  </conditionalFormatting>
  <conditionalFormatting sqref="B28">
    <cfRule type="expression" dxfId="4682" priority="1">
      <formula>B$9&gt;=20/24</formula>
    </cfRule>
    <cfRule type="expression" dxfId="4681" priority="2">
      <formula>AND(B$9&gt;=14/24,B$9&lt;20/24)</formula>
    </cfRule>
    <cfRule type="expression" dxfId="4680" priority="3">
      <formula>AND(B$9&gt;=8/24,B$9&lt;14/24)</formula>
    </cfRule>
    <cfRule type="expression" dxfId="4679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24" sqref="AK2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8</v>
      </c>
      <c r="D4" s="324">
        <f ca="1">IFERROR(DATE(2021,5,14)+C4,"")</f>
        <v>44338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240</v>
      </c>
      <c r="C5" s="32">
        <f t="shared" ref="C5:AF5" si="0">C59</f>
        <v>251</v>
      </c>
      <c r="D5" s="32">
        <f t="shared" si="0"/>
        <v>222.2</v>
      </c>
      <c r="E5" s="32">
        <f t="shared" si="0"/>
        <v>234.73000000000002</v>
      </c>
      <c r="F5" s="32">
        <f t="shared" si="0"/>
        <v>250.31</v>
      </c>
      <c r="G5" s="32">
        <f t="shared" si="0"/>
        <v>244.1</v>
      </c>
      <c r="H5" s="32">
        <f t="shared" si="0"/>
        <v>235.29000000000002</v>
      </c>
      <c r="I5" s="32">
        <f t="shared" si="0"/>
        <v>258.10000000000002</v>
      </c>
      <c r="J5" s="32">
        <f t="shared" si="0"/>
        <v>260.60000000000002</v>
      </c>
      <c r="K5" s="32">
        <f t="shared" si="0"/>
        <v>250.29999999999998</v>
      </c>
      <c r="L5" s="32">
        <f t="shared" si="0"/>
        <v>296.39999999999998</v>
      </c>
      <c r="M5" s="32">
        <f t="shared" si="0"/>
        <v>276.82</v>
      </c>
      <c r="N5" s="32">
        <f t="shared" si="0"/>
        <v>266.62</v>
      </c>
      <c r="O5" s="32">
        <f t="shared" si="0"/>
        <v>311.90000000000003</v>
      </c>
      <c r="P5" s="32">
        <f t="shared" si="0"/>
        <v>299.40000000000003</v>
      </c>
      <c r="Q5" s="32">
        <f t="shared" si="0"/>
        <v>289.89999999999998</v>
      </c>
      <c r="R5" s="32">
        <f t="shared" si="0"/>
        <v>263.75</v>
      </c>
      <c r="S5" s="32">
        <f t="shared" si="0"/>
        <v>293.67</v>
      </c>
      <c r="T5" s="32">
        <f t="shared" si="0"/>
        <v>295.89999999999998</v>
      </c>
      <c r="U5" s="32">
        <f t="shared" si="0"/>
        <v>257.77</v>
      </c>
      <c r="V5" s="32">
        <f t="shared" si="0"/>
        <v>251.01999999999998</v>
      </c>
      <c r="W5" s="32">
        <f t="shared" si="0"/>
        <v>265.86</v>
      </c>
      <c r="X5" s="32">
        <f t="shared" si="0"/>
        <v>270.14</v>
      </c>
      <c r="Y5" s="32">
        <f t="shared" si="0"/>
        <v>396.02</v>
      </c>
      <c r="Z5" s="32">
        <f t="shared" si="0"/>
        <v>481.83</v>
      </c>
      <c r="AA5" s="32">
        <f t="shared" si="0"/>
        <v>474.45000000000005</v>
      </c>
      <c r="AB5" s="32">
        <f t="shared" si="0"/>
        <v>436.2</v>
      </c>
      <c r="AC5" s="32">
        <f t="shared" si="0"/>
        <v>458.12</v>
      </c>
      <c r="AD5" s="32">
        <f t="shared" si="0"/>
        <v>365.5</v>
      </c>
      <c r="AE5" s="32">
        <f t="shared" si="0"/>
        <v>342.7</v>
      </c>
      <c r="AF5" s="32">
        <f t="shared" si="0"/>
        <v>301.10000000000002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966MW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Load=839</v>
      </c>
      <c r="B7" s="36">
        <f t="shared" ref="B7:AF7" si="1">B65</f>
        <v>872.54</v>
      </c>
      <c r="C7" s="36">
        <f t="shared" si="1"/>
        <v>872.6400000000001</v>
      </c>
      <c r="D7" s="36">
        <f t="shared" si="1"/>
        <v>844.14</v>
      </c>
      <c r="E7" s="36">
        <f t="shared" si="1"/>
        <v>839.56999999999994</v>
      </c>
      <c r="F7" s="36">
        <f t="shared" si="1"/>
        <v>851.55000000000007</v>
      </c>
      <c r="G7" s="36">
        <f t="shared" si="1"/>
        <v>838.93999999999994</v>
      </c>
      <c r="H7" s="36">
        <f t="shared" si="1"/>
        <v>852.23</v>
      </c>
      <c r="I7" s="36">
        <f t="shared" si="1"/>
        <v>875.13999999999987</v>
      </c>
      <c r="J7" s="36">
        <f t="shared" si="1"/>
        <v>897.34000000000015</v>
      </c>
      <c r="K7" s="36">
        <f t="shared" si="1"/>
        <v>920.54000000000008</v>
      </c>
      <c r="L7" s="36">
        <f>L65</f>
        <v>952.24</v>
      </c>
      <c r="M7" s="36">
        <f t="shared" si="1"/>
        <v>965.56</v>
      </c>
      <c r="N7" s="36">
        <f t="shared" si="1"/>
        <v>953.46</v>
      </c>
      <c r="O7" s="36">
        <f t="shared" si="1"/>
        <v>978.64</v>
      </c>
      <c r="P7" s="36">
        <f t="shared" si="1"/>
        <v>966.74</v>
      </c>
      <c r="Q7" s="36">
        <f t="shared" si="1"/>
        <v>1028.22</v>
      </c>
      <c r="R7" s="36">
        <f t="shared" si="1"/>
        <v>933.18999999999994</v>
      </c>
      <c r="S7" s="36">
        <f t="shared" si="1"/>
        <v>961.6099999999999</v>
      </c>
      <c r="T7" s="36">
        <f t="shared" si="1"/>
        <v>956.04</v>
      </c>
      <c r="U7" s="36">
        <f t="shared" si="1"/>
        <v>919.81000000000006</v>
      </c>
      <c r="V7" s="36">
        <f t="shared" si="1"/>
        <v>921.3599999999999</v>
      </c>
      <c r="W7" s="36">
        <f t="shared" si="1"/>
        <v>927.59999999999991</v>
      </c>
      <c r="X7" s="36">
        <f t="shared" si="1"/>
        <v>935.78</v>
      </c>
      <c r="Y7" s="36">
        <f t="shared" si="1"/>
        <v>1094.46</v>
      </c>
      <c r="Z7" s="36">
        <f t="shared" si="1"/>
        <v>1165.67</v>
      </c>
      <c r="AA7" s="36">
        <f t="shared" si="1"/>
        <v>1207.26</v>
      </c>
      <c r="AB7" s="36">
        <f t="shared" si="1"/>
        <v>1159.01</v>
      </c>
      <c r="AC7" s="36">
        <f t="shared" si="1"/>
        <v>1150.6599999999999</v>
      </c>
      <c r="AD7" s="36">
        <f t="shared" si="1"/>
        <v>1081.6399999999999</v>
      </c>
      <c r="AE7" s="36">
        <f t="shared" si="1"/>
        <v>998.93999999999994</v>
      </c>
      <c r="AF7" s="36">
        <f t="shared" si="1"/>
        <v>964.54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29.5</v>
      </c>
      <c r="C11" s="48">
        <v>30.2</v>
      </c>
      <c r="D11" s="48">
        <v>31.1</v>
      </c>
      <c r="E11" s="48">
        <v>31.1</v>
      </c>
      <c r="F11" s="48">
        <v>32.200000000000003</v>
      </c>
      <c r="G11" s="48">
        <v>31.8</v>
      </c>
      <c r="H11" s="48">
        <v>32.5</v>
      </c>
      <c r="I11" s="48">
        <v>32.700000000000003</v>
      </c>
      <c r="J11" s="48">
        <v>32.1</v>
      </c>
      <c r="K11" s="48">
        <v>32.4</v>
      </c>
      <c r="L11" s="49">
        <v>32.4</v>
      </c>
      <c r="M11" s="49">
        <v>31.4</v>
      </c>
      <c r="N11" s="49">
        <v>30.9</v>
      </c>
      <c r="O11" s="49">
        <v>30.1</v>
      </c>
      <c r="P11" s="49">
        <v>29</v>
      </c>
      <c r="Q11" s="49">
        <v>28.6</v>
      </c>
      <c r="R11" s="50">
        <v>28.1</v>
      </c>
      <c r="S11" s="50">
        <v>28.2</v>
      </c>
      <c r="T11" s="50">
        <v>28</v>
      </c>
      <c r="U11" s="50">
        <v>28.1</v>
      </c>
      <c r="V11" s="50">
        <v>26.4</v>
      </c>
      <c r="W11" s="50">
        <v>26.1</v>
      </c>
      <c r="X11" s="50">
        <v>26.5</v>
      </c>
      <c r="Y11" s="50">
        <v>26.8</v>
      </c>
      <c r="Z11" s="50">
        <v>24.9</v>
      </c>
      <c r="AA11" s="50">
        <v>27.3</v>
      </c>
      <c r="AB11" s="50">
        <v>27.3</v>
      </c>
      <c r="AC11" s="50">
        <v>28.1</v>
      </c>
      <c r="AD11" s="50">
        <v>28.4</v>
      </c>
      <c r="AE11" s="50">
        <v>26.2</v>
      </c>
      <c r="AF11" s="50">
        <v>25.5</v>
      </c>
      <c r="AG11" s="51">
        <v>60</v>
      </c>
      <c r="AH11" s="52">
        <f>MAX(B11:AF11)</f>
        <v>32.700000000000003</v>
      </c>
      <c r="AI11" s="53">
        <f>MIN(B11:AF11)</f>
        <v>24.9</v>
      </c>
      <c r="AJ11" s="185"/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50.5</v>
      </c>
      <c r="C12" s="56">
        <v>50.7</v>
      </c>
      <c r="D12" s="56">
        <v>50.7</v>
      </c>
      <c r="E12" s="56">
        <v>50.7</v>
      </c>
      <c r="F12" s="56">
        <v>50.7</v>
      </c>
      <c r="G12" s="56">
        <v>49.8</v>
      </c>
      <c r="H12" s="56">
        <v>50.7</v>
      </c>
      <c r="I12" s="56">
        <v>50.5</v>
      </c>
      <c r="J12" s="56">
        <v>50.5</v>
      </c>
      <c r="K12" s="56">
        <v>50.9</v>
      </c>
      <c r="L12" s="49">
        <v>50.7</v>
      </c>
      <c r="M12" s="49">
        <v>50.6</v>
      </c>
      <c r="N12" s="49">
        <v>50.4</v>
      </c>
      <c r="O12" s="49">
        <v>50.4</v>
      </c>
      <c r="P12" s="49">
        <v>50.4</v>
      </c>
      <c r="Q12" s="49">
        <v>50.2</v>
      </c>
      <c r="R12" s="49">
        <v>50.4</v>
      </c>
      <c r="S12" s="49">
        <v>50.4</v>
      </c>
      <c r="T12" s="49">
        <v>50.4</v>
      </c>
      <c r="U12" s="49">
        <v>50.4</v>
      </c>
      <c r="V12" s="49">
        <v>50.5</v>
      </c>
      <c r="W12" s="49">
        <v>50.3</v>
      </c>
      <c r="X12" s="49">
        <v>50.4</v>
      </c>
      <c r="Y12" s="49">
        <v>50.3</v>
      </c>
      <c r="Z12" s="49">
        <v>50.3</v>
      </c>
      <c r="AA12" s="49">
        <v>50.4</v>
      </c>
      <c r="AB12" s="49">
        <v>50.4</v>
      </c>
      <c r="AC12" s="49">
        <v>50.5</v>
      </c>
      <c r="AD12" s="49">
        <v>50.5</v>
      </c>
      <c r="AE12" s="49">
        <v>51</v>
      </c>
      <c r="AF12" s="49">
        <v>50.9</v>
      </c>
      <c r="AG12" s="57">
        <v>50</v>
      </c>
      <c r="AH12" s="52">
        <f t="shared" ref="AH12:AH77" si="2">MAX(B12:AF12)</f>
        <v>51</v>
      </c>
      <c r="AI12" s="53">
        <f t="shared" ref="AI12:AI77" si="3">MIN(B12:AF12)</f>
        <v>49.8</v>
      </c>
      <c r="AJ12" s="185"/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25.4</v>
      </c>
      <c r="C13" s="56">
        <v>25.4</v>
      </c>
      <c r="D13" s="56">
        <v>25.8</v>
      </c>
      <c r="E13" s="56">
        <v>25.8</v>
      </c>
      <c r="F13" s="56">
        <v>23.7</v>
      </c>
      <c r="G13" s="56">
        <v>24.2</v>
      </c>
      <c r="H13" s="56">
        <v>24.2</v>
      </c>
      <c r="I13" s="56">
        <v>24.2</v>
      </c>
      <c r="J13" s="56">
        <v>24.2</v>
      </c>
      <c r="K13" s="56">
        <v>24</v>
      </c>
      <c r="L13" s="49">
        <v>22.5</v>
      </c>
      <c r="M13" s="49">
        <v>22.6</v>
      </c>
      <c r="N13" s="49">
        <v>22.6</v>
      </c>
      <c r="O13" s="49">
        <v>22.6</v>
      </c>
      <c r="P13" s="49">
        <v>22.3</v>
      </c>
      <c r="Q13" s="49">
        <v>21.8</v>
      </c>
      <c r="R13" s="49">
        <v>21.8</v>
      </c>
      <c r="S13" s="49">
        <v>21.8</v>
      </c>
      <c r="T13" s="49">
        <v>21.2</v>
      </c>
      <c r="U13" s="49">
        <v>22.4</v>
      </c>
      <c r="V13" s="49">
        <v>22.4</v>
      </c>
      <c r="W13" s="49">
        <v>24.2</v>
      </c>
      <c r="X13" s="49">
        <v>24.2</v>
      </c>
      <c r="Y13" s="49">
        <v>24</v>
      </c>
      <c r="Z13" s="49">
        <v>24.1</v>
      </c>
      <c r="AA13" s="49">
        <v>24.2</v>
      </c>
      <c r="AB13" s="49">
        <v>24.2</v>
      </c>
      <c r="AC13" s="49">
        <v>24.3</v>
      </c>
      <c r="AD13" s="49">
        <v>24.1</v>
      </c>
      <c r="AE13" s="49">
        <v>24.4</v>
      </c>
      <c r="AF13" s="49">
        <v>24.1</v>
      </c>
      <c r="AG13" s="59">
        <v>45</v>
      </c>
      <c r="AH13" s="52">
        <f t="shared" si="2"/>
        <v>25.8</v>
      </c>
      <c r="AI13" s="53">
        <f t="shared" si="3"/>
        <v>21.2</v>
      </c>
      <c r="AJ13" s="185"/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56">
        <v>16</v>
      </c>
      <c r="M14" s="56">
        <v>16</v>
      </c>
      <c r="N14" s="56">
        <v>16</v>
      </c>
      <c r="O14" s="56">
        <v>16</v>
      </c>
      <c r="P14" s="56">
        <v>16</v>
      </c>
      <c r="Q14" s="56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49">
        <v>16</v>
      </c>
      <c r="AB14" s="49">
        <v>16</v>
      </c>
      <c r="AC14" s="49">
        <v>16</v>
      </c>
      <c r="AD14" s="49">
        <v>16</v>
      </c>
      <c r="AE14" s="49">
        <v>16</v>
      </c>
      <c r="AF14" s="49">
        <v>16</v>
      </c>
      <c r="AG14" s="59">
        <v>25</v>
      </c>
      <c r="AH14" s="52">
        <f t="shared" si="2"/>
        <v>16</v>
      </c>
      <c r="AI14" s="53">
        <f t="shared" si="3"/>
        <v>16</v>
      </c>
      <c r="AJ14" s="185"/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13.8</v>
      </c>
      <c r="C15" s="56">
        <v>16.3</v>
      </c>
      <c r="D15" s="56">
        <v>13.9</v>
      </c>
      <c r="E15" s="56">
        <v>16.399999999999999</v>
      </c>
      <c r="F15" s="56">
        <v>13.7</v>
      </c>
      <c r="G15" s="56">
        <v>16.7</v>
      </c>
      <c r="H15" s="56">
        <v>14</v>
      </c>
      <c r="I15" s="56">
        <v>13.6</v>
      </c>
      <c r="J15" s="56">
        <v>13.8</v>
      </c>
      <c r="K15" s="56">
        <v>14</v>
      </c>
      <c r="L15" s="49">
        <v>13.9</v>
      </c>
      <c r="M15" s="49">
        <v>13.4</v>
      </c>
      <c r="N15" s="49">
        <v>13.4</v>
      </c>
      <c r="O15" s="49">
        <v>9.8000000000000007</v>
      </c>
      <c r="P15" s="49">
        <v>13.4</v>
      </c>
      <c r="Q15" s="49">
        <v>13.3</v>
      </c>
      <c r="R15" s="49">
        <v>13.5</v>
      </c>
      <c r="S15" s="49">
        <v>13.5</v>
      </c>
      <c r="T15" s="49">
        <v>13.4</v>
      </c>
      <c r="U15" s="49">
        <v>13.4</v>
      </c>
      <c r="V15" s="49">
        <v>13.5</v>
      </c>
      <c r="W15" s="49">
        <v>13.5</v>
      </c>
      <c r="X15" s="49">
        <v>13.4</v>
      </c>
      <c r="Y15" s="49">
        <v>13.4</v>
      </c>
      <c r="Z15" s="49">
        <v>13.4</v>
      </c>
      <c r="AA15" s="49">
        <v>13.5</v>
      </c>
      <c r="AB15" s="49">
        <v>13.5</v>
      </c>
      <c r="AC15" s="49">
        <v>13.5</v>
      </c>
      <c r="AD15" s="49">
        <v>17.7</v>
      </c>
      <c r="AE15" s="49">
        <v>16.5</v>
      </c>
      <c r="AF15" s="49">
        <v>16.5</v>
      </c>
      <c r="AG15" s="59">
        <v>25</v>
      </c>
      <c r="AH15" s="52">
        <f t="shared" si="2"/>
        <v>17.7</v>
      </c>
      <c r="AI15" s="53">
        <f t="shared" si="3"/>
        <v>9.8000000000000007</v>
      </c>
      <c r="AJ15" s="185"/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56">
        <v>6.2</v>
      </c>
      <c r="N16" s="56">
        <v>6.2</v>
      </c>
      <c r="O16" s="56">
        <v>6.2</v>
      </c>
      <c r="P16" s="56">
        <v>6.2</v>
      </c>
      <c r="Q16" s="56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J16" s="185"/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22.9</v>
      </c>
      <c r="C17" s="56">
        <v>22.8</v>
      </c>
      <c r="D17" s="56">
        <v>22.9</v>
      </c>
      <c r="E17" s="56">
        <v>22.8</v>
      </c>
      <c r="F17" s="56">
        <v>22.7</v>
      </c>
      <c r="G17" s="56">
        <v>22.9</v>
      </c>
      <c r="H17" s="56">
        <v>22.3</v>
      </c>
      <c r="I17" s="56">
        <v>21.7</v>
      </c>
      <c r="J17" s="56">
        <v>21.6</v>
      </c>
      <c r="K17" s="56">
        <v>21.7</v>
      </c>
      <c r="L17" s="56">
        <v>21.8</v>
      </c>
      <c r="M17" s="49">
        <v>21</v>
      </c>
      <c r="N17" s="49">
        <v>21.1</v>
      </c>
      <c r="O17" s="49">
        <v>20.8</v>
      </c>
      <c r="P17" s="49">
        <v>20.9</v>
      </c>
      <c r="Q17" s="49">
        <v>20</v>
      </c>
      <c r="R17" s="49">
        <v>20</v>
      </c>
      <c r="S17" s="49">
        <v>19.8</v>
      </c>
      <c r="T17" s="49">
        <v>19.600000000000001</v>
      </c>
      <c r="U17" s="49">
        <v>19.399999999999999</v>
      </c>
      <c r="V17" s="49">
        <v>30</v>
      </c>
      <c r="W17" s="49">
        <v>19.5</v>
      </c>
      <c r="X17" s="49">
        <v>20.399999999999999</v>
      </c>
      <c r="Y17" s="49">
        <v>20.6</v>
      </c>
      <c r="Z17" s="49">
        <v>20.399999999999999</v>
      </c>
      <c r="AA17" s="49">
        <v>21</v>
      </c>
      <c r="AB17" s="49">
        <v>21</v>
      </c>
      <c r="AC17" s="49">
        <v>21</v>
      </c>
      <c r="AD17" s="49">
        <v>21.4</v>
      </c>
      <c r="AE17" s="49">
        <v>21.7</v>
      </c>
      <c r="AF17" s="49">
        <v>22.3</v>
      </c>
      <c r="AG17" s="59">
        <v>22.1</v>
      </c>
      <c r="AH17" s="52">
        <f t="shared" si="2"/>
        <v>30</v>
      </c>
      <c r="AI17" s="53">
        <f t="shared" si="3"/>
        <v>19.399999999999999</v>
      </c>
      <c r="AJ17" s="185"/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56">
        <v>5</v>
      </c>
      <c r="M18" s="56">
        <v>5</v>
      </c>
      <c r="N18" s="56">
        <v>5</v>
      </c>
      <c r="O18" s="56">
        <v>5</v>
      </c>
      <c r="P18" s="56">
        <v>5</v>
      </c>
      <c r="Q18" s="56">
        <v>5</v>
      </c>
      <c r="R18" s="56">
        <v>5</v>
      </c>
      <c r="S18" s="56">
        <v>5</v>
      </c>
      <c r="T18" s="56">
        <v>5</v>
      </c>
      <c r="U18" s="56">
        <v>5</v>
      </c>
      <c r="V18" s="56">
        <v>5</v>
      </c>
      <c r="W18" s="56">
        <v>5</v>
      </c>
      <c r="X18" s="56">
        <v>5</v>
      </c>
      <c r="Y18" s="56">
        <v>5</v>
      </c>
      <c r="Z18" s="56">
        <v>5</v>
      </c>
      <c r="AA18" s="56">
        <v>5</v>
      </c>
      <c r="AB18" s="56">
        <v>5</v>
      </c>
      <c r="AC18" s="56">
        <v>5</v>
      </c>
      <c r="AD18" s="56">
        <v>5</v>
      </c>
      <c r="AE18" s="56">
        <v>5</v>
      </c>
      <c r="AF18" s="56">
        <v>5</v>
      </c>
      <c r="AG18" s="59">
        <v>22.1</v>
      </c>
      <c r="AH18" s="52">
        <f t="shared" si="2"/>
        <v>5</v>
      </c>
      <c r="AI18" s="53">
        <f t="shared" si="3"/>
        <v>5</v>
      </c>
      <c r="AJ18" s="185"/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11.2</v>
      </c>
      <c r="C19" s="56">
        <v>11.2</v>
      </c>
      <c r="D19" s="56">
        <v>11.3</v>
      </c>
      <c r="E19" s="56">
        <v>11.2</v>
      </c>
      <c r="F19" s="56">
        <v>10.4</v>
      </c>
      <c r="G19" s="56">
        <v>10.3</v>
      </c>
      <c r="H19" s="56">
        <v>10.199999999999999</v>
      </c>
      <c r="I19" s="56">
        <v>11.7</v>
      </c>
      <c r="J19" s="56">
        <v>11.8</v>
      </c>
      <c r="K19" s="56">
        <v>11.9</v>
      </c>
      <c r="L19" s="56">
        <v>12</v>
      </c>
      <c r="M19" s="49">
        <v>11.8</v>
      </c>
      <c r="N19" s="49">
        <v>10.5</v>
      </c>
      <c r="O19" s="49">
        <v>9.6999999999999993</v>
      </c>
      <c r="P19" s="49">
        <v>8.8000000000000007</v>
      </c>
      <c r="Q19" s="49">
        <v>9.1</v>
      </c>
      <c r="R19" s="49">
        <v>8.9</v>
      </c>
      <c r="S19" s="49">
        <v>8.9</v>
      </c>
      <c r="T19" s="49">
        <v>8.6</v>
      </c>
      <c r="U19" s="49">
        <v>8.5</v>
      </c>
      <c r="V19" s="49">
        <v>8.5</v>
      </c>
      <c r="W19" s="49">
        <v>8.5</v>
      </c>
      <c r="X19" s="49">
        <v>9.9</v>
      </c>
      <c r="Y19" s="49">
        <v>11.1</v>
      </c>
      <c r="Z19" s="49">
        <v>11.6</v>
      </c>
      <c r="AA19" s="49">
        <v>11.6</v>
      </c>
      <c r="AB19" s="49">
        <v>11.6</v>
      </c>
      <c r="AC19" s="49">
        <v>11.7</v>
      </c>
      <c r="AD19" s="49">
        <v>12.1</v>
      </c>
      <c r="AE19" s="49">
        <v>11.7</v>
      </c>
      <c r="AF19" s="49">
        <v>11</v>
      </c>
      <c r="AG19" s="59">
        <v>22</v>
      </c>
      <c r="AH19" s="52">
        <f t="shared" si="2"/>
        <v>12.1</v>
      </c>
      <c r="AI19" s="53">
        <f t="shared" si="3"/>
        <v>8.5</v>
      </c>
      <c r="AJ19" s="185"/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56">
        <v>7</v>
      </c>
      <c r="M20" s="56">
        <v>7</v>
      </c>
      <c r="N20" s="56">
        <v>7</v>
      </c>
      <c r="O20" s="56">
        <v>7</v>
      </c>
      <c r="P20" s="56">
        <v>7</v>
      </c>
      <c r="Q20" s="56">
        <v>7</v>
      </c>
      <c r="R20" s="56">
        <v>7</v>
      </c>
      <c r="S20" s="56">
        <v>7</v>
      </c>
      <c r="T20" s="56">
        <v>7</v>
      </c>
      <c r="U20" s="56">
        <v>7</v>
      </c>
      <c r="V20" s="56">
        <v>7</v>
      </c>
      <c r="W20" s="56">
        <v>7</v>
      </c>
      <c r="X20" s="56">
        <v>7</v>
      </c>
      <c r="Y20" s="56">
        <v>7</v>
      </c>
      <c r="Z20" s="56">
        <v>7</v>
      </c>
      <c r="AA20" s="56">
        <v>7</v>
      </c>
      <c r="AB20" s="56">
        <v>7</v>
      </c>
      <c r="AC20" s="56">
        <v>7</v>
      </c>
      <c r="AD20" s="56">
        <v>7</v>
      </c>
      <c r="AE20" s="56">
        <v>7</v>
      </c>
      <c r="AF20" s="56">
        <v>7</v>
      </c>
      <c r="AG20" s="59">
        <v>22</v>
      </c>
      <c r="AH20" s="52">
        <f t="shared" si="2"/>
        <v>7</v>
      </c>
      <c r="AI20" s="53">
        <f t="shared" si="3"/>
        <v>7</v>
      </c>
      <c r="AJ20" s="185"/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56">
        <v>3.5</v>
      </c>
      <c r="M21" s="56">
        <v>3.5</v>
      </c>
      <c r="N21" s="56">
        <v>3.5</v>
      </c>
      <c r="O21" s="56">
        <v>3.5</v>
      </c>
      <c r="P21" s="56">
        <v>3.5</v>
      </c>
      <c r="Q21" s="56">
        <v>3.5</v>
      </c>
      <c r="R21" s="56">
        <v>3.5</v>
      </c>
      <c r="S21" s="56">
        <v>3.5</v>
      </c>
      <c r="T21" s="56">
        <v>3.5</v>
      </c>
      <c r="U21" s="56">
        <v>3.5</v>
      </c>
      <c r="V21" s="56">
        <v>3.5</v>
      </c>
      <c r="W21" s="56">
        <v>3.5</v>
      </c>
      <c r="X21" s="56">
        <v>3.5</v>
      </c>
      <c r="Y21" s="56">
        <v>3.5</v>
      </c>
      <c r="Z21" s="56">
        <v>3.5</v>
      </c>
      <c r="AA21" s="56">
        <v>3.5</v>
      </c>
      <c r="AB21" s="56">
        <v>3.5</v>
      </c>
      <c r="AC21" s="56">
        <v>3.5</v>
      </c>
      <c r="AD21" s="56">
        <v>3.5</v>
      </c>
      <c r="AE21" s="56">
        <v>3.5</v>
      </c>
      <c r="AF21" s="56">
        <v>3.5</v>
      </c>
      <c r="AG21" s="59">
        <v>14.9</v>
      </c>
      <c r="AH21" s="52">
        <f t="shared" si="2"/>
        <v>3.5</v>
      </c>
      <c r="AI21" s="53">
        <f t="shared" si="3"/>
        <v>3.5</v>
      </c>
      <c r="AJ21" s="185"/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J22" s="185"/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J23" s="185"/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3.5</v>
      </c>
      <c r="AA24" s="56">
        <v>3.5</v>
      </c>
      <c r="AB24" s="56">
        <v>3.5</v>
      </c>
      <c r="AC24" s="56">
        <v>3.5</v>
      </c>
      <c r="AD24" s="56">
        <v>3.5</v>
      </c>
      <c r="AE24" s="56">
        <v>3.5</v>
      </c>
      <c r="AF24" s="56">
        <v>3.5</v>
      </c>
      <c r="AG24" s="59">
        <v>12</v>
      </c>
      <c r="AH24" s="52">
        <f t="shared" si="2"/>
        <v>3.5</v>
      </c>
      <c r="AI24" s="53">
        <f t="shared" si="3"/>
        <v>3.5</v>
      </c>
      <c r="AJ24" s="185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9">
        <v>12</v>
      </c>
      <c r="AH25" s="52">
        <f>MAX(B25:AF25)</f>
        <v>0</v>
      </c>
      <c r="AI25" s="53">
        <f>MIN(B25:AF25)</f>
        <v>0</v>
      </c>
      <c r="AJ25" s="185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85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J27" s="185"/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J28" s="185"/>
      <c r="AK28" s="54"/>
    </row>
    <row r="29" spans="1:88" ht="15.75" thickBot="1" x14ac:dyDescent="0.3">
      <c r="A29" s="66" t="s">
        <v>36</v>
      </c>
      <c r="B29" s="56">
        <v>42.1</v>
      </c>
      <c r="C29" s="56">
        <v>42.1</v>
      </c>
      <c r="D29" s="56">
        <v>42.7</v>
      </c>
      <c r="E29" s="56">
        <v>43.3</v>
      </c>
      <c r="F29" s="56">
        <v>44.3</v>
      </c>
      <c r="G29" s="56">
        <v>44</v>
      </c>
      <c r="H29" s="56">
        <v>45</v>
      </c>
      <c r="I29" s="56">
        <v>44.3</v>
      </c>
      <c r="J29" s="56">
        <v>42.1</v>
      </c>
      <c r="K29" s="56">
        <v>41.7</v>
      </c>
      <c r="L29" s="67">
        <v>40.200000000000003</v>
      </c>
      <c r="M29" s="67">
        <v>40.200000000000003</v>
      </c>
      <c r="N29" s="67">
        <v>39.200000000000003</v>
      </c>
      <c r="O29" s="67">
        <v>40.200000000000003</v>
      </c>
      <c r="P29" s="67">
        <v>40.200000000000003</v>
      </c>
      <c r="Q29" s="67">
        <v>40.200000000000003</v>
      </c>
      <c r="R29" s="67">
        <v>37.700000000000003</v>
      </c>
      <c r="S29" s="67">
        <v>34.799999999999997</v>
      </c>
      <c r="T29" s="67">
        <v>29.5</v>
      </c>
      <c r="U29" s="67">
        <v>35.799999999999997</v>
      </c>
      <c r="V29" s="67">
        <v>34.5</v>
      </c>
      <c r="W29" s="67">
        <v>37</v>
      </c>
      <c r="X29" s="67">
        <v>36.5</v>
      </c>
      <c r="Y29" s="67">
        <v>34.299999999999997</v>
      </c>
      <c r="Z29" s="67">
        <v>31.1</v>
      </c>
      <c r="AA29" s="67">
        <v>29.6</v>
      </c>
      <c r="AB29" s="67">
        <v>30.5</v>
      </c>
      <c r="AC29" s="67">
        <v>33.4</v>
      </c>
      <c r="AD29" s="67">
        <v>36.200000000000003</v>
      </c>
      <c r="AE29" s="56">
        <v>36.299999999999997</v>
      </c>
      <c r="AF29" s="56">
        <v>36.4</v>
      </c>
      <c r="AG29" s="59">
        <v>240</v>
      </c>
      <c r="AH29" s="52">
        <f t="shared" si="2"/>
        <v>45</v>
      </c>
      <c r="AI29" s="53">
        <f t="shared" si="3"/>
        <v>29.5</v>
      </c>
      <c r="AJ29" s="185"/>
      <c r="AK29" s="54"/>
    </row>
    <row r="30" spans="1:88" ht="15.75" thickBot="1" x14ac:dyDescent="0.3">
      <c r="A30" s="68" t="s">
        <v>37</v>
      </c>
      <c r="B30" s="69">
        <f t="shared" ref="B30:AF30" si="4">SUM(B11:B28)</f>
        <v>306.5</v>
      </c>
      <c r="C30" s="69">
        <f t="shared" si="4"/>
        <v>309.8</v>
      </c>
      <c r="D30" s="69">
        <f t="shared" si="4"/>
        <v>308.89999999999998</v>
      </c>
      <c r="E30" s="69">
        <f t="shared" si="4"/>
        <v>311.2</v>
      </c>
      <c r="F30" s="69">
        <f t="shared" si="4"/>
        <v>306.60000000000002</v>
      </c>
      <c r="G30" s="69">
        <f t="shared" si="4"/>
        <v>308.89999999999998</v>
      </c>
      <c r="H30" s="69">
        <f t="shared" si="4"/>
        <v>307.10000000000002</v>
      </c>
      <c r="I30" s="69">
        <f t="shared" si="4"/>
        <v>307.59999999999997</v>
      </c>
      <c r="J30" s="69">
        <f t="shared" si="4"/>
        <v>307.2</v>
      </c>
      <c r="K30" s="69">
        <f t="shared" si="4"/>
        <v>308.10000000000002</v>
      </c>
      <c r="L30" s="69">
        <f t="shared" si="4"/>
        <v>306.5</v>
      </c>
      <c r="M30" s="69">
        <f t="shared" si="4"/>
        <v>304</v>
      </c>
      <c r="N30" s="69">
        <f t="shared" si="4"/>
        <v>302.10000000000002</v>
      </c>
      <c r="O30" s="69">
        <f t="shared" si="4"/>
        <v>296.60000000000002</v>
      </c>
      <c r="P30" s="69">
        <f t="shared" si="4"/>
        <v>298</v>
      </c>
      <c r="Q30" s="69">
        <f t="shared" si="4"/>
        <v>296.2</v>
      </c>
      <c r="R30" s="69">
        <f t="shared" si="4"/>
        <v>295.89999999999998</v>
      </c>
      <c r="S30" s="69">
        <f t="shared" si="4"/>
        <v>295.79999999999995</v>
      </c>
      <c r="T30" s="69">
        <f t="shared" si="4"/>
        <v>294.39999999999998</v>
      </c>
      <c r="U30" s="69">
        <f t="shared" si="4"/>
        <v>295.39999999999998</v>
      </c>
      <c r="V30" s="69">
        <f>SUM(V11:V28)</f>
        <v>304.5</v>
      </c>
      <c r="W30" s="69">
        <f t="shared" si="4"/>
        <v>295.3</v>
      </c>
      <c r="X30" s="69">
        <f t="shared" si="4"/>
        <v>298</v>
      </c>
      <c r="Y30" s="69">
        <f t="shared" si="4"/>
        <v>299.39999999999998</v>
      </c>
      <c r="Z30" s="69">
        <v>305.7</v>
      </c>
      <c r="AA30" s="69">
        <f t="shared" si="4"/>
        <v>301.2</v>
      </c>
      <c r="AB30" s="69">
        <v>291.2</v>
      </c>
      <c r="AC30" s="69">
        <f t="shared" si="4"/>
        <v>302.29999999999995</v>
      </c>
      <c r="AD30" s="69">
        <f t="shared" si="4"/>
        <v>307.39999999999998</v>
      </c>
      <c r="AE30" s="69">
        <f t="shared" si="4"/>
        <v>304.69999999999993</v>
      </c>
      <c r="AF30" s="69">
        <f t="shared" si="4"/>
        <v>303.5</v>
      </c>
      <c r="AG30" s="59">
        <f>SUM(AG11:AG29)</f>
        <v>729.2</v>
      </c>
      <c r="AH30" s="52">
        <f t="shared" si="2"/>
        <v>311.2</v>
      </c>
      <c r="AI30" s="53">
        <f t="shared" si="3"/>
        <v>291.2</v>
      </c>
      <c r="AJ30" s="185"/>
      <c r="AK30" s="54"/>
    </row>
    <row r="31" spans="1:88" x14ac:dyDescent="0.25">
      <c r="A31" s="55" t="s">
        <v>38</v>
      </c>
      <c r="B31" s="48">
        <v>97</v>
      </c>
      <c r="C31" s="48">
        <v>97</v>
      </c>
      <c r="D31" s="56">
        <v>97</v>
      </c>
      <c r="E31" s="56">
        <v>96.7</v>
      </c>
      <c r="F31" s="56">
        <v>96.6</v>
      </c>
      <c r="G31" s="56">
        <v>96.3</v>
      </c>
      <c r="H31" s="56">
        <v>96.9</v>
      </c>
      <c r="I31" s="56">
        <v>97.1</v>
      </c>
      <c r="J31" s="56">
        <v>96.9</v>
      </c>
      <c r="K31" s="56">
        <v>96.9</v>
      </c>
      <c r="L31" s="49">
        <v>97</v>
      </c>
      <c r="M31" s="49">
        <v>97.1</v>
      </c>
      <c r="N31" s="49">
        <v>96.6</v>
      </c>
      <c r="O31" s="49">
        <v>97</v>
      </c>
      <c r="P31" s="49">
        <v>97</v>
      </c>
      <c r="Q31" s="49">
        <v>134.6</v>
      </c>
      <c r="R31" s="49">
        <v>97.2</v>
      </c>
      <c r="S31" s="49">
        <v>97</v>
      </c>
      <c r="T31" s="49">
        <v>96.9</v>
      </c>
      <c r="U31" s="49">
        <v>97</v>
      </c>
      <c r="V31" s="49">
        <v>96.9</v>
      </c>
      <c r="W31" s="49">
        <v>97</v>
      </c>
      <c r="X31" s="49">
        <v>97</v>
      </c>
      <c r="Y31" s="49">
        <v>97</v>
      </c>
      <c r="Z31" s="49">
        <v>97</v>
      </c>
      <c r="AA31" s="48">
        <v>97</v>
      </c>
      <c r="AB31" s="48">
        <v>97</v>
      </c>
      <c r="AC31" s="48">
        <v>97</v>
      </c>
      <c r="AD31" s="48">
        <v>96.9</v>
      </c>
      <c r="AE31" s="48">
        <v>97</v>
      </c>
      <c r="AF31" s="48">
        <v>97</v>
      </c>
      <c r="AG31" s="57">
        <v>144</v>
      </c>
      <c r="AH31" s="52">
        <f t="shared" si="2"/>
        <v>134.6</v>
      </c>
      <c r="AI31" s="53">
        <f t="shared" si="3"/>
        <v>96.3</v>
      </c>
      <c r="AJ31" s="185"/>
      <c r="AK31" s="54"/>
    </row>
    <row r="32" spans="1:88" x14ac:dyDescent="0.25">
      <c r="A32" s="58" t="s">
        <v>39</v>
      </c>
      <c r="B32" s="56">
        <v>35</v>
      </c>
      <c r="C32" s="56">
        <v>25</v>
      </c>
      <c r="D32" s="56">
        <v>26.3</v>
      </c>
      <c r="E32" s="56">
        <v>30</v>
      </c>
      <c r="F32" s="56">
        <v>31.4</v>
      </c>
      <c r="G32" s="56">
        <v>22.8</v>
      </c>
      <c r="H32" s="56">
        <v>46.5</v>
      </c>
      <c r="I32" s="56">
        <v>44.5</v>
      </c>
      <c r="J32" s="56">
        <v>65</v>
      </c>
      <c r="K32" s="56">
        <v>72.099999999999994</v>
      </c>
      <c r="L32" s="70">
        <v>69.5</v>
      </c>
      <c r="M32" s="70">
        <v>69.599999999999994</v>
      </c>
      <c r="N32" s="70">
        <v>69.400000000000006</v>
      </c>
      <c r="O32" s="70">
        <v>60.3</v>
      </c>
      <c r="P32" s="70">
        <v>52.5</v>
      </c>
      <c r="Q32" s="70">
        <v>50.4</v>
      </c>
      <c r="R32" s="70">
        <v>50.4</v>
      </c>
      <c r="S32" s="70">
        <v>49.1</v>
      </c>
      <c r="T32" s="70">
        <v>43</v>
      </c>
      <c r="U32" s="70">
        <v>41.9</v>
      </c>
      <c r="V32" s="70">
        <v>41.3</v>
      </c>
      <c r="W32" s="70">
        <v>41.6</v>
      </c>
      <c r="X32" s="70">
        <v>42.2</v>
      </c>
      <c r="Y32" s="70">
        <v>64</v>
      </c>
      <c r="Z32" s="70">
        <v>70.7</v>
      </c>
      <c r="AA32" s="56">
        <v>69.87</v>
      </c>
      <c r="AB32" s="56">
        <v>69.87</v>
      </c>
      <c r="AC32" s="56">
        <v>69</v>
      </c>
      <c r="AD32" s="56">
        <v>59.9</v>
      </c>
      <c r="AE32" s="56">
        <v>45.4</v>
      </c>
      <c r="AF32" s="56">
        <v>45</v>
      </c>
      <c r="AG32" s="59">
        <v>70</v>
      </c>
      <c r="AH32" s="52">
        <f t="shared" si="2"/>
        <v>72.099999999999994</v>
      </c>
      <c r="AI32" s="53">
        <f t="shared" si="3"/>
        <v>22.8</v>
      </c>
      <c r="AJ32" s="185"/>
      <c r="AK32" s="54"/>
    </row>
    <row r="33" spans="1:41" x14ac:dyDescent="0.25">
      <c r="A33" s="58" t="s">
        <v>40</v>
      </c>
      <c r="B33" s="56">
        <v>65</v>
      </c>
      <c r="C33" s="56">
        <v>65</v>
      </c>
      <c r="D33" s="56">
        <v>64.400000000000006</v>
      </c>
      <c r="E33" s="56">
        <v>64.7</v>
      </c>
      <c r="F33" s="56">
        <v>64.2</v>
      </c>
      <c r="G33" s="56">
        <v>64.5</v>
      </c>
      <c r="H33" s="56">
        <v>64.400000000000006</v>
      </c>
      <c r="I33" s="56">
        <v>64.8</v>
      </c>
      <c r="J33" s="56">
        <v>64.7</v>
      </c>
      <c r="K33" s="56">
        <v>64.900000000000006</v>
      </c>
      <c r="L33" s="70">
        <v>64.8</v>
      </c>
      <c r="M33" s="70">
        <v>64.5</v>
      </c>
      <c r="N33" s="70">
        <v>64.099999999999994</v>
      </c>
      <c r="O33" s="70">
        <v>58.2</v>
      </c>
      <c r="P33" s="70">
        <v>46.7</v>
      </c>
      <c r="Q33" s="70">
        <v>47.4</v>
      </c>
      <c r="R33" s="70">
        <v>52.9</v>
      </c>
      <c r="S33" s="70">
        <v>53.1</v>
      </c>
      <c r="T33" s="70">
        <v>53</v>
      </c>
      <c r="U33" s="70">
        <v>55.7</v>
      </c>
      <c r="V33" s="70">
        <v>55.6</v>
      </c>
      <c r="W33" s="70">
        <v>55.8</v>
      </c>
      <c r="X33" s="70">
        <v>55.9</v>
      </c>
      <c r="Y33" s="70">
        <v>65.3</v>
      </c>
      <c r="Z33" s="70">
        <v>64</v>
      </c>
      <c r="AA33" s="56">
        <v>64.400000000000006</v>
      </c>
      <c r="AB33" s="56">
        <v>64.400000000000006</v>
      </c>
      <c r="AC33" s="56">
        <v>63.9</v>
      </c>
      <c r="AD33" s="56">
        <v>51</v>
      </c>
      <c r="AE33" s="56">
        <v>50.8</v>
      </c>
      <c r="AF33" s="56">
        <v>50.2</v>
      </c>
      <c r="AG33" s="59">
        <v>69</v>
      </c>
      <c r="AH33" s="52">
        <f t="shared" si="2"/>
        <v>65.3</v>
      </c>
      <c r="AI33" s="53">
        <f t="shared" si="3"/>
        <v>46.7</v>
      </c>
      <c r="AJ33" s="185"/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28.5</v>
      </c>
      <c r="E34" s="56">
        <v>28.5</v>
      </c>
      <c r="F34" s="56">
        <v>28.5</v>
      </c>
      <c r="G34" s="56">
        <v>28.5</v>
      </c>
      <c r="H34" s="56">
        <v>28.2</v>
      </c>
      <c r="I34" s="56">
        <v>28.5</v>
      </c>
      <c r="J34" s="56">
        <v>28.5</v>
      </c>
      <c r="K34" s="56">
        <v>28.2</v>
      </c>
      <c r="L34" s="70">
        <v>28.2</v>
      </c>
      <c r="M34" s="70">
        <v>28.2</v>
      </c>
      <c r="N34" s="70">
        <v>28.2</v>
      </c>
      <c r="O34" s="70">
        <v>28.2</v>
      </c>
      <c r="P34" s="70">
        <v>28.2</v>
      </c>
      <c r="Q34" s="70">
        <v>28.2</v>
      </c>
      <c r="R34" s="70">
        <v>28.2</v>
      </c>
      <c r="S34" s="70">
        <v>28.2</v>
      </c>
      <c r="T34" s="70">
        <v>28.2</v>
      </c>
      <c r="U34" s="70">
        <v>28.2</v>
      </c>
      <c r="V34" s="70">
        <v>28.2</v>
      </c>
      <c r="W34" s="70">
        <v>28.2</v>
      </c>
      <c r="X34" s="70">
        <v>28.2</v>
      </c>
      <c r="Y34" s="70">
        <v>28.2</v>
      </c>
      <c r="Z34" s="70">
        <v>28</v>
      </c>
      <c r="AA34" s="56">
        <v>28.2</v>
      </c>
      <c r="AB34" s="56">
        <v>28.2</v>
      </c>
      <c r="AC34" s="56">
        <v>28.2</v>
      </c>
      <c r="AD34" s="56">
        <v>28.2</v>
      </c>
      <c r="AE34" s="56">
        <v>28.5</v>
      </c>
      <c r="AF34" s="56">
        <v>28.5</v>
      </c>
      <c r="AG34" s="59">
        <v>60</v>
      </c>
      <c r="AH34" s="52">
        <f t="shared" si="2"/>
        <v>28.5</v>
      </c>
      <c r="AI34" s="53">
        <f t="shared" si="3"/>
        <v>28</v>
      </c>
      <c r="AJ34" s="185"/>
      <c r="AK34" s="54"/>
    </row>
    <row r="35" spans="1:41" x14ac:dyDescent="0.25">
      <c r="A35" s="58" t="s">
        <v>42</v>
      </c>
      <c r="B35" s="56">
        <v>30</v>
      </c>
      <c r="C35" s="56">
        <v>30</v>
      </c>
      <c r="D35" s="56">
        <v>30</v>
      </c>
      <c r="E35" s="56">
        <v>30</v>
      </c>
      <c r="F35" s="56">
        <v>30</v>
      </c>
      <c r="G35" s="56">
        <v>30</v>
      </c>
      <c r="H35" s="56">
        <v>30</v>
      </c>
      <c r="I35" s="56">
        <v>30</v>
      </c>
      <c r="J35" s="56">
        <v>30</v>
      </c>
      <c r="K35" s="56">
        <v>30.1</v>
      </c>
      <c r="L35" s="49">
        <v>30</v>
      </c>
      <c r="M35" s="49">
        <v>30</v>
      </c>
      <c r="N35" s="49">
        <v>30</v>
      </c>
      <c r="O35" s="49">
        <v>30</v>
      </c>
      <c r="P35" s="49">
        <v>30</v>
      </c>
      <c r="Q35" s="49">
        <v>64.58</v>
      </c>
      <c r="R35" s="49">
        <v>30.1</v>
      </c>
      <c r="S35" s="49">
        <v>30</v>
      </c>
      <c r="T35" s="49">
        <v>30</v>
      </c>
      <c r="U35" s="49">
        <v>29.9</v>
      </c>
      <c r="V35" s="70">
        <v>30</v>
      </c>
      <c r="W35" s="70">
        <v>29.9</v>
      </c>
      <c r="X35" s="70">
        <v>30</v>
      </c>
      <c r="Y35" s="70">
        <v>30</v>
      </c>
      <c r="Z35" s="70">
        <v>30</v>
      </c>
      <c r="AA35" s="56">
        <v>29.9</v>
      </c>
      <c r="AB35" s="56">
        <v>29.9</v>
      </c>
      <c r="AC35" s="56">
        <v>30</v>
      </c>
      <c r="AD35" s="56">
        <v>30</v>
      </c>
      <c r="AE35" s="56">
        <v>30</v>
      </c>
      <c r="AF35" s="56">
        <v>30</v>
      </c>
      <c r="AG35" s="59">
        <v>30</v>
      </c>
      <c r="AH35" s="52">
        <f t="shared" si="2"/>
        <v>64.58</v>
      </c>
      <c r="AI35" s="53">
        <f t="shared" si="3"/>
        <v>29.9</v>
      </c>
      <c r="AJ35" s="185"/>
      <c r="AK35" s="54"/>
    </row>
    <row r="36" spans="1:41" x14ac:dyDescent="0.25">
      <c r="A36" s="58" t="s">
        <v>43</v>
      </c>
      <c r="B36" s="56">
        <v>16.5</v>
      </c>
      <c r="C36" s="71">
        <v>16.600000000000001</v>
      </c>
      <c r="D36" s="71">
        <v>16.600000000000001</v>
      </c>
      <c r="E36" s="71">
        <v>16.600000000000001</v>
      </c>
      <c r="F36" s="71">
        <v>16.8</v>
      </c>
      <c r="G36" s="71">
        <v>16.7</v>
      </c>
      <c r="H36" s="71">
        <v>16.7</v>
      </c>
      <c r="I36" s="71">
        <v>17.399999999999999</v>
      </c>
      <c r="J36" s="71">
        <v>17.3</v>
      </c>
      <c r="K36" s="71">
        <v>17.2</v>
      </c>
      <c r="L36" s="49">
        <v>17.3</v>
      </c>
      <c r="M36" s="49">
        <v>17.2</v>
      </c>
      <c r="N36" s="49">
        <v>17.2</v>
      </c>
      <c r="O36" s="49">
        <v>17.2</v>
      </c>
      <c r="P36" s="49">
        <v>17.2</v>
      </c>
      <c r="Q36" s="49">
        <v>17.2</v>
      </c>
      <c r="R36" s="49">
        <v>17.2</v>
      </c>
      <c r="S36" s="49">
        <v>17.100000000000001</v>
      </c>
      <c r="T36" s="49">
        <v>17.2</v>
      </c>
      <c r="U36" s="49">
        <v>17.2</v>
      </c>
      <c r="V36" s="49">
        <v>17.2</v>
      </c>
      <c r="W36" s="49">
        <v>17.2</v>
      </c>
      <c r="X36" s="49">
        <v>17.100000000000001</v>
      </c>
      <c r="Y36" s="49">
        <v>17.2</v>
      </c>
      <c r="Z36" s="49">
        <v>17.100000000000001</v>
      </c>
      <c r="AA36" s="56">
        <v>17.2</v>
      </c>
      <c r="AB36" s="56">
        <v>17.2</v>
      </c>
      <c r="AC36" s="56">
        <v>17.2</v>
      </c>
      <c r="AD36" s="56">
        <v>17.100000000000001</v>
      </c>
      <c r="AE36" s="56">
        <v>17.100000000000001</v>
      </c>
      <c r="AF36" s="56">
        <v>17.2</v>
      </c>
      <c r="AG36" s="59">
        <v>24</v>
      </c>
      <c r="AH36" s="52">
        <f t="shared" si="2"/>
        <v>17.399999999999999</v>
      </c>
      <c r="AI36" s="53">
        <f t="shared" si="3"/>
        <v>16.5</v>
      </c>
      <c r="AJ36" s="185"/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59">
        <v>15</v>
      </c>
      <c r="AH37" s="52">
        <f t="shared" si="2"/>
        <v>0</v>
      </c>
      <c r="AI37" s="53">
        <f t="shared" si="3"/>
        <v>0</v>
      </c>
      <c r="AJ37" s="185"/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56">
        <v>10</v>
      </c>
      <c r="O38" s="56">
        <v>10</v>
      </c>
      <c r="P38" s="56">
        <v>10</v>
      </c>
      <c r="Q38" s="56">
        <v>10</v>
      </c>
      <c r="R38" s="56">
        <v>10</v>
      </c>
      <c r="S38" s="56">
        <v>10</v>
      </c>
      <c r="T38" s="56">
        <v>10</v>
      </c>
      <c r="U38" s="56">
        <v>10</v>
      </c>
      <c r="V38" s="56">
        <v>10</v>
      </c>
      <c r="W38" s="56">
        <v>10</v>
      </c>
      <c r="X38" s="56">
        <v>10</v>
      </c>
      <c r="Y38" s="56">
        <v>10</v>
      </c>
      <c r="Z38" s="56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J38" s="185"/>
      <c r="AK38" s="54"/>
      <c r="AL38" s="64"/>
      <c r="AO38" s="64"/>
    </row>
    <row r="39" spans="1:41" s="64" customFormat="1" x14ac:dyDescent="0.25">
      <c r="A39" s="72" t="s">
        <v>46</v>
      </c>
      <c r="B39" s="56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71">
        <v>3.9</v>
      </c>
      <c r="M39" s="71">
        <v>3.9</v>
      </c>
      <c r="N39" s="71">
        <v>3.9</v>
      </c>
      <c r="O39" s="71">
        <v>3.9</v>
      </c>
      <c r="P39" s="71">
        <v>3.9</v>
      </c>
      <c r="Q39" s="71">
        <v>3.9</v>
      </c>
      <c r="R39" s="71">
        <v>3.9</v>
      </c>
      <c r="S39" s="71">
        <v>3.9</v>
      </c>
      <c r="T39" s="71">
        <v>3.9</v>
      </c>
      <c r="U39" s="71">
        <v>3.9</v>
      </c>
      <c r="V39" s="71">
        <v>3.9</v>
      </c>
      <c r="W39" s="71">
        <v>3.9</v>
      </c>
      <c r="X39" s="71">
        <v>3.9</v>
      </c>
      <c r="Y39" s="71">
        <v>3.9</v>
      </c>
      <c r="Z39" s="71">
        <v>3.9</v>
      </c>
      <c r="AA39" s="71">
        <v>3.9</v>
      </c>
      <c r="AB39" s="71">
        <v>3.9</v>
      </c>
      <c r="AC39" s="71">
        <v>3.9</v>
      </c>
      <c r="AD39" s="71">
        <v>3.9</v>
      </c>
      <c r="AE39" s="71">
        <v>3.9</v>
      </c>
      <c r="AF39" s="71">
        <v>3.9</v>
      </c>
      <c r="AG39" s="59">
        <v>14</v>
      </c>
      <c r="AH39" s="52">
        <f t="shared" si="2"/>
        <v>3.9</v>
      </c>
      <c r="AI39" s="53">
        <f t="shared" si="3"/>
        <v>3.9</v>
      </c>
      <c r="AJ39" s="185"/>
      <c r="AK39" s="54"/>
      <c r="AL39"/>
      <c r="AM39"/>
      <c r="AN39"/>
      <c r="AO39"/>
    </row>
    <row r="40" spans="1:41" x14ac:dyDescent="0.25">
      <c r="A40" s="58" t="s">
        <v>47</v>
      </c>
      <c r="B40" s="56">
        <v>7.1</v>
      </c>
      <c r="C40" s="56">
        <v>7.1</v>
      </c>
      <c r="D40" s="56">
        <v>7.2</v>
      </c>
      <c r="E40" s="56">
        <v>7.2</v>
      </c>
      <c r="F40" s="56">
        <v>7.2</v>
      </c>
      <c r="G40" s="56">
        <v>7.2</v>
      </c>
      <c r="H40" s="56">
        <v>7.2</v>
      </c>
      <c r="I40" s="56">
        <v>7.2</v>
      </c>
      <c r="J40" s="56">
        <v>7.2</v>
      </c>
      <c r="K40" s="56">
        <v>7.2</v>
      </c>
      <c r="L40" s="56">
        <v>7.2</v>
      </c>
      <c r="M40" s="56">
        <v>7.2</v>
      </c>
      <c r="N40" s="56">
        <v>7.2</v>
      </c>
      <c r="O40" s="56">
        <v>7.2</v>
      </c>
      <c r="P40" s="56">
        <v>7.2</v>
      </c>
      <c r="Q40" s="56">
        <v>7.2</v>
      </c>
      <c r="R40" s="56">
        <v>5.2</v>
      </c>
      <c r="S40" s="56">
        <v>5.0999999999999996</v>
      </c>
      <c r="T40" s="56">
        <v>5.0999999999999996</v>
      </c>
      <c r="U40" s="56">
        <v>4.8</v>
      </c>
      <c r="V40" s="56">
        <v>4.7</v>
      </c>
      <c r="W40" s="56">
        <v>4.7</v>
      </c>
      <c r="X40" s="56">
        <v>4.8</v>
      </c>
      <c r="Y40" s="56">
        <v>4.9000000000000004</v>
      </c>
      <c r="Z40" s="56">
        <v>5.0999999999999996</v>
      </c>
      <c r="AA40" s="56">
        <v>5.0999999999999996</v>
      </c>
      <c r="AB40" s="56">
        <v>5.0999999999999996</v>
      </c>
      <c r="AC40" s="56">
        <v>5.0999999999999996</v>
      </c>
      <c r="AD40" s="56">
        <v>5.0999999999999996</v>
      </c>
      <c r="AE40" s="56">
        <v>5.0999999999999996</v>
      </c>
      <c r="AF40" s="56">
        <v>5.0999999999999996</v>
      </c>
      <c r="AG40" s="59">
        <v>10.050000000000001</v>
      </c>
      <c r="AH40" s="52">
        <f t="shared" si="2"/>
        <v>7.2</v>
      </c>
      <c r="AI40" s="53">
        <f t="shared" si="3"/>
        <v>4.7</v>
      </c>
      <c r="AJ40" s="185"/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56">
        <v>2.5</v>
      </c>
      <c r="M41" s="56">
        <v>2.5</v>
      </c>
      <c r="N41" s="56">
        <v>2.5</v>
      </c>
      <c r="O41" s="56">
        <v>2.5</v>
      </c>
      <c r="P41" s="56">
        <v>2.5</v>
      </c>
      <c r="Q41" s="56">
        <v>2.5</v>
      </c>
      <c r="R41" s="56">
        <v>2.5</v>
      </c>
      <c r="S41" s="56">
        <v>2.5</v>
      </c>
      <c r="T41" s="56">
        <v>2.5</v>
      </c>
      <c r="U41" s="56">
        <v>2.5</v>
      </c>
      <c r="V41" s="56">
        <v>2.5</v>
      </c>
      <c r="W41" s="56">
        <v>2.5</v>
      </c>
      <c r="X41" s="56">
        <v>2.5</v>
      </c>
      <c r="Y41" s="56">
        <v>2.5</v>
      </c>
      <c r="Z41" s="56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J41" s="185"/>
      <c r="AK41" s="54"/>
    </row>
    <row r="42" spans="1:41" ht="15.75" thickBot="1" x14ac:dyDescent="0.3">
      <c r="A42" s="65" t="s">
        <v>49</v>
      </c>
      <c r="B42" s="73">
        <f t="shared" ref="B42:AF42" si="5">B179</f>
        <v>3.54</v>
      </c>
      <c r="C42" s="73">
        <f t="shared" si="5"/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J42" s="185"/>
      <c r="AK42" s="54"/>
    </row>
    <row r="43" spans="1:41" ht="15.75" thickBot="1" x14ac:dyDescent="0.3">
      <c r="A43" s="68" t="s">
        <v>50</v>
      </c>
      <c r="B43" s="69">
        <f t="shared" ref="B43:AF43" si="6">SUM(B31:B42)</f>
        <v>299.04000000000002</v>
      </c>
      <c r="C43" s="69">
        <f t="shared" si="6"/>
        <v>289.14000000000004</v>
      </c>
      <c r="D43" s="69">
        <f t="shared" si="6"/>
        <v>289.94</v>
      </c>
      <c r="E43" s="69">
        <f t="shared" si="6"/>
        <v>293.64</v>
      </c>
      <c r="F43" s="69">
        <f t="shared" si="6"/>
        <v>294.64</v>
      </c>
      <c r="G43" s="69">
        <f t="shared" si="6"/>
        <v>285.94</v>
      </c>
      <c r="H43" s="69">
        <f t="shared" si="6"/>
        <v>309.83999999999997</v>
      </c>
      <c r="I43" s="69">
        <f t="shared" si="6"/>
        <v>309.43999999999994</v>
      </c>
      <c r="J43" s="69">
        <f t="shared" si="6"/>
        <v>329.54</v>
      </c>
      <c r="K43" s="69">
        <f t="shared" si="6"/>
        <v>336.54</v>
      </c>
      <c r="L43" s="69">
        <f t="shared" si="6"/>
        <v>333.94</v>
      </c>
      <c r="M43" s="69">
        <f t="shared" si="6"/>
        <v>333.73999999999995</v>
      </c>
      <c r="N43" s="69">
        <f t="shared" si="6"/>
        <v>332.64</v>
      </c>
      <c r="O43" s="69">
        <f t="shared" si="6"/>
        <v>318.03999999999996</v>
      </c>
      <c r="P43" s="69">
        <f t="shared" si="6"/>
        <v>298.73999999999995</v>
      </c>
      <c r="Q43" s="69">
        <f t="shared" si="6"/>
        <v>369.52</v>
      </c>
      <c r="R43" s="69">
        <f t="shared" si="6"/>
        <v>301.14</v>
      </c>
      <c r="S43" s="69">
        <f t="shared" si="6"/>
        <v>299.54000000000002</v>
      </c>
      <c r="T43" s="69">
        <f t="shared" si="6"/>
        <v>293.34000000000003</v>
      </c>
      <c r="U43" s="69">
        <f t="shared" si="6"/>
        <v>294.64000000000004</v>
      </c>
      <c r="V43" s="69">
        <f t="shared" si="6"/>
        <v>293.83999999999997</v>
      </c>
      <c r="W43" s="69">
        <f t="shared" si="6"/>
        <v>294.33999999999997</v>
      </c>
      <c r="X43" s="69">
        <f t="shared" si="6"/>
        <v>295.14</v>
      </c>
      <c r="Y43" s="69">
        <f t="shared" si="6"/>
        <v>326.53999999999996</v>
      </c>
      <c r="Z43" s="69">
        <v>335.04</v>
      </c>
      <c r="AA43" s="69">
        <f t="shared" si="6"/>
        <v>331.61</v>
      </c>
      <c r="AB43" s="69">
        <f t="shared" si="6"/>
        <v>331.61</v>
      </c>
      <c r="AC43" s="69">
        <f t="shared" si="6"/>
        <v>330.34000000000003</v>
      </c>
      <c r="AD43" s="69">
        <f t="shared" si="6"/>
        <v>308.14000000000004</v>
      </c>
      <c r="AE43" s="69">
        <f t="shared" si="6"/>
        <v>293.84000000000003</v>
      </c>
      <c r="AF43" s="69">
        <f t="shared" si="6"/>
        <v>292.94</v>
      </c>
      <c r="AG43" s="74">
        <f>SUM(AG31:AG42)</f>
        <v>464.91</v>
      </c>
      <c r="AH43" s="52">
        <f t="shared" si="2"/>
        <v>369.52</v>
      </c>
      <c r="AI43" s="53">
        <f t="shared" si="3"/>
        <v>285.94</v>
      </c>
      <c r="AJ43" s="185"/>
      <c r="AK43" s="54"/>
    </row>
    <row r="44" spans="1:41" x14ac:dyDescent="0.25">
      <c r="A44" s="55" t="s">
        <v>51</v>
      </c>
      <c r="B44" s="56">
        <v>14</v>
      </c>
      <c r="C44" s="56">
        <v>14</v>
      </c>
      <c r="D44" s="56">
        <v>14.2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14.3</v>
      </c>
      <c r="L44" s="56">
        <v>10.199999999999999</v>
      </c>
      <c r="M44" s="56">
        <v>30.2</v>
      </c>
      <c r="N44" s="56">
        <v>30.5</v>
      </c>
      <c r="O44" s="56">
        <v>30.4</v>
      </c>
      <c r="P44" s="56">
        <v>44.3</v>
      </c>
      <c r="Q44" s="56">
        <v>44.2</v>
      </c>
      <c r="R44" s="49">
        <v>44</v>
      </c>
      <c r="S44" s="49">
        <v>44.2</v>
      </c>
      <c r="T44" s="49">
        <v>44</v>
      </c>
      <c r="U44" s="49">
        <v>43.6</v>
      </c>
      <c r="V44" s="49">
        <v>43.6</v>
      </c>
      <c r="W44" s="49">
        <v>43.6</v>
      </c>
      <c r="X44" s="49">
        <v>44.1</v>
      </c>
      <c r="Y44" s="49">
        <v>44.1</v>
      </c>
      <c r="Z44" s="49">
        <v>58.9</v>
      </c>
      <c r="AA44" s="49">
        <v>59.5</v>
      </c>
      <c r="AB44" s="49">
        <v>59.5</v>
      </c>
      <c r="AC44" s="49">
        <v>33.299999999999997</v>
      </c>
      <c r="AD44" s="49">
        <v>59.9</v>
      </c>
      <c r="AE44" s="49">
        <v>36</v>
      </c>
      <c r="AF44" s="49">
        <v>40</v>
      </c>
      <c r="AG44" s="57">
        <v>60</v>
      </c>
      <c r="AH44" s="52">
        <f t="shared" si="2"/>
        <v>59.9</v>
      </c>
      <c r="AI44" s="53">
        <f t="shared" si="3"/>
        <v>0</v>
      </c>
      <c r="AJ44" s="185"/>
      <c r="AK44" s="54"/>
    </row>
    <row r="45" spans="1:41" x14ac:dyDescent="0.25">
      <c r="A45" s="58" t="s">
        <v>52</v>
      </c>
      <c r="B45" s="70">
        <v>9.5</v>
      </c>
      <c r="C45" s="56">
        <v>6.4</v>
      </c>
      <c r="D45" s="56">
        <v>6.5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8.3000000000000007</v>
      </c>
      <c r="L45" s="56">
        <v>3.8</v>
      </c>
      <c r="M45" s="56">
        <v>15.2</v>
      </c>
      <c r="N45" s="56">
        <v>15.8</v>
      </c>
      <c r="O45" s="56">
        <v>15.9</v>
      </c>
      <c r="P45" s="56">
        <v>19.3</v>
      </c>
      <c r="Q45" s="56">
        <v>20.8</v>
      </c>
      <c r="R45" s="49">
        <v>20.8</v>
      </c>
      <c r="S45" s="49">
        <v>20.8</v>
      </c>
      <c r="T45" s="49">
        <v>20.8</v>
      </c>
      <c r="U45" s="49">
        <v>20.8</v>
      </c>
      <c r="V45" s="49">
        <v>20.8</v>
      </c>
      <c r="W45" s="49">
        <v>20.9</v>
      </c>
      <c r="X45" s="49">
        <v>20.8</v>
      </c>
      <c r="Y45" s="49">
        <v>20.8</v>
      </c>
      <c r="Z45" s="49">
        <v>27.5</v>
      </c>
      <c r="AA45" s="70">
        <v>29.7</v>
      </c>
      <c r="AB45" s="70">
        <v>29.7</v>
      </c>
      <c r="AC45" s="70">
        <v>19.5</v>
      </c>
      <c r="AD45" s="70">
        <v>29.8</v>
      </c>
      <c r="AE45" s="70">
        <v>16</v>
      </c>
      <c r="AF45" s="70">
        <v>20</v>
      </c>
      <c r="AG45" s="59">
        <v>32</v>
      </c>
      <c r="AH45" s="52">
        <f t="shared" si="2"/>
        <v>29.8</v>
      </c>
      <c r="AI45" s="53">
        <f t="shared" si="3"/>
        <v>0</v>
      </c>
      <c r="AJ45" s="185"/>
      <c r="AK45" s="54"/>
    </row>
    <row r="46" spans="1:41" ht="15.75" thickBot="1" x14ac:dyDescent="0.3">
      <c r="A46" s="72" t="s">
        <v>53</v>
      </c>
      <c r="B46" s="77">
        <v>3.5</v>
      </c>
      <c r="C46" s="71">
        <v>2.2999999999999998</v>
      </c>
      <c r="D46" s="71">
        <v>2.4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3</v>
      </c>
      <c r="L46" s="71">
        <v>1.4</v>
      </c>
      <c r="M46" s="71">
        <v>5.6</v>
      </c>
      <c r="N46" s="71">
        <v>5.8</v>
      </c>
      <c r="O46" s="71">
        <v>5.8</v>
      </c>
      <c r="P46" s="71">
        <v>7</v>
      </c>
      <c r="Q46" s="71">
        <v>7.6</v>
      </c>
      <c r="R46" s="49">
        <v>7.6</v>
      </c>
      <c r="S46" s="49">
        <v>7.6</v>
      </c>
      <c r="T46" s="49">
        <v>7.6</v>
      </c>
      <c r="U46" s="49">
        <v>7.6</v>
      </c>
      <c r="V46" s="49">
        <v>7.6</v>
      </c>
      <c r="W46" s="49">
        <v>7.6</v>
      </c>
      <c r="X46" s="49">
        <v>7.6</v>
      </c>
      <c r="Y46" s="49">
        <v>7.6</v>
      </c>
      <c r="Z46" s="49">
        <v>10</v>
      </c>
      <c r="AA46" s="77">
        <v>10.8</v>
      </c>
      <c r="AB46" s="77">
        <v>10.8</v>
      </c>
      <c r="AC46" s="77">
        <v>7.1</v>
      </c>
      <c r="AD46" s="77">
        <v>10.9</v>
      </c>
      <c r="AE46" s="77">
        <v>5.7</v>
      </c>
      <c r="AF46" s="77">
        <v>7</v>
      </c>
      <c r="AG46" s="78">
        <v>14</v>
      </c>
      <c r="AH46" s="52">
        <f t="shared" si="2"/>
        <v>10.9</v>
      </c>
      <c r="AI46" s="53">
        <f t="shared" si="3"/>
        <v>0</v>
      </c>
      <c r="AJ46" s="185"/>
      <c r="AK46" s="54"/>
    </row>
    <row r="47" spans="1:41" ht="15.75" thickBot="1" x14ac:dyDescent="0.3">
      <c r="A47" s="68" t="s">
        <v>54</v>
      </c>
      <c r="B47" s="69">
        <f t="shared" ref="B47:AF47" si="7">SUM(B44:B46)</f>
        <v>27</v>
      </c>
      <c r="C47" s="69">
        <f t="shared" si="7"/>
        <v>22.7</v>
      </c>
      <c r="D47" s="69">
        <f t="shared" si="7"/>
        <v>23.099999999999998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25.6</v>
      </c>
      <c r="L47" s="69">
        <f t="shared" si="7"/>
        <v>15.4</v>
      </c>
      <c r="M47" s="69">
        <f t="shared" si="7"/>
        <v>51</v>
      </c>
      <c r="N47" s="69">
        <f t="shared" si="7"/>
        <v>52.099999999999994</v>
      </c>
      <c r="O47" s="69">
        <f t="shared" si="7"/>
        <v>52.099999999999994</v>
      </c>
      <c r="P47" s="69">
        <f t="shared" si="7"/>
        <v>70.599999999999994</v>
      </c>
      <c r="Q47" s="69">
        <f t="shared" si="7"/>
        <v>72.599999999999994</v>
      </c>
      <c r="R47" s="69">
        <f t="shared" si="7"/>
        <v>72.399999999999991</v>
      </c>
      <c r="S47" s="69">
        <f t="shared" si="7"/>
        <v>72.599999999999994</v>
      </c>
      <c r="T47" s="69">
        <f t="shared" si="7"/>
        <v>72.399999999999991</v>
      </c>
      <c r="U47" s="69">
        <f t="shared" si="7"/>
        <v>72</v>
      </c>
      <c r="V47" s="69">
        <f t="shared" si="7"/>
        <v>72</v>
      </c>
      <c r="W47" s="69">
        <f t="shared" si="7"/>
        <v>72.099999999999994</v>
      </c>
      <c r="X47" s="69">
        <f t="shared" si="7"/>
        <v>72.5</v>
      </c>
      <c r="Y47" s="69">
        <f t="shared" si="7"/>
        <v>72.5</v>
      </c>
      <c r="Z47" s="69">
        <v>43.1</v>
      </c>
      <c r="AA47" s="69">
        <f t="shared" si="7"/>
        <v>100</v>
      </c>
      <c r="AB47" s="69">
        <f t="shared" si="7"/>
        <v>100</v>
      </c>
      <c r="AC47" s="69">
        <f t="shared" si="7"/>
        <v>59.9</v>
      </c>
      <c r="AD47" s="69">
        <f t="shared" si="7"/>
        <v>100.60000000000001</v>
      </c>
      <c r="AE47" s="69">
        <f t="shared" si="7"/>
        <v>57.7</v>
      </c>
      <c r="AF47" s="69">
        <f t="shared" si="7"/>
        <v>67</v>
      </c>
      <c r="AG47" s="74">
        <f>SUM(AG44:AG46)</f>
        <v>106</v>
      </c>
      <c r="AH47" s="52">
        <f t="shared" si="2"/>
        <v>100.60000000000001</v>
      </c>
      <c r="AI47" s="53">
        <f t="shared" si="3"/>
        <v>0</v>
      </c>
      <c r="AJ47" s="185"/>
      <c r="AK47" s="54"/>
    </row>
    <row r="48" spans="1:41" x14ac:dyDescent="0.25">
      <c r="A48" s="55" t="s">
        <v>55</v>
      </c>
      <c r="B48" s="49">
        <v>61</v>
      </c>
      <c r="C48" s="49">
        <v>59</v>
      </c>
      <c r="D48" s="49">
        <v>55</v>
      </c>
      <c r="E48" s="49">
        <v>65.930000000000007</v>
      </c>
      <c r="F48" s="49">
        <v>58.71</v>
      </c>
      <c r="G48" s="49">
        <v>61</v>
      </c>
      <c r="H48" s="49">
        <v>60.49</v>
      </c>
      <c r="I48" s="49">
        <v>59</v>
      </c>
      <c r="J48" s="49">
        <v>60</v>
      </c>
      <c r="K48" s="49">
        <v>59</v>
      </c>
      <c r="L48" s="49">
        <v>59.6</v>
      </c>
      <c r="M48" s="49">
        <v>60.82</v>
      </c>
      <c r="N48" s="49">
        <v>52.62</v>
      </c>
      <c r="O48" s="49">
        <v>69.3</v>
      </c>
      <c r="P48" s="49">
        <v>68.400000000000006</v>
      </c>
      <c r="Q48" s="49">
        <v>64.5</v>
      </c>
      <c r="R48" s="49">
        <v>56.05</v>
      </c>
      <c r="S48" s="49">
        <v>71.37</v>
      </c>
      <c r="T48" s="49">
        <v>68</v>
      </c>
      <c r="U48" s="49">
        <v>59.67</v>
      </c>
      <c r="V48" s="49">
        <v>57.52</v>
      </c>
      <c r="W48" s="49">
        <v>54.06</v>
      </c>
      <c r="X48" s="49">
        <v>31.54</v>
      </c>
      <c r="Y48" s="49">
        <v>52.42</v>
      </c>
      <c r="Z48" s="49">
        <v>70.63</v>
      </c>
      <c r="AA48" s="49">
        <v>77.349999999999994</v>
      </c>
      <c r="AB48" s="49">
        <v>79</v>
      </c>
      <c r="AC48" s="49">
        <v>61.42</v>
      </c>
      <c r="AD48" s="49">
        <v>59.6</v>
      </c>
      <c r="AE48" s="49">
        <v>56</v>
      </c>
      <c r="AF48" s="49">
        <v>61.4</v>
      </c>
      <c r="AG48" s="57">
        <v>80</v>
      </c>
      <c r="AH48" s="52">
        <f t="shared" si="2"/>
        <v>79</v>
      </c>
      <c r="AI48" s="53">
        <f>MIN(B48:AG48)</f>
        <v>31.54</v>
      </c>
      <c r="AJ48" s="185"/>
      <c r="AK48" s="54"/>
    </row>
    <row r="49" spans="1:37" x14ac:dyDescent="0.25">
      <c r="A49" s="58" t="s">
        <v>56</v>
      </c>
      <c r="B49" s="70">
        <v>123</v>
      </c>
      <c r="C49" s="70">
        <v>138</v>
      </c>
      <c r="D49" s="70">
        <f>93.2+43</f>
        <v>136.19999999999999</v>
      </c>
      <c r="E49" s="70">
        <f>90.8+40</f>
        <v>130.80000000000001</v>
      </c>
      <c r="F49" s="70">
        <f>85.5+36.2</f>
        <v>121.7</v>
      </c>
      <c r="G49" s="70">
        <f>80.1+34</f>
        <v>114.1</v>
      </c>
      <c r="H49" s="70">
        <f>75+35</f>
        <v>110</v>
      </c>
      <c r="I49" s="70">
        <f>78+41</f>
        <v>119</v>
      </c>
      <c r="J49" s="70">
        <f>80.4+45.1</f>
        <v>125.5</v>
      </c>
      <c r="K49" s="70">
        <f>86.6+48.6</f>
        <v>135.19999999999999</v>
      </c>
      <c r="L49" s="49">
        <f>55.6+95.1</f>
        <v>150.69999999999999</v>
      </c>
      <c r="M49" s="49">
        <v>81</v>
      </c>
      <c r="N49" s="49">
        <v>82</v>
      </c>
      <c r="O49" s="49">
        <v>82.5</v>
      </c>
      <c r="P49" s="49">
        <v>81.7</v>
      </c>
      <c r="Q49" s="49">
        <v>78.2</v>
      </c>
      <c r="R49" s="49">
        <v>72</v>
      </c>
      <c r="S49" s="49">
        <v>75.099999999999994</v>
      </c>
      <c r="T49" s="49">
        <v>78.2</v>
      </c>
      <c r="U49" s="49">
        <v>67.400000000000006</v>
      </c>
      <c r="V49" s="49">
        <v>67.8</v>
      </c>
      <c r="W49" s="49">
        <v>71.099999999999994</v>
      </c>
      <c r="X49" s="49">
        <v>73.7</v>
      </c>
      <c r="Y49" s="49">
        <v>94.6</v>
      </c>
      <c r="Z49" s="49">
        <v>106</v>
      </c>
      <c r="AA49" s="70">
        <v>177</v>
      </c>
      <c r="AB49" s="70">
        <v>102</v>
      </c>
      <c r="AC49" s="70">
        <v>168</v>
      </c>
      <c r="AD49" s="70">
        <f>105+50</f>
        <v>155</v>
      </c>
      <c r="AE49" s="70">
        <f>102+52</f>
        <v>154</v>
      </c>
      <c r="AF49" s="70">
        <f>100+50</f>
        <v>150</v>
      </c>
      <c r="AG49" s="59">
        <v>200</v>
      </c>
      <c r="AH49" s="52">
        <f t="shared" si="2"/>
        <v>177</v>
      </c>
      <c r="AI49" s="53">
        <f t="shared" si="3"/>
        <v>67.400000000000006</v>
      </c>
      <c r="AJ49" s="185"/>
      <c r="AK49" s="54"/>
    </row>
    <row r="50" spans="1:37" x14ac:dyDescent="0.25">
      <c r="A50" s="58" t="s">
        <v>57</v>
      </c>
      <c r="B50" s="70">
        <v>56</v>
      </c>
      <c r="C50" s="70">
        <v>41</v>
      </c>
      <c r="D50" s="70">
        <v>31</v>
      </c>
      <c r="E50" s="70">
        <v>38</v>
      </c>
      <c r="F50" s="70">
        <v>22.2</v>
      </c>
      <c r="G50" s="49">
        <v>27</v>
      </c>
      <c r="H50" s="49">
        <v>24</v>
      </c>
      <c r="I50" s="49">
        <v>40</v>
      </c>
      <c r="J50" s="49">
        <v>35</v>
      </c>
      <c r="K50" s="49">
        <v>16</v>
      </c>
      <c r="L50" s="49">
        <f>23+23</f>
        <v>46</v>
      </c>
      <c r="M50" s="70">
        <f>47.1+47.1</f>
        <v>94.2</v>
      </c>
      <c r="N50" s="70">
        <f>43.5+43.9</f>
        <v>87.4</v>
      </c>
      <c r="O50" s="70">
        <f>55.9+56.6</f>
        <v>112.5</v>
      </c>
      <c r="P50" s="70">
        <f>50.2+50.2</f>
        <v>100.4</v>
      </c>
      <c r="Q50" s="70">
        <v>100</v>
      </c>
      <c r="R50" s="70">
        <v>89</v>
      </c>
      <c r="S50" s="70">
        <v>100.5</v>
      </c>
      <c r="T50" s="70">
        <v>103</v>
      </c>
      <c r="U50" s="80">
        <v>84</v>
      </c>
      <c r="V50" s="80">
        <v>79</v>
      </c>
      <c r="W50" s="80">
        <v>94</v>
      </c>
      <c r="X50" s="80">
        <v>125</v>
      </c>
      <c r="Y50" s="80">
        <v>206</v>
      </c>
      <c r="Z50" s="80">
        <v>258</v>
      </c>
      <c r="AA50" s="70">
        <v>162</v>
      </c>
      <c r="AB50" s="70">
        <v>195</v>
      </c>
      <c r="AC50" s="70">
        <v>166</v>
      </c>
      <c r="AD50" s="70">
        <v>80</v>
      </c>
      <c r="AE50" s="70">
        <v>62</v>
      </c>
      <c r="AF50" s="70">
        <v>20</v>
      </c>
      <c r="AG50" s="81"/>
      <c r="AH50" s="52">
        <f t="shared" si="2"/>
        <v>258</v>
      </c>
      <c r="AI50" s="53">
        <f t="shared" si="3"/>
        <v>16</v>
      </c>
      <c r="AJ50" s="185"/>
      <c r="AK50" s="54"/>
    </row>
    <row r="51" spans="1:37" x14ac:dyDescent="0.25">
      <c r="A51" s="58" t="s">
        <v>58</v>
      </c>
      <c r="B51" s="82">
        <v>0</v>
      </c>
      <c r="C51" s="82">
        <v>13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19</v>
      </c>
      <c r="AE51" s="70">
        <v>19</v>
      </c>
      <c r="AF51" s="70">
        <v>19</v>
      </c>
      <c r="AG51" s="81">
        <v>50</v>
      </c>
      <c r="AH51" s="52">
        <f t="shared" si="2"/>
        <v>19</v>
      </c>
      <c r="AI51" s="53">
        <f>MIN(B51:AG51)</f>
        <v>0</v>
      </c>
      <c r="AJ51" s="185"/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47.7</v>
      </c>
      <c r="G52" s="82">
        <v>42</v>
      </c>
      <c r="H52" s="82">
        <v>40.799999999999997</v>
      </c>
      <c r="I52" s="82">
        <v>40.1</v>
      </c>
      <c r="J52" s="82">
        <v>40.1</v>
      </c>
      <c r="K52" s="82">
        <v>40.1</v>
      </c>
      <c r="L52" s="70">
        <v>40.1</v>
      </c>
      <c r="M52" s="70">
        <v>40.799999999999997</v>
      </c>
      <c r="N52" s="70">
        <v>44.6</v>
      </c>
      <c r="O52" s="49">
        <v>47.6</v>
      </c>
      <c r="P52" s="70">
        <v>48.9</v>
      </c>
      <c r="Q52" s="70">
        <v>47.2</v>
      </c>
      <c r="R52" s="49">
        <v>46.7</v>
      </c>
      <c r="S52" s="49">
        <v>46.7</v>
      </c>
      <c r="T52" s="49">
        <v>46.7</v>
      </c>
      <c r="U52" s="49">
        <v>46.7</v>
      </c>
      <c r="V52" s="49">
        <v>46.7</v>
      </c>
      <c r="W52" s="49">
        <v>46.7</v>
      </c>
      <c r="X52" s="49">
        <v>39.9</v>
      </c>
      <c r="Y52" s="49">
        <v>43</v>
      </c>
      <c r="Z52" s="49">
        <v>47.2</v>
      </c>
      <c r="AA52" s="49">
        <v>48.1</v>
      </c>
      <c r="AB52" s="49">
        <v>50.2</v>
      </c>
      <c r="AC52" s="49">
        <v>52.7</v>
      </c>
      <c r="AD52" s="49">
        <v>51.9</v>
      </c>
      <c r="AE52" s="49">
        <v>51.7</v>
      </c>
      <c r="AF52" s="49">
        <v>50.7</v>
      </c>
      <c r="AG52" s="81">
        <v>90</v>
      </c>
      <c r="AH52" s="52">
        <f t="shared" si="2"/>
        <v>52.7</v>
      </c>
      <c r="AI52" s="53">
        <f>MIN(B52:AG52)</f>
        <v>0</v>
      </c>
      <c r="AJ52" s="185"/>
      <c r="AK52" s="54"/>
    </row>
    <row r="53" spans="1:37" x14ac:dyDescent="0.25">
      <c r="A53" s="58" t="s">
        <v>60</v>
      </c>
      <c r="B53" s="83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83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10</v>
      </c>
      <c r="AB53" s="70">
        <v>10</v>
      </c>
      <c r="AC53" s="83">
        <v>10</v>
      </c>
      <c r="AD53" s="83">
        <v>0</v>
      </c>
      <c r="AE53" s="83">
        <v>0</v>
      </c>
      <c r="AF53" s="83">
        <v>0</v>
      </c>
      <c r="AG53" s="81"/>
      <c r="AH53" s="52">
        <f t="shared" si="2"/>
        <v>10</v>
      </c>
      <c r="AI53" s="53">
        <f t="shared" si="3"/>
        <v>0</v>
      </c>
      <c r="AJ53" s="185"/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70">
        <v>0</v>
      </c>
      <c r="N54" s="70">
        <v>0</v>
      </c>
      <c r="O54" s="83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70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J54" s="185"/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70">
        <v>0</v>
      </c>
      <c r="N55" s="70">
        <v>0</v>
      </c>
      <c r="O55" s="83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J55" s="185"/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70">
        <v>0</v>
      </c>
      <c r="N56" s="70">
        <v>0</v>
      </c>
      <c r="O56" s="83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J56" s="185"/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83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J57" s="185"/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70">
        <v>0</v>
      </c>
      <c r="N58" s="70">
        <v>0</v>
      </c>
      <c r="O58" s="83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J58" s="185"/>
      <c r="AK58" s="54"/>
    </row>
    <row r="59" spans="1:37" ht="15.75" thickBot="1" x14ac:dyDescent="0.3">
      <c r="A59" s="68" t="s">
        <v>66</v>
      </c>
      <c r="B59" s="69">
        <f t="shared" ref="B59:AF59" si="8">SUM(B48:B58)</f>
        <v>240</v>
      </c>
      <c r="C59" s="69">
        <f t="shared" si="8"/>
        <v>251</v>
      </c>
      <c r="D59" s="69">
        <f t="shared" si="8"/>
        <v>222.2</v>
      </c>
      <c r="E59" s="69">
        <f t="shared" si="8"/>
        <v>234.73000000000002</v>
      </c>
      <c r="F59" s="69">
        <f t="shared" si="8"/>
        <v>250.31</v>
      </c>
      <c r="G59" s="69">
        <f t="shared" si="8"/>
        <v>244.1</v>
      </c>
      <c r="H59" s="69">
        <f t="shared" si="8"/>
        <v>235.29000000000002</v>
      </c>
      <c r="I59" s="69">
        <f t="shared" si="8"/>
        <v>258.10000000000002</v>
      </c>
      <c r="J59" s="69">
        <f t="shared" si="8"/>
        <v>260.60000000000002</v>
      </c>
      <c r="K59" s="69">
        <f t="shared" si="8"/>
        <v>250.29999999999998</v>
      </c>
      <c r="L59" s="69">
        <f t="shared" si="8"/>
        <v>296.39999999999998</v>
      </c>
      <c r="M59" s="69">
        <f t="shared" si="8"/>
        <v>276.82</v>
      </c>
      <c r="N59" s="69">
        <f t="shared" si="8"/>
        <v>266.62</v>
      </c>
      <c r="O59" s="69">
        <f t="shared" si="8"/>
        <v>311.90000000000003</v>
      </c>
      <c r="P59" s="69">
        <f t="shared" si="8"/>
        <v>299.40000000000003</v>
      </c>
      <c r="Q59" s="69">
        <f t="shared" si="8"/>
        <v>289.89999999999998</v>
      </c>
      <c r="R59" s="69">
        <f t="shared" si="8"/>
        <v>263.75</v>
      </c>
      <c r="S59" s="69">
        <f t="shared" si="8"/>
        <v>293.67</v>
      </c>
      <c r="T59" s="69">
        <f t="shared" si="8"/>
        <v>295.89999999999998</v>
      </c>
      <c r="U59" s="69">
        <f t="shared" si="8"/>
        <v>257.77</v>
      </c>
      <c r="V59" s="69">
        <f t="shared" si="8"/>
        <v>251.01999999999998</v>
      </c>
      <c r="W59" s="69">
        <f t="shared" si="8"/>
        <v>265.86</v>
      </c>
      <c r="X59" s="69">
        <f t="shared" si="8"/>
        <v>270.14</v>
      </c>
      <c r="Y59" s="69">
        <f t="shared" si="8"/>
        <v>396.02</v>
      </c>
      <c r="Z59" s="69">
        <f t="shared" si="8"/>
        <v>481.83</v>
      </c>
      <c r="AA59" s="69">
        <f t="shared" si="8"/>
        <v>474.45000000000005</v>
      </c>
      <c r="AB59" s="69">
        <f t="shared" si="8"/>
        <v>436.2</v>
      </c>
      <c r="AC59" s="69">
        <f t="shared" si="8"/>
        <v>458.12</v>
      </c>
      <c r="AD59" s="69">
        <f t="shared" si="8"/>
        <v>365.5</v>
      </c>
      <c r="AE59" s="69">
        <f t="shared" si="8"/>
        <v>342.7</v>
      </c>
      <c r="AF59" s="69">
        <f t="shared" si="8"/>
        <v>301.10000000000002</v>
      </c>
      <c r="AG59" s="74">
        <f>SUM(AG48:AG58)</f>
        <v>420</v>
      </c>
      <c r="AH59" s="52">
        <f t="shared" si="2"/>
        <v>481.83</v>
      </c>
      <c r="AI59" s="53">
        <f t="shared" si="3"/>
        <v>222.2</v>
      </c>
      <c r="AJ59" s="185"/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J60" s="185"/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J61" s="185"/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J62" s="185"/>
      <c r="AK62" s="54"/>
    </row>
    <row r="63" spans="1:37" ht="15.75" thickBot="1" x14ac:dyDescent="0.3">
      <c r="A63" s="68" t="s">
        <v>70</v>
      </c>
      <c r="B63" s="69">
        <f t="shared" ref="B63:AF63" si="9">SUM(B60:B62)</f>
        <v>0</v>
      </c>
      <c r="C63" s="69">
        <f t="shared" si="9"/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  <c r="AJ63" s="185"/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  <c r="AJ64" s="185"/>
    </row>
    <row r="65" spans="1:36" ht="15.75" thickBot="1" x14ac:dyDescent="0.3">
      <c r="A65" s="90" t="s">
        <v>72</v>
      </c>
      <c r="B65" s="91">
        <f t="shared" ref="B65:AF65" si="10">B63+B59+B47+B43+B30+B64</f>
        <v>872.54</v>
      </c>
      <c r="C65" s="91">
        <f t="shared" si="10"/>
        <v>872.6400000000001</v>
      </c>
      <c r="D65" s="91">
        <f t="shared" si="10"/>
        <v>844.14</v>
      </c>
      <c r="E65" s="91">
        <f t="shared" si="10"/>
        <v>839.56999999999994</v>
      </c>
      <c r="F65" s="91">
        <f t="shared" si="10"/>
        <v>851.55000000000007</v>
      </c>
      <c r="G65" s="91">
        <f t="shared" si="10"/>
        <v>838.93999999999994</v>
      </c>
      <c r="H65" s="91">
        <f t="shared" si="10"/>
        <v>852.23</v>
      </c>
      <c r="I65" s="91">
        <f t="shared" si="10"/>
        <v>875.13999999999987</v>
      </c>
      <c r="J65" s="91">
        <f t="shared" si="10"/>
        <v>897.34000000000015</v>
      </c>
      <c r="K65" s="91">
        <f t="shared" si="10"/>
        <v>920.54000000000008</v>
      </c>
      <c r="L65" s="91">
        <f t="shared" si="10"/>
        <v>952.24</v>
      </c>
      <c r="M65" s="91">
        <f t="shared" si="10"/>
        <v>965.56</v>
      </c>
      <c r="N65" s="91">
        <f t="shared" si="10"/>
        <v>953.46</v>
      </c>
      <c r="O65" s="91">
        <f t="shared" si="10"/>
        <v>978.64</v>
      </c>
      <c r="P65" s="91">
        <f t="shared" si="10"/>
        <v>966.74</v>
      </c>
      <c r="Q65" s="91">
        <f t="shared" si="10"/>
        <v>1028.22</v>
      </c>
      <c r="R65" s="91">
        <f t="shared" si="10"/>
        <v>933.18999999999994</v>
      </c>
      <c r="S65" s="91">
        <f t="shared" si="10"/>
        <v>961.6099999999999</v>
      </c>
      <c r="T65" s="91">
        <f t="shared" si="10"/>
        <v>956.04</v>
      </c>
      <c r="U65" s="91">
        <f t="shared" si="10"/>
        <v>919.81000000000006</v>
      </c>
      <c r="V65" s="91">
        <f t="shared" si="10"/>
        <v>921.3599999999999</v>
      </c>
      <c r="W65" s="91">
        <f t="shared" si="10"/>
        <v>927.59999999999991</v>
      </c>
      <c r="X65" s="91">
        <f t="shared" si="10"/>
        <v>935.78</v>
      </c>
      <c r="Y65" s="91">
        <f t="shared" si="10"/>
        <v>1094.46</v>
      </c>
      <c r="Z65" s="91">
        <f t="shared" si="10"/>
        <v>1165.67</v>
      </c>
      <c r="AA65" s="91">
        <f t="shared" si="10"/>
        <v>1207.26</v>
      </c>
      <c r="AB65" s="91">
        <f t="shared" si="10"/>
        <v>1159.01</v>
      </c>
      <c r="AC65" s="91">
        <f t="shared" si="10"/>
        <v>1150.6599999999999</v>
      </c>
      <c r="AD65" s="91">
        <f t="shared" si="10"/>
        <v>1081.6399999999999</v>
      </c>
      <c r="AE65" s="91">
        <f t="shared" si="10"/>
        <v>998.93999999999994</v>
      </c>
      <c r="AF65" s="91">
        <f t="shared" si="10"/>
        <v>964.54</v>
      </c>
      <c r="AG65" s="74">
        <f>AG63+AG59+AG47+AG43+AG30+AG64</f>
        <v>1775.51</v>
      </c>
      <c r="AH65" s="52">
        <f t="shared" si="2"/>
        <v>1207.26</v>
      </c>
      <c r="AI65" s="53">
        <f t="shared" si="3"/>
        <v>838.93999999999994</v>
      </c>
      <c r="AJ65" s="185"/>
    </row>
    <row r="66" spans="1:36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  <c r="AJ66" s="185"/>
    </row>
    <row r="67" spans="1:36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  <c r="AJ67" s="185"/>
    </row>
    <row r="68" spans="1:36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  <c r="AJ68" s="185"/>
    </row>
    <row r="69" spans="1:36" x14ac:dyDescent="0.25">
      <c r="A69" s="84" t="s">
        <v>76</v>
      </c>
      <c r="B69" s="82">
        <f t="shared" ref="B69:AF69" si="17">IF(B50&lt;0,B50*-1,0)</f>
        <v>0</v>
      </c>
      <c r="C69" s="82">
        <f t="shared" si="17"/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  <c r="AJ69" s="185"/>
    </row>
    <row r="70" spans="1:36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  <c r="AJ70" s="185"/>
    </row>
    <row r="71" spans="1:36" ht="15.75" thickBot="1" x14ac:dyDescent="0.3">
      <c r="A71" s="90" t="s">
        <v>78</v>
      </c>
      <c r="B71" s="69">
        <f t="shared" ref="B71:AF71" si="18">SUM(B66:B70)</f>
        <v>0</v>
      </c>
      <c r="C71" s="69">
        <f t="shared" si="18"/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  <c r="AJ71" s="185"/>
    </row>
    <row r="72" spans="1:36" x14ac:dyDescent="0.25">
      <c r="A72" s="93" t="s">
        <v>79</v>
      </c>
      <c r="B72" s="94">
        <v>50.02</v>
      </c>
      <c r="C72" s="94">
        <v>50.034999999999997</v>
      </c>
      <c r="D72" s="94">
        <v>49.981999999999999</v>
      </c>
      <c r="E72" s="94">
        <v>49.981999999999999</v>
      </c>
      <c r="F72" s="94">
        <v>49.905999999999999</v>
      </c>
      <c r="G72" s="94">
        <v>49.929000000000002</v>
      </c>
      <c r="H72" s="94">
        <v>49.856999999999999</v>
      </c>
      <c r="I72" s="94">
        <v>50.006999999999998</v>
      </c>
      <c r="J72" s="94">
        <v>49.886000000000003</v>
      </c>
      <c r="K72" s="94">
        <v>49.886000000000003</v>
      </c>
      <c r="L72" s="94">
        <v>50.064999999999998</v>
      </c>
      <c r="M72" s="94">
        <v>50.006999999999998</v>
      </c>
      <c r="N72" s="94">
        <v>49.987000000000002</v>
      </c>
      <c r="O72" s="94">
        <v>49.962000000000003</v>
      </c>
      <c r="P72" s="94">
        <v>49.993600000000001</v>
      </c>
      <c r="Q72" s="95">
        <v>49.878</v>
      </c>
      <c r="R72" s="94">
        <v>50.003999999999998</v>
      </c>
      <c r="S72" s="94">
        <v>50.033000000000001</v>
      </c>
      <c r="T72" s="94">
        <v>50.034999999999997</v>
      </c>
      <c r="U72" s="94">
        <v>50.002000000000002</v>
      </c>
      <c r="V72" s="94">
        <v>50.058</v>
      </c>
      <c r="W72" s="94">
        <v>50.042999999999999</v>
      </c>
      <c r="X72" s="94">
        <v>50.069000000000003</v>
      </c>
      <c r="Y72" s="94">
        <v>50.033999999999999</v>
      </c>
      <c r="Z72" s="94">
        <v>49.920999999999999</v>
      </c>
      <c r="AA72" s="94">
        <v>49.99</v>
      </c>
      <c r="AB72" s="94">
        <v>49.99</v>
      </c>
      <c r="AC72" s="94">
        <v>50.045000000000002</v>
      </c>
      <c r="AD72" s="94">
        <v>49.972000000000001</v>
      </c>
      <c r="AE72" s="94">
        <v>49.917999999999999</v>
      </c>
      <c r="AF72" s="96">
        <v>50.06</v>
      </c>
      <c r="AG72" s="97"/>
      <c r="AH72" s="52">
        <f t="shared" si="2"/>
        <v>50.069000000000003</v>
      </c>
      <c r="AI72" s="53">
        <f t="shared" si="3"/>
        <v>49.856999999999999</v>
      </c>
      <c r="AJ72" s="185"/>
    </row>
    <row r="73" spans="1:36" x14ac:dyDescent="0.25">
      <c r="A73" s="98" t="s">
        <v>80</v>
      </c>
      <c r="B73" s="70">
        <v>127.9</v>
      </c>
      <c r="C73" s="70">
        <v>128.1</v>
      </c>
      <c r="D73" s="70">
        <v>127.7</v>
      </c>
      <c r="E73" s="70">
        <v>126.9</v>
      </c>
      <c r="F73" s="70">
        <v>128.19999999999999</v>
      </c>
      <c r="G73" s="70">
        <v>128.69999999999999</v>
      </c>
      <c r="H73" s="70">
        <v>128.69999999999999</v>
      </c>
      <c r="I73" s="70">
        <v>128.1</v>
      </c>
      <c r="J73" s="70">
        <v>128</v>
      </c>
      <c r="K73" s="70">
        <v>128</v>
      </c>
      <c r="L73" s="70">
        <v>126.5</v>
      </c>
      <c r="M73" s="70">
        <v>125.6</v>
      </c>
      <c r="N73" s="70">
        <v>126.3</v>
      </c>
      <c r="O73" s="70">
        <v>126.3</v>
      </c>
      <c r="P73" s="70">
        <v>127.6</v>
      </c>
      <c r="Q73" s="99">
        <v>128.5</v>
      </c>
      <c r="R73" s="99">
        <v>128.5</v>
      </c>
      <c r="S73" s="99">
        <v>128.6</v>
      </c>
      <c r="T73" s="99">
        <v>128.19999999999999</v>
      </c>
      <c r="U73" s="99">
        <v>128.80000000000001</v>
      </c>
      <c r="V73" s="99">
        <v>129</v>
      </c>
      <c r="W73" s="99">
        <v>128.9</v>
      </c>
      <c r="X73" s="99">
        <v>129</v>
      </c>
      <c r="Y73" s="99">
        <v>128.30000000000001</v>
      </c>
      <c r="Z73" s="99">
        <v>127.1</v>
      </c>
      <c r="AA73" s="70">
        <v>128</v>
      </c>
      <c r="AB73" s="70">
        <v>128</v>
      </c>
      <c r="AC73" s="70">
        <v>128.4</v>
      </c>
      <c r="AD73" s="70">
        <v>127.8</v>
      </c>
      <c r="AE73" s="70">
        <v>128.69999999999999</v>
      </c>
      <c r="AF73" s="100">
        <v>128.80000000000001</v>
      </c>
      <c r="AG73" s="101"/>
      <c r="AH73" s="52">
        <f t="shared" si="2"/>
        <v>129</v>
      </c>
      <c r="AI73" s="53">
        <f t="shared" si="3"/>
        <v>125.6</v>
      </c>
      <c r="AJ73" s="185"/>
    </row>
    <row r="74" spans="1:36" x14ac:dyDescent="0.25">
      <c r="A74" s="98" t="s">
        <v>81</v>
      </c>
      <c r="B74" s="70">
        <v>130.9</v>
      </c>
      <c r="C74" s="70">
        <v>131.1</v>
      </c>
      <c r="D74" s="70">
        <v>130.6</v>
      </c>
      <c r="E74" s="70">
        <v>129.9</v>
      </c>
      <c r="F74" s="70">
        <v>130.80000000000001</v>
      </c>
      <c r="G74" s="70">
        <v>131.1</v>
      </c>
      <c r="H74" s="70">
        <v>130.69999999999999</v>
      </c>
      <c r="I74" s="70">
        <v>130.1</v>
      </c>
      <c r="J74" s="70">
        <v>130.19999999999999</v>
      </c>
      <c r="K74" s="70">
        <v>130.19999999999999</v>
      </c>
      <c r="L74" s="70">
        <v>128.9</v>
      </c>
      <c r="M74" s="70">
        <v>128</v>
      </c>
      <c r="N74" s="70">
        <v>128.6</v>
      </c>
      <c r="O74" s="70">
        <v>128.9</v>
      </c>
      <c r="P74" s="70">
        <v>130.6</v>
      </c>
      <c r="Q74" s="99">
        <v>131.6</v>
      </c>
      <c r="R74" s="99">
        <v>131.6</v>
      </c>
      <c r="S74" s="99">
        <v>131.69999999999999</v>
      </c>
      <c r="T74" s="99">
        <v>130.69999999999999</v>
      </c>
      <c r="U74" s="99">
        <v>131.19999999999999</v>
      </c>
      <c r="V74" s="99">
        <v>131.4</v>
      </c>
      <c r="W74" s="99">
        <v>131.19999999999999</v>
      </c>
      <c r="X74" s="99">
        <v>131.19999999999999</v>
      </c>
      <c r="Y74" s="99">
        <v>130.5</v>
      </c>
      <c r="Z74" s="99">
        <v>129.30000000000001</v>
      </c>
      <c r="AA74" s="70">
        <v>130.19999999999999</v>
      </c>
      <c r="AB74" s="70">
        <v>130.19999999999999</v>
      </c>
      <c r="AC74" s="70">
        <v>130.69999999999999</v>
      </c>
      <c r="AD74" s="70">
        <v>130.80000000000001</v>
      </c>
      <c r="AE74" s="70">
        <v>131.5</v>
      </c>
      <c r="AF74" s="100">
        <v>131.69999999999999</v>
      </c>
      <c r="AG74" s="101"/>
      <c r="AH74" s="52">
        <f t="shared" si="2"/>
        <v>131.69999999999999</v>
      </c>
      <c r="AI74" s="53">
        <f t="shared" si="3"/>
        <v>128</v>
      </c>
      <c r="AJ74" s="185"/>
    </row>
    <row r="75" spans="1:36" x14ac:dyDescent="0.25">
      <c r="A75" s="98" t="s">
        <v>82</v>
      </c>
      <c r="B75" s="70">
        <v>129.19999999999999</v>
      </c>
      <c r="C75" s="70">
        <v>129.30000000000001</v>
      </c>
      <c r="D75" s="70">
        <v>129.6</v>
      </c>
      <c r="E75" s="70">
        <v>130.4</v>
      </c>
      <c r="F75" s="70">
        <v>129.4</v>
      </c>
      <c r="G75" s="70">
        <v>132.1</v>
      </c>
      <c r="H75" s="70">
        <v>130.30000000000001</v>
      </c>
      <c r="I75" s="70">
        <v>129.80000000000001</v>
      </c>
      <c r="J75" s="70">
        <v>129.6</v>
      </c>
      <c r="K75" s="70">
        <v>129.6</v>
      </c>
      <c r="L75" s="70">
        <v>128.30000000000001</v>
      </c>
      <c r="M75" s="70">
        <v>127.8</v>
      </c>
      <c r="N75" s="70">
        <v>127.1</v>
      </c>
      <c r="O75" s="70">
        <v>126.5</v>
      </c>
      <c r="P75" s="70">
        <v>126.9</v>
      </c>
      <c r="Q75" s="70">
        <v>128</v>
      </c>
      <c r="R75" s="70">
        <v>129.30000000000001</v>
      </c>
      <c r="S75" s="70">
        <v>129.30000000000001</v>
      </c>
      <c r="T75" s="99">
        <v>129.6</v>
      </c>
      <c r="U75" s="99">
        <v>129.6</v>
      </c>
      <c r="V75" s="99">
        <v>129.69999999999999</v>
      </c>
      <c r="W75" s="99">
        <v>130.19999999999999</v>
      </c>
      <c r="X75" s="99">
        <v>130.19999999999999</v>
      </c>
      <c r="Y75" s="99">
        <v>127.8</v>
      </c>
      <c r="Z75" s="99">
        <v>124.6</v>
      </c>
      <c r="AA75" s="70">
        <v>123.2</v>
      </c>
      <c r="AB75" s="70">
        <v>123.2</v>
      </c>
      <c r="AC75" s="70">
        <v>122.8</v>
      </c>
      <c r="AD75" s="70">
        <v>125.2</v>
      </c>
      <c r="AE75" s="70">
        <v>126.9</v>
      </c>
      <c r="AF75" s="100">
        <v>128.5</v>
      </c>
      <c r="AG75" s="101"/>
      <c r="AH75" s="52">
        <f t="shared" si="2"/>
        <v>132.1</v>
      </c>
      <c r="AI75" s="53">
        <f t="shared" si="3"/>
        <v>122.8</v>
      </c>
      <c r="AJ75" s="185"/>
    </row>
    <row r="76" spans="1:36" x14ac:dyDescent="0.25">
      <c r="A76" s="102" t="s">
        <v>83</v>
      </c>
      <c r="B76" s="70">
        <v>131.5</v>
      </c>
      <c r="C76" s="70">
        <v>131.80000000000001</v>
      </c>
      <c r="D76" s="70">
        <v>132.1</v>
      </c>
      <c r="E76" s="70">
        <v>132.9</v>
      </c>
      <c r="F76" s="70">
        <v>130.19999999999999</v>
      </c>
      <c r="G76" s="70">
        <v>132.1</v>
      </c>
      <c r="H76" s="70">
        <v>130.6</v>
      </c>
      <c r="I76" s="70">
        <v>129.6</v>
      </c>
      <c r="J76" s="70">
        <v>129.5</v>
      </c>
      <c r="K76" s="70">
        <v>129.5</v>
      </c>
      <c r="L76" s="70">
        <v>128</v>
      </c>
      <c r="M76" s="70">
        <v>129</v>
      </c>
      <c r="N76" s="70">
        <v>128.1</v>
      </c>
      <c r="O76" s="70">
        <v>127.8</v>
      </c>
      <c r="P76" s="70">
        <v>128.19999999999999</v>
      </c>
      <c r="Q76" s="70">
        <v>129.69999999999999</v>
      </c>
      <c r="R76" s="70">
        <v>131.1</v>
      </c>
      <c r="S76" s="70">
        <v>130.6</v>
      </c>
      <c r="T76" s="99">
        <v>130.19999999999999</v>
      </c>
      <c r="U76" s="99">
        <v>131.19999999999999</v>
      </c>
      <c r="V76" s="99">
        <v>131.6</v>
      </c>
      <c r="W76" s="99">
        <v>131.6</v>
      </c>
      <c r="X76" s="99">
        <v>131.6</v>
      </c>
      <c r="Y76" s="99">
        <v>130.30000000000001</v>
      </c>
      <c r="Z76" s="99">
        <v>127.4</v>
      </c>
      <c r="AA76" s="70">
        <v>125.9</v>
      </c>
      <c r="AB76" s="70">
        <v>125.9</v>
      </c>
      <c r="AC76" s="70">
        <v>126.1</v>
      </c>
      <c r="AD76" s="70">
        <v>129.1</v>
      </c>
      <c r="AE76" s="70">
        <v>129.69999999999999</v>
      </c>
      <c r="AF76" s="100">
        <v>130.19999999999999</v>
      </c>
      <c r="AG76" s="101"/>
      <c r="AH76" s="52">
        <f t="shared" si="2"/>
        <v>132.9</v>
      </c>
      <c r="AI76" s="53">
        <f t="shared" si="3"/>
        <v>125.9</v>
      </c>
      <c r="AJ76" s="185"/>
    </row>
    <row r="77" spans="1:36" x14ac:dyDescent="0.25">
      <c r="A77" s="102" t="s">
        <v>84</v>
      </c>
      <c r="B77" s="103">
        <v>135</v>
      </c>
      <c r="C77" s="103">
        <v>136.4</v>
      </c>
      <c r="D77" s="103">
        <v>132.69999999999999</v>
      </c>
      <c r="E77" s="103">
        <v>96.3</v>
      </c>
      <c r="F77" s="103">
        <v>132.1</v>
      </c>
      <c r="G77" s="103">
        <v>132.4</v>
      </c>
      <c r="H77" s="103">
        <v>132.6</v>
      </c>
      <c r="I77" s="103">
        <v>133.69999999999999</v>
      </c>
      <c r="J77" s="103">
        <v>132.9</v>
      </c>
      <c r="K77" s="103">
        <v>132.9</v>
      </c>
      <c r="L77" s="103">
        <v>134.1</v>
      </c>
      <c r="M77" s="103">
        <v>132.1</v>
      </c>
      <c r="N77" s="103">
        <v>132.19999999999999</v>
      </c>
      <c r="O77" s="103">
        <v>133.19999999999999</v>
      </c>
      <c r="P77" s="103">
        <v>133.80000000000001</v>
      </c>
      <c r="Q77" s="103">
        <v>134.80000000000001</v>
      </c>
      <c r="R77" s="103">
        <v>134.69999999999999</v>
      </c>
      <c r="S77" s="103">
        <v>134.1</v>
      </c>
      <c r="T77" s="99">
        <v>131.30000000000001</v>
      </c>
      <c r="U77" s="99">
        <v>131.30000000000001</v>
      </c>
      <c r="V77" s="99">
        <v>133.1</v>
      </c>
      <c r="W77" s="99">
        <v>132.1</v>
      </c>
      <c r="X77" s="99">
        <v>131</v>
      </c>
      <c r="Y77" s="99">
        <v>133</v>
      </c>
      <c r="Z77" s="99">
        <v>130.1</v>
      </c>
      <c r="AA77" s="103">
        <v>132.5</v>
      </c>
      <c r="AB77" s="103">
        <v>132.5</v>
      </c>
      <c r="AC77" s="103">
        <v>134.1</v>
      </c>
      <c r="AD77" s="103">
        <v>133.6</v>
      </c>
      <c r="AE77" s="103">
        <v>134</v>
      </c>
      <c r="AF77" s="104">
        <v>132.4</v>
      </c>
      <c r="AG77" s="105"/>
      <c r="AH77" s="52">
        <f t="shared" si="2"/>
        <v>136.4</v>
      </c>
      <c r="AI77" s="53">
        <f t="shared" si="3"/>
        <v>96.3</v>
      </c>
      <c r="AJ77" s="185"/>
    </row>
    <row r="78" spans="1:36" x14ac:dyDescent="0.25">
      <c r="A78" s="98" t="s">
        <v>85</v>
      </c>
      <c r="B78" s="70">
        <v>132.1</v>
      </c>
      <c r="C78" s="70">
        <v>134.30000000000001</v>
      </c>
      <c r="D78" s="70">
        <v>136.4</v>
      </c>
      <c r="E78" s="70">
        <v>129.4</v>
      </c>
      <c r="F78" s="70">
        <v>134.9</v>
      </c>
      <c r="G78" s="70">
        <v>133.69999999999999</v>
      </c>
      <c r="H78" s="70">
        <v>133</v>
      </c>
      <c r="I78" s="70">
        <v>133</v>
      </c>
      <c r="J78" s="70">
        <v>131.4</v>
      </c>
      <c r="K78" s="70">
        <v>131.4</v>
      </c>
      <c r="L78" s="70">
        <v>128.1</v>
      </c>
      <c r="M78" s="70">
        <v>124.1</v>
      </c>
      <c r="N78" s="70">
        <v>135.30000000000001</v>
      </c>
      <c r="O78" s="70">
        <v>130</v>
      </c>
      <c r="P78" s="70">
        <v>133.80000000000001</v>
      </c>
      <c r="Q78" s="70">
        <v>126.4</v>
      </c>
      <c r="R78" s="70">
        <v>122.7</v>
      </c>
      <c r="S78" s="70">
        <v>125.9</v>
      </c>
      <c r="T78" s="99">
        <v>124.7</v>
      </c>
      <c r="U78" s="99">
        <v>129.6</v>
      </c>
      <c r="V78" s="99">
        <v>131.19999999999999</v>
      </c>
      <c r="W78" s="99">
        <v>131.1</v>
      </c>
      <c r="X78" s="99">
        <v>136</v>
      </c>
      <c r="Y78" s="99">
        <v>133.30000000000001</v>
      </c>
      <c r="Z78" s="99">
        <v>126.1</v>
      </c>
      <c r="AA78" s="70">
        <v>126.8</v>
      </c>
      <c r="AB78" s="70">
        <v>126.8</v>
      </c>
      <c r="AC78" s="70">
        <v>135.69999999999999</v>
      </c>
      <c r="AD78" s="70">
        <v>129.4</v>
      </c>
      <c r="AE78" s="70">
        <v>130.19999999999999</v>
      </c>
      <c r="AF78" s="100">
        <v>129.69999999999999</v>
      </c>
      <c r="AG78" s="101"/>
      <c r="AH78" s="52">
        <f>MAX(B78:AF78)</f>
        <v>136.4</v>
      </c>
      <c r="AI78" s="53">
        <f>MIN(B78:AF78)</f>
        <v>122.7</v>
      </c>
      <c r="AJ78" s="185"/>
    </row>
    <row r="79" spans="1:36" ht="15.75" thickBot="1" x14ac:dyDescent="0.3">
      <c r="A79" s="98" t="s">
        <v>86</v>
      </c>
      <c r="B79" s="106">
        <v>66.8</v>
      </c>
      <c r="C79" s="106">
        <v>67</v>
      </c>
      <c r="D79" s="106">
        <v>66.7</v>
      </c>
      <c r="E79" s="106">
        <v>66.3</v>
      </c>
      <c r="F79" s="106">
        <v>66.7</v>
      </c>
      <c r="G79" s="106">
        <v>66.7</v>
      </c>
      <c r="H79" s="106">
        <v>66.599999999999994</v>
      </c>
      <c r="I79" s="106">
        <v>66.099999999999994</v>
      </c>
      <c r="J79" s="106">
        <v>66.400000000000006</v>
      </c>
      <c r="K79" s="106">
        <v>66.400000000000006</v>
      </c>
      <c r="L79" s="106">
        <v>65.8</v>
      </c>
      <c r="M79" s="106">
        <v>65.2</v>
      </c>
      <c r="N79" s="106">
        <v>65.5</v>
      </c>
      <c r="O79" s="106">
        <v>65.8</v>
      </c>
      <c r="P79" s="106">
        <v>66</v>
      </c>
      <c r="Q79" s="106">
        <v>66.599999999999994</v>
      </c>
      <c r="R79" s="106">
        <v>66.599999999999994</v>
      </c>
      <c r="S79" s="106">
        <v>66.599999999999994</v>
      </c>
      <c r="T79" s="106">
        <v>66.8</v>
      </c>
      <c r="U79" s="106">
        <v>67</v>
      </c>
      <c r="V79" s="106">
        <v>67.099999999999994</v>
      </c>
      <c r="W79" s="106">
        <v>67</v>
      </c>
      <c r="X79" s="106">
        <v>66.900000000000006</v>
      </c>
      <c r="Y79" s="106">
        <v>66.5</v>
      </c>
      <c r="Z79" s="106">
        <v>65.900000000000006</v>
      </c>
      <c r="AA79" s="106">
        <v>66.400000000000006</v>
      </c>
      <c r="AB79" s="106">
        <v>66.400000000000006</v>
      </c>
      <c r="AC79" s="106">
        <v>66.5</v>
      </c>
      <c r="AD79" s="106">
        <v>66.5</v>
      </c>
      <c r="AE79" s="106">
        <v>67</v>
      </c>
      <c r="AF79" s="107">
        <v>67.099999999999994</v>
      </c>
      <c r="AG79" s="108"/>
      <c r="AH79" s="52">
        <f>MAX(B79:AF79)</f>
        <v>67.099999999999994</v>
      </c>
      <c r="AI79" s="53">
        <f>MIN(B79:AF79)</f>
        <v>65.2</v>
      </c>
      <c r="AJ79" s="185"/>
    </row>
    <row r="80" spans="1:36" x14ac:dyDescent="0.25">
      <c r="A80" s="109" t="s">
        <v>87</v>
      </c>
      <c r="B80" s="110">
        <f t="shared" ref="B80:AF80" si="19">SUMIF(B48:B57,"&gt;0")</f>
        <v>240</v>
      </c>
      <c r="C80" s="110">
        <f t="shared" si="19"/>
        <v>251</v>
      </c>
      <c r="D80" s="110">
        <f t="shared" si="19"/>
        <v>222.2</v>
      </c>
      <c r="E80" s="110">
        <f t="shared" si="19"/>
        <v>234.73000000000002</v>
      </c>
      <c r="F80" s="110">
        <f t="shared" si="19"/>
        <v>250.31</v>
      </c>
      <c r="G80" s="110">
        <f t="shared" si="19"/>
        <v>244.1</v>
      </c>
      <c r="H80" s="110">
        <f t="shared" si="19"/>
        <v>235.29000000000002</v>
      </c>
      <c r="I80" s="110">
        <f t="shared" si="19"/>
        <v>258.10000000000002</v>
      </c>
      <c r="J80" s="110">
        <f t="shared" si="19"/>
        <v>260.60000000000002</v>
      </c>
      <c r="K80" s="110">
        <f t="shared" si="19"/>
        <v>250.29999999999998</v>
      </c>
      <c r="L80" s="110">
        <f t="shared" si="19"/>
        <v>296.39999999999998</v>
      </c>
      <c r="M80" s="110">
        <f t="shared" si="19"/>
        <v>276.82</v>
      </c>
      <c r="N80" s="110">
        <f t="shared" si="19"/>
        <v>266.62</v>
      </c>
      <c r="O80" s="110">
        <f t="shared" si="19"/>
        <v>311.90000000000003</v>
      </c>
      <c r="P80" s="110">
        <f t="shared" si="19"/>
        <v>299.40000000000003</v>
      </c>
      <c r="Q80" s="110">
        <f t="shared" si="19"/>
        <v>289.89999999999998</v>
      </c>
      <c r="R80" s="110">
        <f t="shared" si="19"/>
        <v>263.75</v>
      </c>
      <c r="S80" s="110">
        <f t="shared" si="19"/>
        <v>293.67</v>
      </c>
      <c r="T80" s="110">
        <f t="shared" si="19"/>
        <v>295.89999999999998</v>
      </c>
      <c r="U80" s="110">
        <f t="shared" si="19"/>
        <v>257.77</v>
      </c>
      <c r="V80" s="110">
        <f t="shared" si="19"/>
        <v>251.01999999999998</v>
      </c>
      <c r="W80" s="110">
        <f t="shared" si="19"/>
        <v>265.86</v>
      </c>
      <c r="X80" s="110">
        <f t="shared" si="19"/>
        <v>270.14</v>
      </c>
      <c r="Y80" s="110">
        <f t="shared" si="19"/>
        <v>396.02</v>
      </c>
      <c r="Z80" s="110">
        <f t="shared" si="19"/>
        <v>481.83</v>
      </c>
      <c r="AA80" s="110">
        <f t="shared" si="19"/>
        <v>474.45000000000005</v>
      </c>
      <c r="AB80" s="110">
        <f t="shared" si="19"/>
        <v>436.2</v>
      </c>
      <c r="AC80" s="110">
        <f t="shared" si="19"/>
        <v>458.12</v>
      </c>
      <c r="AD80" s="110">
        <f t="shared" si="19"/>
        <v>365.5</v>
      </c>
      <c r="AE80" s="110">
        <f t="shared" si="19"/>
        <v>342.7</v>
      </c>
      <c r="AF80" s="110">
        <f t="shared" si="19"/>
        <v>301.10000000000002</v>
      </c>
      <c r="AG80" s="111"/>
      <c r="AH80" s="52">
        <f>MAX(B80:AF80)</f>
        <v>481.83</v>
      </c>
      <c r="AI80" s="53">
        <f>MIN(B80:AF80)</f>
        <v>222.2</v>
      </c>
      <c r="AJ80" s="185"/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  <c r="AJ81" s="185"/>
    </row>
    <row r="82" spans="1:37" ht="15.75" thickBot="1" x14ac:dyDescent="0.3">
      <c r="A82" s="114" t="s">
        <v>88</v>
      </c>
      <c r="B82" s="115">
        <f t="shared" ref="B82:AF82" si="20">B11+B13+B17+B34+B36+B38+B40+B94+B108+B110+B121+B127+B130+B139+B143+B144+B147+B154+B159+B162+B163+B164+B172+B177+B83+B84+B85+B86+B99</f>
        <v>136.41999999999999</v>
      </c>
      <c r="C82" s="115">
        <f t="shared" si="20"/>
        <v>134.31999999999996</v>
      </c>
      <c r="D82" s="115">
        <f t="shared" si="20"/>
        <v>131.72</v>
      </c>
      <c r="E82" s="115">
        <f t="shared" si="20"/>
        <v>136.11999999999998</v>
      </c>
      <c r="F82" s="115">
        <f t="shared" si="20"/>
        <v>148.01999999999998</v>
      </c>
      <c r="G82" s="115">
        <f t="shared" si="20"/>
        <v>169.32</v>
      </c>
      <c r="H82" s="115">
        <f t="shared" si="20"/>
        <v>181.71999999999997</v>
      </c>
      <c r="I82" s="115">
        <f t="shared" si="20"/>
        <v>204.11999999999998</v>
      </c>
      <c r="J82" s="115">
        <f t="shared" si="20"/>
        <v>210.11999999999995</v>
      </c>
      <c r="K82" s="115">
        <f t="shared" si="20"/>
        <v>209.91999999999996</v>
      </c>
      <c r="L82" s="115">
        <f t="shared" si="20"/>
        <v>245.42</v>
      </c>
      <c r="M82" s="115">
        <f t="shared" si="20"/>
        <v>244.72</v>
      </c>
      <c r="N82" s="115">
        <f t="shared" si="20"/>
        <v>233.72</v>
      </c>
      <c r="O82" s="115">
        <f t="shared" si="20"/>
        <v>212.61999999999998</v>
      </c>
      <c r="P82" s="115">
        <f t="shared" si="20"/>
        <v>219.09999999999997</v>
      </c>
      <c r="Q82" s="115">
        <f t="shared" si="20"/>
        <v>209.87999999999997</v>
      </c>
      <c r="R82" s="115">
        <f t="shared" si="20"/>
        <v>193.82</v>
      </c>
      <c r="S82" s="115">
        <f t="shared" si="20"/>
        <v>195.61999999999998</v>
      </c>
      <c r="T82" s="115">
        <f t="shared" si="20"/>
        <v>195.82</v>
      </c>
      <c r="U82" s="115">
        <f t="shared" si="20"/>
        <v>201.32</v>
      </c>
      <c r="V82" s="115">
        <f t="shared" si="20"/>
        <v>214.01999999999998</v>
      </c>
      <c r="W82" s="115">
        <f t="shared" si="20"/>
        <v>209.61999999999998</v>
      </c>
      <c r="X82" s="115">
        <f t="shared" si="20"/>
        <v>229.92000000000002</v>
      </c>
      <c r="Y82" s="115">
        <f t="shared" si="20"/>
        <v>278.61999999999995</v>
      </c>
      <c r="Z82" s="115">
        <f t="shared" si="20"/>
        <v>304.11999999999995</v>
      </c>
      <c r="AA82" s="115">
        <f t="shared" si="20"/>
        <v>269.82</v>
      </c>
      <c r="AB82" s="115">
        <f t="shared" si="20"/>
        <v>269.82</v>
      </c>
      <c r="AC82" s="115">
        <f t="shared" si="20"/>
        <v>242.01999999999998</v>
      </c>
      <c r="AD82" s="115">
        <f t="shared" si="20"/>
        <v>191.72</v>
      </c>
      <c r="AE82" s="115">
        <f t="shared" si="20"/>
        <v>161.32</v>
      </c>
      <c r="AF82" s="115">
        <f t="shared" si="20"/>
        <v>140.12</v>
      </c>
      <c r="AG82" s="116"/>
      <c r="AH82" s="52">
        <f>MAX(B82:AF82)</f>
        <v>304.11999999999995</v>
      </c>
      <c r="AI82" s="53">
        <f>MIN(B82:AF82)</f>
        <v>131.72</v>
      </c>
      <c r="AJ82" s="185"/>
    </row>
    <row r="83" spans="1:37" x14ac:dyDescent="0.25">
      <c r="A83" s="117" t="s">
        <v>89</v>
      </c>
      <c r="B83" s="119">
        <v>52</v>
      </c>
      <c r="C83" s="118">
        <v>53.5</v>
      </c>
      <c r="D83" s="118">
        <v>51.9</v>
      </c>
      <c r="E83" s="118">
        <v>58.1</v>
      </c>
      <c r="F83" s="118">
        <v>54.4</v>
      </c>
      <c r="G83" s="118">
        <v>55.2</v>
      </c>
      <c r="H83" s="118">
        <v>56</v>
      </c>
      <c r="I83" s="118">
        <v>61.2</v>
      </c>
      <c r="J83" s="118">
        <v>62.5</v>
      </c>
      <c r="K83" s="118">
        <v>62.5</v>
      </c>
      <c r="L83" s="118">
        <v>63</v>
      </c>
      <c r="M83" s="118">
        <v>60.2</v>
      </c>
      <c r="N83" s="118">
        <v>59.8</v>
      </c>
      <c r="O83" s="118">
        <v>57</v>
      </c>
      <c r="P83" s="118">
        <v>51.5</v>
      </c>
      <c r="Q83" s="118">
        <v>52.6</v>
      </c>
      <c r="R83" s="118">
        <v>52.6</v>
      </c>
      <c r="S83" s="118">
        <v>53.5</v>
      </c>
      <c r="T83" s="118">
        <v>48.2</v>
      </c>
      <c r="U83" s="118">
        <v>45.6</v>
      </c>
      <c r="V83" s="118">
        <v>49.9</v>
      </c>
      <c r="W83" s="118">
        <v>43.5</v>
      </c>
      <c r="X83" s="118">
        <v>38.6</v>
      </c>
      <c r="Y83" s="118">
        <v>48</v>
      </c>
      <c r="Z83" s="118">
        <v>31</v>
      </c>
      <c r="AA83" s="50">
        <v>28.8</v>
      </c>
      <c r="AB83" s="50">
        <v>28.8</v>
      </c>
      <c r="AC83" s="50">
        <v>35.799999999999997</v>
      </c>
      <c r="AD83" s="50">
        <v>36.1</v>
      </c>
      <c r="AE83" s="50">
        <v>36.5</v>
      </c>
      <c r="AF83" s="119">
        <v>30.1</v>
      </c>
      <c r="AG83" s="120">
        <v>75</v>
      </c>
      <c r="AH83" s="52">
        <f>IF(ABS(MAX(B83:AF83))&gt;ABS(MIN(B83:AF83)),MAX(B83:AF83),MIN(B83:AF83))</f>
        <v>63</v>
      </c>
      <c r="AI83" s="121">
        <f>INDEX($B$9:$AF$9,1,MATCH(AH83,B83:AF83,0))</f>
        <v>0.33333333333333331</v>
      </c>
      <c r="AJ83" s="185"/>
    </row>
    <row r="84" spans="1:37" x14ac:dyDescent="0.25">
      <c r="A84" s="122" t="s">
        <v>90</v>
      </c>
      <c r="B84" s="123">
        <v>-64</v>
      </c>
      <c r="C84" s="83">
        <v>-63</v>
      </c>
      <c r="D84" s="83">
        <v>-64</v>
      </c>
      <c r="E84" s="83">
        <v>-62</v>
      </c>
      <c r="F84" s="83">
        <v>-54</v>
      </c>
      <c r="G84" s="83">
        <v>-47.9</v>
      </c>
      <c r="H84" s="83">
        <v>-44</v>
      </c>
      <c r="I84" s="83">
        <v>-40.5</v>
      </c>
      <c r="J84" s="83">
        <v>-38.9</v>
      </c>
      <c r="K84" s="83">
        <v>-38.9</v>
      </c>
      <c r="L84" s="83">
        <f>-(14+17)</f>
        <v>-31</v>
      </c>
      <c r="M84" s="83">
        <f>-(14+20.1)</f>
        <v>-34.1</v>
      </c>
      <c r="N84" s="83">
        <f>-(16.7+23.2)</f>
        <v>-39.9</v>
      </c>
      <c r="O84" s="83">
        <f>-(17.4+24.2)</f>
        <v>-41.599999999999994</v>
      </c>
      <c r="P84" s="83">
        <f>-(14.3+22.8)</f>
        <v>-37.1</v>
      </c>
      <c r="Q84" s="83">
        <f>-(16.9+25.3)</f>
        <v>-42.2</v>
      </c>
      <c r="R84" s="83">
        <v>-38</v>
      </c>
      <c r="S84" s="83">
        <v>-38.200000000000003</v>
      </c>
      <c r="T84" s="83">
        <v>-35</v>
      </c>
      <c r="U84" s="83">
        <v>-36</v>
      </c>
      <c r="V84" s="83">
        <v>-39</v>
      </c>
      <c r="W84" s="83">
        <v>-31</v>
      </c>
      <c r="X84" s="83">
        <v>-20</v>
      </c>
      <c r="Y84" s="83">
        <v>-8</v>
      </c>
      <c r="Z84" s="83">
        <v>11.4</v>
      </c>
      <c r="AA84" s="70">
        <f>5.5-2.7</f>
        <v>2.8</v>
      </c>
      <c r="AB84" s="70">
        <f>5.5-2.7</f>
        <v>2.8</v>
      </c>
      <c r="AC84" s="70">
        <v>-9</v>
      </c>
      <c r="AD84" s="70">
        <v>-38</v>
      </c>
      <c r="AE84" s="70">
        <v>-40</v>
      </c>
      <c r="AF84" s="123">
        <v>-45</v>
      </c>
      <c r="AG84" s="120">
        <v>240</v>
      </c>
      <c r="AH84" s="52">
        <f>IF(ABS(MAX(B84:AF84))&gt;ABS(MIN(B84:AF84)),MAX(B84:AF84),MIN(B84:AF84))</f>
        <v>-64</v>
      </c>
      <c r="AI84" s="121">
        <f>INDEX($B$9:$AF$9,1,MATCH(AH84,B84:AF84,0))</f>
        <v>4.1666666666666664E-2</v>
      </c>
      <c r="AJ84" s="185"/>
    </row>
    <row r="85" spans="1:37" x14ac:dyDescent="0.25">
      <c r="A85" s="122" t="s">
        <v>91</v>
      </c>
      <c r="B85" s="123">
        <v>7</v>
      </c>
      <c r="C85" s="83">
        <v>3.2</v>
      </c>
      <c r="D85" s="83">
        <v>3.8</v>
      </c>
      <c r="E85" s="83">
        <v>-3.2</v>
      </c>
      <c r="F85" s="83">
        <v>-2.2000000000000002</v>
      </c>
      <c r="G85" s="83">
        <v>-0.2</v>
      </c>
      <c r="H85" s="83">
        <v>1.2</v>
      </c>
      <c r="I85" s="83">
        <v>3.8</v>
      </c>
      <c r="J85" s="83">
        <v>4</v>
      </c>
      <c r="K85" s="83">
        <v>4</v>
      </c>
      <c r="L85" s="83">
        <v>10.4</v>
      </c>
      <c r="M85" s="83">
        <v>20.6</v>
      </c>
      <c r="N85" s="83">
        <v>20.399999999999999</v>
      </c>
      <c r="O85" s="83">
        <v>18.600000000000001</v>
      </c>
      <c r="P85" s="83">
        <v>27.58</v>
      </c>
      <c r="Q85" s="83">
        <v>27.96</v>
      </c>
      <c r="R85" s="83">
        <v>27.4</v>
      </c>
      <c r="S85" s="83">
        <v>27</v>
      </c>
      <c r="T85" s="83">
        <v>21.6</v>
      </c>
      <c r="U85" s="83">
        <v>24.2</v>
      </c>
      <c r="V85" s="83">
        <v>23.8</v>
      </c>
      <c r="W85" s="83">
        <v>24.7</v>
      </c>
      <c r="X85" s="83">
        <v>27.4</v>
      </c>
      <c r="Y85" s="83">
        <v>30.7</v>
      </c>
      <c r="Z85" s="83">
        <v>43.3</v>
      </c>
      <c r="AA85" s="70">
        <v>27.2</v>
      </c>
      <c r="AB85" s="70">
        <v>27.2</v>
      </c>
      <c r="AC85" s="70">
        <v>26.3</v>
      </c>
      <c r="AD85" s="70">
        <v>30.8</v>
      </c>
      <c r="AE85" s="70">
        <v>16.8</v>
      </c>
      <c r="AF85" s="123">
        <v>17.5</v>
      </c>
      <c r="AG85" s="120">
        <v>60</v>
      </c>
      <c r="AH85" s="52">
        <f>IF(ABS(MAX(B85:AF85))&gt;ABS(MIN(B85:AF85)),MAX(B85:AF85),MIN(B85:AF85))</f>
        <v>43.3</v>
      </c>
      <c r="AI85" s="121">
        <f>INDEX($B$9:$AF$9,1,MATCH(AH85,B85:AF85,0))</f>
        <v>0.8125</v>
      </c>
      <c r="AJ85" s="185"/>
    </row>
    <row r="86" spans="1:37" x14ac:dyDescent="0.25">
      <c r="A86" s="124" t="s">
        <v>92</v>
      </c>
      <c r="B86" s="126">
        <v>-29.5</v>
      </c>
      <c r="C86" s="85">
        <v>-31</v>
      </c>
      <c r="D86" s="85">
        <v>-33.1</v>
      </c>
      <c r="E86" s="85">
        <v>-29.8</v>
      </c>
      <c r="F86" s="85">
        <v>-22.3</v>
      </c>
      <c r="G86" s="85">
        <v>-10.1</v>
      </c>
      <c r="H86" s="85">
        <v>-3.6</v>
      </c>
      <c r="I86" s="85">
        <v>9.5</v>
      </c>
      <c r="J86" s="85">
        <v>13.2</v>
      </c>
      <c r="K86" s="85">
        <v>13.2</v>
      </c>
      <c r="L86" s="85">
        <v>35.200000000000003</v>
      </c>
      <c r="M86" s="85">
        <v>32</v>
      </c>
      <c r="N86" s="85">
        <v>27.8</v>
      </c>
      <c r="O86" s="85">
        <v>14.1</v>
      </c>
      <c r="P86" s="85">
        <v>13.9</v>
      </c>
      <c r="Q86" s="85">
        <v>10.1</v>
      </c>
      <c r="R86" s="85">
        <v>-7.1</v>
      </c>
      <c r="S86" s="85">
        <v>-5.3</v>
      </c>
      <c r="T86" s="85">
        <v>3.3</v>
      </c>
      <c r="U86" s="85">
        <v>9</v>
      </c>
      <c r="V86" s="85">
        <v>12</v>
      </c>
      <c r="W86" s="85">
        <v>14.1</v>
      </c>
      <c r="X86" s="85">
        <v>24.3</v>
      </c>
      <c r="Y86" s="85">
        <v>47.8</v>
      </c>
      <c r="Z86" s="85">
        <v>60.4</v>
      </c>
      <c r="AA86" s="125">
        <v>49.6</v>
      </c>
      <c r="AB86" s="125">
        <v>49.6</v>
      </c>
      <c r="AC86" s="125">
        <v>26.6</v>
      </c>
      <c r="AD86" s="125">
        <v>0.1</v>
      </c>
      <c r="AE86" s="125">
        <v>-13.4</v>
      </c>
      <c r="AF86" s="126">
        <v>-23.6</v>
      </c>
      <c r="AG86" s="127">
        <v>120</v>
      </c>
      <c r="AH86" s="52">
        <f>IF(ABS(MAX(B86:AF86))&gt;ABS(MIN(B86:AF86)),MAX(B86:AF86),MIN(B86:AF86))</f>
        <v>60.4</v>
      </c>
      <c r="AI86" s="121">
        <f>INDEX($B$9:$AF$9,1,MATCH(AH86,B86:AF86,0))</f>
        <v>0.8125</v>
      </c>
      <c r="AJ86" s="185"/>
    </row>
    <row r="87" spans="1:37" ht="15.75" thickBot="1" x14ac:dyDescent="0.3">
      <c r="A87" s="124" t="s">
        <v>93</v>
      </c>
      <c r="B87" s="126">
        <v>3</v>
      </c>
      <c r="C87" s="85">
        <v>6.6</v>
      </c>
      <c r="D87" s="85">
        <v>3.7</v>
      </c>
      <c r="E87" s="85">
        <v>7.7</v>
      </c>
      <c r="F87" s="85">
        <v>-7.5</v>
      </c>
      <c r="G87" s="85">
        <v>-6.4</v>
      </c>
      <c r="H87" s="85">
        <v>-7.3</v>
      </c>
      <c r="I87" s="85">
        <v>-11.3</v>
      </c>
      <c r="J87" s="85">
        <v>-9</v>
      </c>
      <c r="K87" s="85">
        <v>-9</v>
      </c>
      <c r="L87" s="85">
        <v>0.9</v>
      </c>
      <c r="M87" s="85">
        <v>28.2</v>
      </c>
      <c r="N87" s="85">
        <v>41.4</v>
      </c>
      <c r="O87" s="85">
        <v>28.8</v>
      </c>
      <c r="P87" s="85">
        <v>25.3</v>
      </c>
      <c r="Q87" s="85">
        <v>40.6</v>
      </c>
      <c r="R87" s="85">
        <v>-35.6</v>
      </c>
      <c r="S87" s="85">
        <v>-33.5</v>
      </c>
      <c r="T87" s="85">
        <v>-36.6</v>
      </c>
      <c r="U87" s="85">
        <v>-22.3</v>
      </c>
      <c r="V87" s="85">
        <v>-28.5</v>
      </c>
      <c r="W87" s="85">
        <v>-20.7</v>
      </c>
      <c r="X87" s="85">
        <v>-9.1999999999999993</v>
      </c>
      <c r="Y87" s="85">
        <v>5.5</v>
      </c>
      <c r="Z87" s="85">
        <v>24</v>
      </c>
      <c r="AA87" s="125">
        <v>17.2</v>
      </c>
      <c r="AB87" s="125">
        <v>17.2</v>
      </c>
      <c r="AC87" s="125">
        <v>17</v>
      </c>
      <c r="AD87" s="125">
        <v>-18.2</v>
      </c>
      <c r="AE87" s="125">
        <v>-4.4000000000000004</v>
      </c>
      <c r="AF87" s="126">
        <v>20</v>
      </c>
      <c r="AG87" s="127"/>
      <c r="AH87" s="52">
        <f>IF(ABS(MAX(B87:AF87))&gt;ABS(MIN(B87:AF87)),MAX(B87:AF87),MIN(B87:AF87))</f>
        <v>41.4</v>
      </c>
      <c r="AI87" s="121">
        <f>INDEX($B$9:$AF$9,1,MATCH(AH87,B87:AF87,0))</f>
        <v>0.41666666666666702</v>
      </c>
      <c r="AJ87" s="185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 t="s">
        <v>202</v>
      </c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965.56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8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8)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8)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872.54</v>
      </c>
      <c r="U193" s="173">
        <f t="shared" si="37"/>
        <v>872.6400000000001</v>
      </c>
      <c r="V193" s="173">
        <f t="shared" si="37"/>
        <v>844.14</v>
      </c>
      <c r="W193" s="173">
        <f t="shared" si="37"/>
        <v>839.56999999999994</v>
      </c>
      <c r="X193" s="173">
        <f t="shared" si="37"/>
        <v>851.55000000000007</v>
      </c>
      <c r="Y193" s="173">
        <f t="shared" si="37"/>
        <v>838.93999999999994</v>
      </c>
      <c r="Z193" s="173">
        <f t="shared" si="37"/>
        <v>852.23</v>
      </c>
      <c r="AA193" s="173">
        <f t="shared" si="37"/>
        <v>875.13999999999987</v>
      </c>
      <c r="AB193" s="173">
        <f t="shared" si="37"/>
        <v>897.34000000000015</v>
      </c>
      <c r="AC193" s="173">
        <f t="shared" si="37"/>
        <v>920.54000000000008</v>
      </c>
      <c r="AD193" s="173">
        <f t="shared" si="37"/>
        <v>952.24</v>
      </c>
      <c r="AE193" s="173">
        <f t="shared" si="37"/>
        <v>965.56</v>
      </c>
      <c r="AF193" s="173">
        <f t="shared" si="37"/>
        <v>953.46</v>
      </c>
      <c r="AG193" s="173">
        <f t="shared" si="37"/>
        <v>978.64</v>
      </c>
      <c r="AH193" s="173">
        <f t="shared" si="37"/>
        <v>966.74</v>
      </c>
      <c r="AI193" s="173">
        <f t="shared" si="37"/>
        <v>1028.22</v>
      </c>
      <c r="AJ193" s="173">
        <f t="shared" si="37"/>
        <v>933.18999999999994</v>
      </c>
      <c r="AK193" s="173">
        <f t="shared" si="37"/>
        <v>961.6099999999999</v>
      </c>
      <c r="AL193" s="173">
        <f t="shared" si="37"/>
        <v>956.04</v>
      </c>
      <c r="AM193" s="173">
        <f t="shared" si="37"/>
        <v>919.81000000000006</v>
      </c>
      <c r="AN193" s="173">
        <f t="shared" si="37"/>
        <v>921.3599999999999</v>
      </c>
      <c r="AO193" s="173">
        <f t="shared" si="37"/>
        <v>927.59999999999991</v>
      </c>
      <c r="AP193" s="173">
        <f t="shared" si="37"/>
        <v>935.78</v>
      </c>
      <c r="AQ193" s="173">
        <f t="shared" si="37"/>
        <v>1094.46</v>
      </c>
      <c r="AR193" s="173">
        <f t="shared" si="37"/>
        <v>1165.67</v>
      </c>
      <c r="AS193" s="173">
        <f t="shared" si="37"/>
        <v>1207.26</v>
      </c>
      <c r="AT193" s="173">
        <f t="shared" si="37"/>
        <v>1159.01</v>
      </c>
      <c r="AU193" s="173">
        <f t="shared" si="37"/>
        <v>1150.6599999999999</v>
      </c>
      <c r="AV193" s="173">
        <f t="shared" si="37"/>
        <v>1081.6399999999999</v>
      </c>
      <c r="AW193" s="173">
        <f t="shared" si="37"/>
        <v>998.93999999999994</v>
      </c>
      <c r="AX193" s="173">
        <f t="shared" si="37"/>
        <v>964.54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678" priority="198">
      <formula>S$9&gt;=20/24</formula>
    </cfRule>
    <cfRule type="expression" dxfId="4677" priority="199">
      <formula>AND(S$9&gt;=14/24,S$9&lt;20/24)</formula>
    </cfRule>
    <cfRule type="expression" dxfId="4676" priority="200">
      <formula>AND(S$9&gt;=8/24,S$9&lt;14/24)</formula>
    </cfRule>
    <cfRule type="expression" dxfId="4675" priority="201">
      <formula>S$9&lt;8/24</formula>
    </cfRule>
  </conditionalFormatting>
  <conditionalFormatting sqref="B8:AF10 AA70:AF70 C70:Q70 L32:Z33 L31:Q31 C47:AF47 C71:AF71 C173:AF179 M36 N35:Q36 M37:Q39 L34:Q34 V35:W35 S34:W34 AA48:AA50 R11:T11 C59:AF69 C48:K52 L51:Q51 L49:Z49 X34:Z35 U11:AF12 L29:Q29 L50:T50 L52 L73:Z79 L72:Q72 C72:K79 M52:Q58 R38:AF39 L44:AF46 AC48:AF50 AA72:AF79">
    <cfRule type="expression" dxfId="4674" priority="194">
      <formula>B$9&gt;=20/24</formula>
    </cfRule>
    <cfRule type="expression" dxfId="4673" priority="195">
      <formula>AND(B$9&gt;=14/24,B$9&lt;20/24)</formula>
    </cfRule>
    <cfRule type="expression" dxfId="4672" priority="196">
      <formula>AND(B$9&gt;=8/24,B$9&lt;14/24)</formula>
    </cfRule>
    <cfRule type="expression" dxfId="4671" priority="197">
      <formula>B$9&lt;8/24</formula>
    </cfRule>
  </conditionalFormatting>
  <conditionalFormatting sqref="B171:AF171">
    <cfRule type="expression" dxfId="4670" priority="190">
      <formula>B$9&gt;=20/24</formula>
    </cfRule>
    <cfRule type="expression" dxfId="4669" priority="191">
      <formula>AND(B$9&gt;=14/24,B$9&lt;20/24)</formula>
    </cfRule>
    <cfRule type="expression" dxfId="4668" priority="192">
      <formula>AND(B$9&gt;=8/24,B$9&lt;14/24)</formula>
    </cfRule>
    <cfRule type="expression" dxfId="4667" priority="193">
      <formula>B$9&lt;8/24</formula>
    </cfRule>
  </conditionalFormatting>
  <conditionalFormatting sqref="AL4:AL6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666" priority="185">
      <formula>L$9&gt;=20/24</formula>
    </cfRule>
    <cfRule type="expression" dxfId="4665" priority="186">
      <formula>AND(L$9&gt;=14/24,L$9&lt;20/24)</formula>
    </cfRule>
    <cfRule type="expression" dxfId="4664" priority="187">
      <formula>AND(L$9&gt;=8/24,L$9&lt;14/24)</formula>
    </cfRule>
    <cfRule type="expression" dxfId="4663" priority="188">
      <formula>L$9&lt;8/24</formula>
    </cfRule>
  </conditionalFormatting>
  <conditionalFormatting sqref="L35:M35">
    <cfRule type="expression" dxfId="4662" priority="181">
      <formula>L$9&gt;=20/24</formula>
    </cfRule>
    <cfRule type="expression" dxfId="4661" priority="182">
      <formula>AND(L$9&gt;=14/24,L$9&lt;20/24)</formula>
    </cfRule>
    <cfRule type="expression" dxfId="4660" priority="183">
      <formula>AND(L$9&gt;=8/24,L$9&lt;14/24)</formula>
    </cfRule>
    <cfRule type="expression" dxfId="4659" priority="184">
      <formula>L$9&lt;8/24</formula>
    </cfRule>
  </conditionalFormatting>
  <conditionalFormatting sqref="U13:AF13">
    <cfRule type="expression" dxfId="4658" priority="177">
      <formula>U$9&gt;=20/24</formula>
    </cfRule>
    <cfRule type="expression" dxfId="4657" priority="178">
      <formula>AND(U$9&gt;=14/24,U$9&lt;20/24)</formula>
    </cfRule>
    <cfRule type="expression" dxfId="4656" priority="179">
      <formula>AND(U$9&gt;=8/24,U$9&lt;14/24)</formula>
    </cfRule>
    <cfRule type="expression" dxfId="4655" priority="180">
      <formula>U$9&lt;8/24</formula>
    </cfRule>
  </conditionalFormatting>
  <conditionalFormatting sqref="R31:Z31">
    <cfRule type="expression" dxfId="4654" priority="173">
      <formula>R$9&gt;=20/24</formula>
    </cfRule>
    <cfRule type="expression" dxfId="4653" priority="174">
      <formula>AND(R$9&gt;=14/24,R$9&lt;20/24)</formula>
    </cfRule>
    <cfRule type="expression" dxfId="4652" priority="175">
      <formula>AND(R$9&gt;=8/24,R$9&lt;14/24)</formula>
    </cfRule>
    <cfRule type="expression" dxfId="4651" priority="176">
      <formula>R$9&lt;8/24</formula>
    </cfRule>
  </conditionalFormatting>
  <conditionalFormatting sqref="R48:Z48">
    <cfRule type="expression" dxfId="4650" priority="169">
      <formula>R$9&gt;=20/24</formula>
    </cfRule>
    <cfRule type="expression" dxfId="4649" priority="170">
      <formula>AND(R$9&gt;=14/24,R$9&lt;20/24)</formula>
    </cfRule>
    <cfRule type="expression" dxfId="4648" priority="171">
      <formula>AND(R$9&gt;=8/24,R$9&lt;14/24)</formula>
    </cfRule>
    <cfRule type="expression" dxfId="4647" priority="172">
      <formula>R$9&lt;8/24</formula>
    </cfRule>
  </conditionalFormatting>
  <conditionalFormatting sqref="R70:Z70">
    <cfRule type="expression" dxfId="4646" priority="165">
      <formula>R$9&gt;=20/24</formula>
    </cfRule>
    <cfRule type="expression" dxfId="4645" priority="166">
      <formula>AND(R$9&gt;=14/24,R$9&lt;20/24)</formula>
    </cfRule>
    <cfRule type="expression" dxfId="4644" priority="167">
      <formula>AND(R$9&gt;=8/24,R$9&lt;14/24)</formula>
    </cfRule>
    <cfRule type="expression" dxfId="4643" priority="168">
      <formula>R$9&lt;8/24</formula>
    </cfRule>
  </conditionalFormatting>
  <conditionalFormatting sqref="R72:Z72">
    <cfRule type="expression" dxfId="4642" priority="161">
      <formula>R$9&gt;=20/24</formula>
    </cfRule>
    <cfRule type="expression" dxfId="4641" priority="162">
      <formula>AND(R$9&gt;=14/24,R$9&lt;20/24)</formula>
    </cfRule>
    <cfRule type="expression" dxfId="4640" priority="163">
      <formula>AND(R$9&gt;=8/24,R$9&lt;14/24)</formula>
    </cfRule>
    <cfRule type="expression" dxfId="4639" priority="164">
      <formula>R$9&lt;8/24</formula>
    </cfRule>
  </conditionalFormatting>
  <conditionalFormatting sqref="L11:Q27 R18:AF18 R20:AF27">
    <cfRule type="expression" dxfId="4638" priority="157">
      <formula>L$9&gt;=20/24</formula>
    </cfRule>
    <cfRule type="expression" dxfId="4637" priority="158">
      <formula>AND(L$9&gt;=14/24,L$9&lt;20/24)</formula>
    </cfRule>
    <cfRule type="expression" dxfId="4636" priority="159">
      <formula>AND(L$9&gt;=8/24,L$9&lt;14/24)</formula>
    </cfRule>
    <cfRule type="expression" dxfId="4635" priority="160">
      <formula>L$9&lt;8/24</formula>
    </cfRule>
  </conditionalFormatting>
  <conditionalFormatting sqref="L40:AF40">
    <cfRule type="expression" dxfId="4634" priority="153">
      <formula>L$9&gt;=20/24</formula>
    </cfRule>
    <cfRule type="expression" dxfId="4633" priority="154">
      <formula>AND(L$9&gt;=14/24,L$9&lt;20/24)</formula>
    </cfRule>
    <cfRule type="expression" dxfId="4632" priority="155">
      <formula>AND(L$9&gt;=8/24,L$9&lt;14/24)</formula>
    </cfRule>
    <cfRule type="expression" dxfId="4631" priority="156">
      <formula>L$9&lt;8/24</formula>
    </cfRule>
  </conditionalFormatting>
  <conditionalFormatting sqref="L41:AF41">
    <cfRule type="expression" dxfId="4630" priority="149">
      <formula>L$9&gt;=20/24</formula>
    </cfRule>
    <cfRule type="expression" dxfId="4629" priority="150">
      <formula>AND(L$9&gt;=14/24,L$9&lt;20/24)</formula>
    </cfRule>
    <cfRule type="expression" dxfId="4628" priority="151">
      <formula>AND(L$9&gt;=8/24,L$9&lt;14/24)</formula>
    </cfRule>
    <cfRule type="expression" dxfId="4627" priority="152">
      <formula>L$9&lt;8/24</formula>
    </cfRule>
  </conditionalFormatting>
  <conditionalFormatting sqref="L36:L39 M38:AF39">
    <cfRule type="expression" dxfId="4626" priority="145">
      <formula>L$9&gt;=20/24</formula>
    </cfRule>
    <cfRule type="expression" dxfId="4625" priority="146">
      <formula>AND(L$9&gt;=14/24,L$9&lt;20/24)</formula>
    </cfRule>
    <cfRule type="expression" dxfId="4624" priority="147">
      <formula>AND(L$9&gt;=8/24,L$9&lt;14/24)</formula>
    </cfRule>
    <cfRule type="expression" dxfId="4623" priority="148">
      <formula>L$9&lt;8/24</formula>
    </cfRule>
  </conditionalFormatting>
  <conditionalFormatting sqref="R29:AD29">
    <cfRule type="expression" dxfId="4622" priority="141">
      <formula>R$9&gt;=20/24</formula>
    </cfRule>
    <cfRule type="expression" dxfId="4621" priority="142">
      <formula>AND(R$9&gt;=14/24,R$9&lt;20/24)</formula>
    </cfRule>
    <cfRule type="expression" dxfId="4620" priority="143">
      <formula>AND(R$9&gt;=8/24,R$9&lt;14/24)</formula>
    </cfRule>
    <cfRule type="expression" dxfId="4619" priority="144">
      <formula>R$9&lt;8/24</formula>
    </cfRule>
  </conditionalFormatting>
  <conditionalFormatting sqref="R12:T27 U14:AF27">
    <cfRule type="expression" dxfId="4618" priority="137">
      <formula>R$9&gt;=20/24</formula>
    </cfRule>
    <cfRule type="expression" dxfId="4617" priority="138">
      <formula>AND(R$9&gt;=14/24,R$9&lt;20/24)</formula>
    </cfRule>
    <cfRule type="expression" dxfId="4616" priority="139">
      <formula>AND(R$9&gt;=8/24,R$9&lt;14/24)</formula>
    </cfRule>
    <cfRule type="expression" dxfId="4615" priority="140">
      <formula>R$9&lt;8/24</formula>
    </cfRule>
  </conditionalFormatting>
  <conditionalFormatting sqref="R34:R39 S35:U39 V36:Z39 AA37:AF39">
    <cfRule type="expression" dxfId="4614" priority="133">
      <formula>R$9&gt;=20/24</formula>
    </cfRule>
    <cfRule type="expression" dxfId="4613" priority="134">
      <formula>AND(R$9&gt;=14/24,R$9&lt;20/24)</formula>
    </cfRule>
    <cfRule type="expression" dxfId="4612" priority="135">
      <formula>AND(R$9&gt;=8/24,R$9&lt;14/24)</formula>
    </cfRule>
    <cfRule type="expression" dxfId="4611" priority="136">
      <formula>R$9&lt;8/24</formula>
    </cfRule>
  </conditionalFormatting>
  <conditionalFormatting sqref="R40:AF40">
    <cfRule type="expression" dxfId="4610" priority="129">
      <formula>R$9&gt;=20/24</formula>
    </cfRule>
    <cfRule type="expression" dxfId="4609" priority="130">
      <formula>AND(R$9&gt;=14/24,R$9&lt;20/24)</formula>
    </cfRule>
    <cfRule type="expression" dxfId="4608" priority="131">
      <formula>AND(R$9&gt;=8/24,R$9&lt;14/24)</formula>
    </cfRule>
    <cfRule type="expression" dxfId="4607" priority="132">
      <formula>R$9&lt;8/24</formula>
    </cfRule>
  </conditionalFormatting>
  <conditionalFormatting sqref="R41:AF41">
    <cfRule type="expression" dxfId="4606" priority="125">
      <formula>R$9&gt;=20/24</formula>
    </cfRule>
    <cfRule type="expression" dxfId="4605" priority="126">
      <formula>AND(R$9&gt;=14/24,R$9&lt;20/24)</formula>
    </cfRule>
    <cfRule type="expression" dxfId="4604" priority="127">
      <formula>AND(R$9&gt;=8/24,R$9&lt;14/24)</formula>
    </cfRule>
    <cfRule type="expression" dxfId="4603" priority="128">
      <formula>R$9&lt;8/24</formula>
    </cfRule>
  </conditionalFormatting>
  <conditionalFormatting sqref="R51:AA52 AC51:AF58">
    <cfRule type="expression" dxfId="4602" priority="121">
      <formula>R$9&gt;=20/24</formula>
    </cfRule>
    <cfRule type="expression" dxfId="4601" priority="122">
      <formula>AND(R$9&gt;=14/24,R$9&lt;20/24)</formula>
    </cfRule>
    <cfRule type="expression" dxfId="4600" priority="123">
      <formula>AND(R$9&gt;=8/24,R$9&lt;14/24)</formula>
    </cfRule>
    <cfRule type="expression" dxfId="4599" priority="124">
      <formula>R$9&lt;8/24</formula>
    </cfRule>
  </conditionalFormatting>
  <conditionalFormatting sqref="AA83:AA86 AC83:AF86">
    <cfRule type="expression" dxfId="4598" priority="117">
      <formula>AA$9&gt;=20/24</formula>
    </cfRule>
    <cfRule type="expression" dxfId="4597" priority="118">
      <formula>AND(AA$9&gt;=14/24,AA$9&lt;20/24)</formula>
    </cfRule>
    <cfRule type="expression" dxfId="4596" priority="119">
      <formula>AND(AA$9&gt;=8/24,AA$9&lt;14/24)</formula>
    </cfRule>
    <cfRule type="expression" dxfId="4595" priority="120">
      <formula>AA$9&lt;8/24</formula>
    </cfRule>
  </conditionalFormatting>
  <conditionalFormatting sqref="C53:L58">
    <cfRule type="expression" dxfId="4594" priority="113">
      <formula>C$9&gt;=20/24</formula>
    </cfRule>
    <cfRule type="expression" dxfId="4593" priority="114">
      <formula>AND(C$9&gt;=14/24,C$9&lt;20/24)</formula>
    </cfRule>
    <cfRule type="expression" dxfId="4592" priority="115">
      <formula>AND(C$9&gt;=8/24,C$9&lt;14/24)</formula>
    </cfRule>
    <cfRule type="expression" dxfId="4591" priority="116">
      <formula>C$9&lt;8/24</formula>
    </cfRule>
  </conditionalFormatting>
  <conditionalFormatting sqref="C83:K86">
    <cfRule type="expression" dxfId="4590" priority="109">
      <formula>C$9&gt;=20/24</formula>
    </cfRule>
    <cfRule type="expression" dxfId="4589" priority="110">
      <formula>AND(C$9&gt;=14/24,C$9&lt;20/24)</formula>
    </cfRule>
    <cfRule type="expression" dxfId="4588" priority="111">
      <formula>AND(C$9&gt;=8/24,C$9&lt;14/24)</formula>
    </cfRule>
    <cfRule type="expression" dxfId="4587" priority="112">
      <formula>C$9&lt;8/24</formula>
    </cfRule>
  </conditionalFormatting>
  <conditionalFormatting sqref="L83:Q86">
    <cfRule type="expression" dxfId="4586" priority="105">
      <formula>L$9&gt;=20/24</formula>
    </cfRule>
    <cfRule type="expression" dxfId="4585" priority="106">
      <formula>AND(L$9&gt;=14/24,L$9&lt;20/24)</formula>
    </cfRule>
    <cfRule type="expression" dxfId="4584" priority="107">
      <formula>AND(L$9&gt;=8/24,L$9&lt;14/24)</formula>
    </cfRule>
    <cfRule type="expression" dxfId="4583" priority="108">
      <formula>L$9&lt;8/24</formula>
    </cfRule>
  </conditionalFormatting>
  <conditionalFormatting sqref="R83:Z86">
    <cfRule type="expression" dxfId="4582" priority="101">
      <formula>R$9&gt;=20/24</formula>
    </cfRule>
    <cfRule type="expression" dxfId="4581" priority="102">
      <formula>AND(R$9&gt;=14/24,R$9&lt;20/24)</formula>
    </cfRule>
    <cfRule type="expression" dxfId="4580" priority="103">
      <formula>AND(R$9&gt;=8/24,R$9&lt;14/24)</formula>
    </cfRule>
    <cfRule type="expression" dxfId="4579" priority="104">
      <formula>R$9&lt;8/24</formula>
    </cfRule>
  </conditionalFormatting>
  <conditionalFormatting sqref="AG42 C30:AF30 D31:AF31 B44 D29:AF29 C11:AF27 C32:AF47">
    <cfRule type="expression" dxfId="4578" priority="100">
      <formula>B11&gt;$AG11</formula>
    </cfRule>
  </conditionalFormatting>
  <conditionalFormatting sqref="T192:AX192">
    <cfRule type="expression" dxfId="4577" priority="96">
      <formula>T$9&gt;=20/24</formula>
    </cfRule>
    <cfRule type="expression" dxfId="4576" priority="97">
      <formula>AND(T$9&gt;=14/24,T$9&lt;20/24)</formula>
    </cfRule>
    <cfRule type="expression" dxfId="4575" priority="98">
      <formula>AND(T$9&gt;=8/24,T$9&lt;14/24)</formula>
    </cfRule>
    <cfRule type="expression" dxfId="4574" priority="99">
      <formula>T$9&lt;8/24</formula>
    </cfRule>
  </conditionalFormatting>
  <conditionalFormatting sqref="A11:A86 A88:A180">
    <cfRule type="expression" dxfId="4573" priority="95">
      <formula>$AH11=0</formula>
    </cfRule>
  </conditionalFormatting>
  <conditionalFormatting sqref="AA87 AC87:AF87">
    <cfRule type="expression" dxfId="4572" priority="91">
      <formula>AA$9&gt;=20/24</formula>
    </cfRule>
    <cfRule type="expression" dxfId="4571" priority="92">
      <formula>AND(AA$9&gt;=14/24,AA$9&lt;20/24)</formula>
    </cfRule>
    <cfRule type="expression" dxfId="4570" priority="93">
      <formula>AND(AA$9&gt;=8/24,AA$9&lt;14/24)</formula>
    </cfRule>
    <cfRule type="expression" dxfId="4569" priority="94">
      <formula>AA$9&lt;8/24</formula>
    </cfRule>
  </conditionalFormatting>
  <conditionalFormatting sqref="C87:K87">
    <cfRule type="expression" dxfId="4568" priority="87">
      <formula>C$9&gt;=20/24</formula>
    </cfRule>
    <cfRule type="expression" dxfId="4567" priority="88">
      <formula>AND(C$9&gt;=14/24,C$9&lt;20/24)</formula>
    </cfRule>
    <cfRule type="expression" dxfId="4566" priority="89">
      <formula>AND(C$9&gt;=8/24,C$9&lt;14/24)</formula>
    </cfRule>
    <cfRule type="expression" dxfId="4565" priority="90">
      <formula>C$9&lt;8/24</formula>
    </cfRule>
  </conditionalFormatting>
  <conditionalFormatting sqref="L87:Q87">
    <cfRule type="expression" dxfId="4564" priority="83">
      <formula>L$9&gt;=20/24</formula>
    </cfRule>
    <cfRule type="expression" dxfId="4563" priority="84">
      <formula>AND(L$9&gt;=14/24,L$9&lt;20/24)</formula>
    </cfRule>
    <cfRule type="expression" dxfId="4562" priority="85">
      <formula>AND(L$9&gt;=8/24,L$9&lt;14/24)</formula>
    </cfRule>
    <cfRule type="expression" dxfId="4561" priority="86">
      <formula>L$9&lt;8/24</formula>
    </cfRule>
  </conditionalFormatting>
  <conditionalFormatting sqref="R87:Z87">
    <cfRule type="expression" dxfId="4560" priority="79">
      <formula>R$9&gt;=20/24</formula>
    </cfRule>
    <cfRule type="expression" dxfId="4559" priority="80">
      <formula>AND(R$9&gt;=14/24,R$9&lt;20/24)</formula>
    </cfRule>
    <cfRule type="expression" dxfId="4558" priority="81">
      <formula>AND(R$9&gt;=8/24,R$9&lt;14/24)</formula>
    </cfRule>
    <cfRule type="expression" dxfId="4557" priority="82">
      <formula>R$9&lt;8/24</formula>
    </cfRule>
  </conditionalFormatting>
  <conditionalFormatting sqref="A87">
    <cfRule type="expression" dxfId="4556" priority="78">
      <formula>$AH87=0</formula>
    </cfRule>
  </conditionalFormatting>
  <conditionalFormatting sqref="B59:B71 B45:B51">
    <cfRule type="expression" dxfId="4555" priority="66">
      <formula>B$9&gt;=20/24</formula>
    </cfRule>
    <cfRule type="expression" dxfId="4554" priority="67">
      <formula>AND(B$9&gt;=14/24,B$9&lt;20/24)</formula>
    </cfRule>
    <cfRule type="expression" dxfId="4553" priority="68">
      <formula>AND(B$9&gt;=8/24,B$9&lt;14/24)</formula>
    </cfRule>
    <cfRule type="expression" dxfId="4552" priority="69">
      <formula>B$9&lt;8/24</formula>
    </cfRule>
  </conditionalFormatting>
  <conditionalFormatting sqref="B22:B27">
    <cfRule type="expression" dxfId="4551" priority="62">
      <formula>B$9&gt;=20/24</formula>
    </cfRule>
    <cfRule type="expression" dxfId="4550" priority="63">
      <formula>AND(B$9&gt;=14/24,B$9&lt;20/24)</formula>
    </cfRule>
    <cfRule type="expression" dxfId="4549" priority="64">
      <formula>AND(B$9&gt;=8/24,B$9&lt;14/24)</formula>
    </cfRule>
    <cfRule type="expression" dxfId="4548" priority="65">
      <formula>B$9&lt;8/24</formula>
    </cfRule>
  </conditionalFormatting>
  <conditionalFormatting sqref="B16:B27">
    <cfRule type="expression" dxfId="4547" priority="58">
      <formula>B$9&gt;=20/24</formula>
    </cfRule>
    <cfRule type="expression" dxfId="4546" priority="59">
      <formula>AND(B$9&gt;=14/24,B$9&lt;20/24)</formula>
    </cfRule>
    <cfRule type="expression" dxfId="4545" priority="60">
      <formula>AND(B$9&gt;=8/24,B$9&lt;14/24)</formula>
    </cfRule>
    <cfRule type="expression" dxfId="4544" priority="61">
      <formula>B$9&lt;8/24</formula>
    </cfRule>
  </conditionalFormatting>
  <conditionalFormatting sqref="B52:B58">
    <cfRule type="expression" dxfId="4543" priority="54">
      <formula>B$9&gt;=20/24</formula>
    </cfRule>
    <cfRule type="expression" dxfId="4542" priority="55">
      <formula>AND(B$9&gt;=14/24,B$9&lt;20/24)</formula>
    </cfRule>
    <cfRule type="expression" dxfId="4541" priority="56">
      <formula>AND(B$9&gt;=8/24,B$9&lt;14/24)</formula>
    </cfRule>
    <cfRule type="expression" dxfId="4540" priority="57">
      <formula>B$9&lt;8/24</formula>
    </cfRule>
  </conditionalFormatting>
  <conditionalFormatting sqref="B83:B86">
    <cfRule type="expression" dxfId="4539" priority="50">
      <formula>B$9&gt;=20/24</formula>
    </cfRule>
    <cfRule type="expression" dxfId="4538" priority="51">
      <formula>AND(B$9&gt;=14/24,B$9&lt;20/24)</formula>
    </cfRule>
    <cfRule type="expression" dxfId="4537" priority="52">
      <formula>AND(B$9&gt;=8/24,B$9&lt;14/24)</formula>
    </cfRule>
    <cfRule type="expression" dxfId="4536" priority="53">
      <formula>B$9&lt;8/24</formula>
    </cfRule>
  </conditionalFormatting>
  <conditionalFormatting sqref="B11:B43 C29 C31 B45:B47 C28:AF28">
    <cfRule type="expression" dxfId="4535" priority="49">
      <formula>B11&gt;$AG11</formula>
    </cfRule>
  </conditionalFormatting>
  <conditionalFormatting sqref="B87">
    <cfRule type="expression" dxfId="4534" priority="45">
      <formula>B$9&gt;=20/24</formula>
    </cfRule>
    <cfRule type="expression" dxfId="4533" priority="46">
      <formula>AND(B$9&gt;=14/24,B$9&lt;20/24)</formula>
    </cfRule>
    <cfRule type="expression" dxfId="4532" priority="47">
      <formula>AND(B$9&gt;=8/24,B$9&lt;14/24)</formula>
    </cfRule>
    <cfRule type="expression" dxfId="4531" priority="48">
      <formula>B$9&lt;8/24</formula>
    </cfRule>
  </conditionalFormatting>
  <conditionalFormatting sqref="B28:AF28">
    <cfRule type="expression" dxfId="4530" priority="41">
      <formula>B$9&gt;=20/24</formula>
    </cfRule>
    <cfRule type="expression" dxfId="4529" priority="42">
      <formula>AND(B$9&gt;=14/24,B$9&lt;20/24)</formula>
    </cfRule>
    <cfRule type="expression" dxfId="4528" priority="43">
      <formula>AND(B$9&gt;=8/24,B$9&lt;14/24)</formula>
    </cfRule>
    <cfRule type="expression" dxfId="4527" priority="44">
      <formula>B$9&lt;8/24</formula>
    </cfRule>
  </conditionalFormatting>
  <conditionalFormatting sqref="B72:B79">
    <cfRule type="expression" dxfId="4526" priority="37">
      <formula>B$9&gt;=20/24</formula>
    </cfRule>
    <cfRule type="expression" dxfId="4525" priority="38">
      <formula>AND(B$9&gt;=14/24,B$9&lt;20/24)</formula>
    </cfRule>
    <cfRule type="expression" dxfId="4524" priority="39">
      <formula>AND(B$9&gt;=8/24,B$9&lt;14/24)</formula>
    </cfRule>
    <cfRule type="expression" dxfId="4523" priority="40">
      <formula>B$9&lt;8/24</formula>
    </cfRule>
  </conditionalFormatting>
  <conditionalFormatting sqref="R53:R58">
    <cfRule type="expression" dxfId="4522" priority="33">
      <formula>R$9&gt;=20/24</formula>
    </cfRule>
    <cfRule type="expression" dxfId="4521" priority="34">
      <formula>AND(R$9&gt;=14/24,R$9&lt;20/24)</formula>
    </cfRule>
    <cfRule type="expression" dxfId="4520" priority="35">
      <formula>AND(R$9&gt;=8/24,R$9&lt;14/24)</formula>
    </cfRule>
    <cfRule type="expression" dxfId="4519" priority="36">
      <formula>R$9&lt;8/24</formula>
    </cfRule>
  </conditionalFormatting>
  <conditionalFormatting sqref="S53:S58">
    <cfRule type="expression" dxfId="4518" priority="29">
      <formula>S$9&gt;=20/24</formula>
    </cfRule>
    <cfRule type="expression" dxfId="4517" priority="30">
      <formula>AND(S$9&gt;=14/24,S$9&lt;20/24)</formula>
    </cfRule>
    <cfRule type="expression" dxfId="4516" priority="31">
      <formula>AND(S$9&gt;=8/24,S$9&lt;14/24)</formula>
    </cfRule>
    <cfRule type="expression" dxfId="4515" priority="32">
      <formula>S$9&lt;8/24</formula>
    </cfRule>
  </conditionalFormatting>
  <conditionalFormatting sqref="T53:T58">
    <cfRule type="expression" dxfId="4514" priority="25">
      <formula>T$9&gt;=20/24</formula>
    </cfRule>
    <cfRule type="expression" dxfId="4513" priority="26">
      <formula>AND(T$9&gt;=14/24,T$9&lt;20/24)</formula>
    </cfRule>
    <cfRule type="expression" dxfId="4512" priority="27">
      <formula>AND(T$9&gt;=8/24,T$9&lt;14/24)</formula>
    </cfRule>
    <cfRule type="expression" dxfId="4511" priority="28">
      <formula>T$9&lt;8/24</formula>
    </cfRule>
  </conditionalFormatting>
  <conditionalFormatting sqref="U53:AA58">
    <cfRule type="expression" dxfId="4510" priority="21">
      <formula>U$9&gt;=20/24</formula>
    </cfRule>
    <cfRule type="expression" dxfId="4509" priority="22">
      <formula>AND(U$9&gt;=14/24,U$9&lt;20/24)</formula>
    </cfRule>
    <cfRule type="expression" dxfId="4508" priority="23">
      <formula>AND(U$9&gt;=8/24,U$9&lt;14/24)</formula>
    </cfRule>
    <cfRule type="expression" dxfId="4507" priority="24">
      <formula>U$9&lt;8/24</formula>
    </cfRule>
  </conditionalFormatting>
  <conditionalFormatting sqref="AB87">
    <cfRule type="expression" dxfId="4506" priority="1">
      <formula>AB$9&gt;=20/24</formula>
    </cfRule>
    <cfRule type="expression" dxfId="4505" priority="2">
      <formula>AND(AB$9&gt;=14/24,AB$9&lt;20/24)</formula>
    </cfRule>
    <cfRule type="expression" dxfId="4504" priority="3">
      <formula>AND(AB$9&gt;=8/24,AB$9&lt;14/24)</formula>
    </cfRule>
    <cfRule type="expression" dxfId="4503" priority="4">
      <formula>AB$9&lt;8/24</formula>
    </cfRule>
  </conditionalFormatting>
  <conditionalFormatting sqref="AB48:AB50">
    <cfRule type="expression" dxfId="4502" priority="17">
      <formula>AB$9&gt;=20/24</formula>
    </cfRule>
    <cfRule type="expression" dxfId="4501" priority="18">
      <formula>AND(AB$9&gt;=14/24,AB$9&lt;20/24)</formula>
    </cfRule>
    <cfRule type="expression" dxfId="4500" priority="19">
      <formula>AND(AB$9&gt;=8/24,AB$9&lt;14/24)</formula>
    </cfRule>
    <cfRule type="expression" dxfId="4499" priority="20">
      <formula>AB$9&lt;8/24</formula>
    </cfRule>
  </conditionalFormatting>
  <conditionalFormatting sqref="AB51:AB52">
    <cfRule type="expression" dxfId="4498" priority="13">
      <formula>AB$9&gt;=20/24</formula>
    </cfRule>
    <cfRule type="expression" dxfId="4497" priority="14">
      <formula>AND(AB$9&gt;=14/24,AB$9&lt;20/24)</formula>
    </cfRule>
    <cfRule type="expression" dxfId="4496" priority="15">
      <formula>AND(AB$9&gt;=8/24,AB$9&lt;14/24)</formula>
    </cfRule>
    <cfRule type="expression" dxfId="4495" priority="16">
      <formula>AB$9&lt;8/24</formula>
    </cfRule>
  </conditionalFormatting>
  <conditionalFormatting sqref="AB53:AB58">
    <cfRule type="expression" dxfId="4494" priority="9">
      <formula>AB$9&gt;=20/24</formula>
    </cfRule>
    <cfRule type="expression" dxfId="4493" priority="10">
      <formula>AND(AB$9&gt;=14/24,AB$9&lt;20/24)</formula>
    </cfRule>
    <cfRule type="expression" dxfId="4492" priority="11">
      <formula>AND(AB$9&gt;=8/24,AB$9&lt;14/24)</formula>
    </cfRule>
    <cfRule type="expression" dxfId="4491" priority="12">
      <formula>AB$9&lt;8/24</formula>
    </cfRule>
  </conditionalFormatting>
  <conditionalFormatting sqref="AB83:AB86">
    <cfRule type="expression" dxfId="4490" priority="5">
      <formula>AB$9&gt;=20/24</formula>
    </cfRule>
    <cfRule type="expression" dxfId="4489" priority="6">
      <formula>AND(AB$9&gt;=14/24,AB$9&lt;20/24)</formula>
    </cfRule>
    <cfRule type="expression" dxfId="4488" priority="7">
      <formula>AND(AB$9&gt;=8/24,AB$9&lt;14/24)</formula>
    </cfRule>
    <cfRule type="expression" dxfId="4487" priority="8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H20" sqref="H2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5" width="6.42578125" bestFit="1" customWidth="1"/>
    <col min="6" max="6" width="8.42578125" customWidth="1"/>
    <col min="7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9</v>
      </c>
      <c r="D4" s="324">
        <f ca="1">IFERROR(DATE(2021,5,14)+C4,"")</f>
        <v>44339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326.52000000000004</v>
      </c>
      <c r="C5" s="32">
        <f t="shared" ref="C5:AF5" si="0">C59</f>
        <v>303.07</v>
      </c>
      <c r="D5" s="32">
        <f t="shared" si="0"/>
        <v>306.7</v>
      </c>
      <c r="E5" s="32">
        <f t="shared" si="0"/>
        <v>272.79000000000002</v>
      </c>
      <c r="F5" s="32">
        <f t="shared" si="0"/>
        <v>280.59000000000003</v>
      </c>
      <c r="G5" s="32">
        <f t="shared" si="0"/>
        <v>295.5</v>
      </c>
      <c r="H5" s="32">
        <f t="shared" si="0"/>
        <v>335.1</v>
      </c>
      <c r="I5" s="32">
        <f t="shared" si="0"/>
        <v>276</v>
      </c>
      <c r="J5" s="32">
        <f t="shared" si="0"/>
        <v>359.34000000000003</v>
      </c>
      <c r="K5" s="32">
        <f t="shared" si="0"/>
        <v>363.8</v>
      </c>
      <c r="L5" s="32">
        <f t="shared" si="0"/>
        <v>393.5</v>
      </c>
      <c r="M5" s="32">
        <f t="shared" si="0"/>
        <v>467.2</v>
      </c>
      <c r="N5" s="32">
        <f t="shared" si="0"/>
        <v>501</v>
      </c>
      <c r="O5" s="32">
        <f t="shared" si="0"/>
        <v>502.7</v>
      </c>
      <c r="P5" s="32">
        <f t="shared" si="0"/>
        <v>483.7</v>
      </c>
      <c r="Q5" s="32">
        <f t="shared" si="0"/>
        <v>505.6</v>
      </c>
      <c r="R5" s="32">
        <f t="shared" si="0"/>
        <v>509.6</v>
      </c>
      <c r="S5" s="32">
        <f t="shared" si="0"/>
        <v>490.2</v>
      </c>
      <c r="T5" s="32">
        <f t="shared" si="0"/>
        <v>478.79999999999995</v>
      </c>
      <c r="U5" s="32">
        <f t="shared" si="0"/>
        <v>425.09999999999991</v>
      </c>
      <c r="V5" s="32">
        <f t="shared" si="0"/>
        <v>428.76</v>
      </c>
      <c r="W5" s="32">
        <f t="shared" si="0"/>
        <v>434.40999999999991</v>
      </c>
      <c r="X5" s="32">
        <f t="shared" si="0"/>
        <v>460.10999999999996</v>
      </c>
      <c r="Y5" s="32">
        <f t="shared" si="0"/>
        <v>510.42999999999995</v>
      </c>
      <c r="Z5" s="32">
        <f t="shared" si="0"/>
        <v>567.61999999999989</v>
      </c>
      <c r="AA5" s="32">
        <f t="shared" si="0"/>
        <v>531.09999999999991</v>
      </c>
      <c r="AB5" s="32">
        <f t="shared" si="0"/>
        <v>517</v>
      </c>
      <c r="AC5" s="32">
        <f t="shared" si="0"/>
        <v>533.1</v>
      </c>
      <c r="AD5" s="32">
        <f t="shared" si="0"/>
        <v>474.04999999999995</v>
      </c>
      <c r="AE5" s="32">
        <f t="shared" si="0"/>
        <v>412.35</v>
      </c>
      <c r="AF5" s="32">
        <f t="shared" si="0"/>
        <v>391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1101MW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Load=868</v>
      </c>
      <c r="B7" s="36">
        <f t="shared" ref="B7:AF7" si="1">B65</f>
        <v>958.16</v>
      </c>
      <c r="C7" s="36">
        <f t="shared" si="1"/>
        <v>935.21</v>
      </c>
      <c r="D7" s="36">
        <f t="shared" si="1"/>
        <v>924.83999999999992</v>
      </c>
      <c r="E7" s="36">
        <f t="shared" si="1"/>
        <v>886.32999999999993</v>
      </c>
      <c r="F7" s="36">
        <f t="shared" si="1"/>
        <v>868.03000000000009</v>
      </c>
      <c r="G7" s="36">
        <f t="shared" si="1"/>
        <v>925.43999999999994</v>
      </c>
      <c r="H7" s="36">
        <f t="shared" si="1"/>
        <v>947.94</v>
      </c>
      <c r="I7" s="36">
        <f t="shared" si="1"/>
        <v>944.24</v>
      </c>
      <c r="J7" s="36">
        <f t="shared" si="1"/>
        <v>1048.8800000000001</v>
      </c>
      <c r="K7" s="36">
        <f t="shared" si="1"/>
        <v>1053.44</v>
      </c>
      <c r="L7" s="36">
        <f>L65</f>
        <v>1062.1400000000001</v>
      </c>
      <c r="M7" s="36">
        <f t="shared" si="1"/>
        <v>1100.94</v>
      </c>
      <c r="N7" s="36">
        <f t="shared" si="1"/>
        <v>1144.94</v>
      </c>
      <c r="O7" s="36">
        <f t="shared" si="1"/>
        <v>1152.74</v>
      </c>
      <c r="P7" s="36">
        <f t="shared" si="1"/>
        <v>1143.1399999999999</v>
      </c>
      <c r="Q7" s="36">
        <f t="shared" si="1"/>
        <v>1127.8399999999999</v>
      </c>
      <c r="R7" s="36">
        <f t="shared" si="1"/>
        <v>1134.8399999999999</v>
      </c>
      <c r="S7" s="36">
        <f t="shared" si="1"/>
        <v>1115.94</v>
      </c>
      <c r="T7" s="36">
        <f t="shared" si="1"/>
        <v>1094.54</v>
      </c>
      <c r="U7" s="36">
        <f t="shared" si="1"/>
        <v>1039.44</v>
      </c>
      <c r="V7" s="36">
        <f t="shared" si="1"/>
        <v>1047.5999999999999</v>
      </c>
      <c r="W7" s="36">
        <f t="shared" si="1"/>
        <v>1051.4499999999998</v>
      </c>
      <c r="X7" s="36">
        <f t="shared" si="1"/>
        <v>1076.25</v>
      </c>
      <c r="Y7" s="36">
        <f t="shared" si="1"/>
        <v>1132.9699999999998</v>
      </c>
      <c r="Z7" s="36">
        <f t="shared" si="1"/>
        <v>1267.56</v>
      </c>
      <c r="AA7" s="36">
        <f t="shared" si="1"/>
        <v>1266.6399999999999</v>
      </c>
      <c r="AB7" s="36">
        <f t="shared" si="1"/>
        <v>1253.24</v>
      </c>
      <c r="AC7" s="36">
        <f t="shared" si="1"/>
        <v>1257.1400000000001</v>
      </c>
      <c r="AD7" s="36">
        <f t="shared" si="1"/>
        <v>1187.9899999999998</v>
      </c>
      <c r="AE7" s="36">
        <f t="shared" si="1"/>
        <v>1112.99</v>
      </c>
      <c r="AF7" s="36">
        <f t="shared" si="1"/>
        <v>1080.1400000000001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24.4</v>
      </c>
      <c r="C11" s="48">
        <v>26.5</v>
      </c>
      <c r="D11" s="48">
        <v>25.3</v>
      </c>
      <c r="E11" s="48">
        <v>27.2</v>
      </c>
      <c r="F11" s="48">
        <v>27.9</v>
      </c>
      <c r="G11" s="48">
        <v>28.2</v>
      </c>
      <c r="H11" s="48">
        <v>28.9</v>
      </c>
      <c r="I11" s="48">
        <v>29.6</v>
      </c>
      <c r="J11" s="48">
        <v>29.4</v>
      </c>
      <c r="K11" s="48">
        <v>29.3</v>
      </c>
      <c r="L11" s="49">
        <v>28.3</v>
      </c>
      <c r="M11" s="49">
        <v>28.7</v>
      </c>
      <c r="N11" s="49">
        <v>28</v>
      </c>
      <c r="O11" s="49">
        <v>28.5</v>
      </c>
      <c r="P11" s="49">
        <v>28.1</v>
      </c>
      <c r="Q11" s="49">
        <v>27.9</v>
      </c>
      <c r="R11" s="50">
        <v>27.9</v>
      </c>
      <c r="S11" s="50">
        <v>26.8</v>
      </c>
      <c r="T11" s="50">
        <v>26.3</v>
      </c>
      <c r="U11" s="50">
        <v>26.7</v>
      </c>
      <c r="V11" s="50">
        <v>26.2</v>
      </c>
      <c r="W11" s="50">
        <v>26.8</v>
      </c>
      <c r="X11" s="50">
        <v>26.6</v>
      </c>
      <c r="Y11" s="50">
        <v>26</v>
      </c>
      <c r="Z11" s="50">
        <v>24.6</v>
      </c>
      <c r="AA11" s="48">
        <v>25.6</v>
      </c>
      <c r="AB11" s="48">
        <v>26.3</v>
      </c>
      <c r="AC11" s="48">
        <v>25.4</v>
      </c>
      <c r="AD11" s="48">
        <v>25.8</v>
      </c>
      <c r="AE11" s="48">
        <v>25</v>
      </c>
      <c r="AF11" s="48">
        <v>23</v>
      </c>
      <c r="AG11" s="51">
        <v>60</v>
      </c>
      <c r="AH11" s="52">
        <f>MAX(B11:AF11)</f>
        <v>29.6</v>
      </c>
      <c r="AI11" s="53">
        <f>MIN(B11:AF11)</f>
        <v>23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50.8</v>
      </c>
      <c r="C12" s="56">
        <v>50.5</v>
      </c>
      <c r="D12" s="56">
        <v>50.9</v>
      </c>
      <c r="E12" s="56">
        <v>50.9</v>
      </c>
      <c r="F12" s="56">
        <v>26</v>
      </c>
      <c r="G12" s="56">
        <v>50.8</v>
      </c>
      <c r="H12" s="56">
        <v>50.7</v>
      </c>
      <c r="I12" s="56">
        <v>51</v>
      </c>
      <c r="J12" s="56">
        <v>50.9</v>
      </c>
      <c r="K12" s="56">
        <v>50.7</v>
      </c>
      <c r="L12" s="49">
        <v>50.9</v>
      </c>
      <c r="M12" s="49">
        <v>50.6</v>
      </c>
      <c r="N12" s="49">
        <v>50.5</v>
      </c>
      <c r="O12" s="49">
        <v>50.4</v>
      </c>
      <c r="P12" s="49">
        <v>50.4</v>
      </c>
      <c r="Q12" s="49">
        <v>50.5</v>
      </c>
      <c r="R12" s="49">
        <v>50.1</v>
      </c>
      <c r="S12" s="49">
        <v>50.7</v>
      </c>
      <c r="T12" s="49">
        <v>50.5</v>
      </c>
      <c r="U12" s="49">
        <v>50.4</v>
      </c>
      <c r="V12" s="49">
        <v>50.3</v>
      </c>
      <c r="W12" s="49">
        <v>50.4</v>
      </c>
      <c r="X12" s="49">
        <v>50.1</v>
      </c>
      <c r="Y12" s="49">
        <v>50.5</v>
      </c>
      <c r="Z12" s="49">
        <v>50.3</v>
      </c>
      <c r="AA12" s="56">
        <v>50.4</v>
      </c>
      <c r="AB12" s="56">
        <v>50.4</v>
      </c>
      <c r="AC12" s="56">
        <v>50.9</v>
      </c>
      <c r="AD12" s="56">
        <v>50.7</v>
      </c>
      <c r="AE12" s="56">
        <v>50.5</v>
      </c>
      <c r="AF12" s="56">
        <v>50.5</v>
      </c>
      <c r="AG12" s="57">
        <v>50</v>
      </c>
      <c r="AH12" s="52">
        <f t="shared" ref="AH12:AH77" si="2">MAX(B12:AF12)</f>
        <v>51</v>
      </c>
      <c r="AI12" s="53">
        <f t="shared" ref="AI12:AI77" si="3">MIN(B12:AF12)</f>
        <v>26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24.2</v>
      </c>
      <c r="C13" s="56">
        <v>24.4</v>
      </c>
      <c r="D13" s="56">
        <v>24.1</v>
      </c>
      <c r="E13" s="56">
        <v>24.4</v>
      </c>
      <c r="F13" s="56">
        <v>22.9</v>
      </c>
      <c r="G13" s="56">
        <v>22.1</v>
      </c>
      <c r="H13" s="56">
        <v>23.1</v>
      </c>
      <c r="I13" s="56">
        <v>23</v>
      </c>
      <c r="J13" s="56">
        <v>22.1</v>
      </c>
      <c r="K13" s="56">
        <v>22</v>
      </c>
      <c r="L13" s="49">
        <v>22.1</v>
      </c>
      <c r="M13" s="49">
        <v>22.2</v>
      </c>
      <c r="N13" s="49">
        <v>22.1</v>
      </c>
      <c r="O13" s="49">
        <v>21.4</v>
      </c>
      <c r="P13" s="49">
        <v>21.4</v>
      </c>
      <c r="Q13" s="49">
        <v>21.2</v>
      </c>
      <c r="R13" s="49">
        <v>20.8</v>
      </c>
      <c r="S13" s="49">
        <v>21.3</v>
      </c>
      <c r="T13" s="49">
        <v>21.3</v>
      </c>
      <c r="U13" s="49">
        <v>22.9</v>
      </c>
      <c r="V13" s="49">
        <v>22.8</v>
      </c>
      <c r="W13" s="49">
        <v>22.1</v>
      </c>
      <c r="X13" s="49">
        <v>22.2</v>
      </c>
      <c r="Y13" s="49">
        <v>23.9</v>
      </c>
      <c r="Z13" s="49">
        <v>23.8</v>
      </c>
      <c r="AA13" s="56">
        <v>24</v>
      </c>
      <c r="AB13" s="56">
        <v>24</v>
      </c>
      <c r="AC13" s="56">
        <v>24.1</v>
      </c>
      <c r="AD13" s="56">
        <v>24.3</v>
      </c>
      <c r="AE13" s="56">
        <v>25.4</v>
      </c>
      <c r="AF13" s="56">
        <v>26.8</v>
      </c>
      <c r="AG13" s="59">
        <v>45</v>
      </c>
      <c r="AH13" s="52">
        <f t="shared" si="2"/>
        <v>26.8</v>
      </c>
      <c r="AI13" s="53">
        <f t="shared" si="3"/>
        <v>20.8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49">
        <v>16</v>
      </c>
      <c r="M14" s="49">
        <v>16</v>
      </c>
      <c r="N14" s="49">
        <v>16</v>
      </c>
      <c r="O14" s="49">
        <v>16</v>
      </c>
      <c r="P14" s="49">
        <v>16</v>
      </c>
      <c r="Q14" s="49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49">
        <v>16</v>
      </c>
      <c r="AB14" s="49">
        <v>16</v>
      </c>
      <c r="AC14" s="49">
        <v>16</v>
      </c>
      <c r="AD14" s="49">
        <v>16</v>
      </c>
      <c r="AE14" s="49">
        <v>16</v>
      </c>
      <c r="AF14" s="49">
        <v>16</v>
      </c>
      <c r="AG14" s="59">
        <v>25</v>
      </c>
      <c r="AH14" s="52">
        <f t="shared" si="2"/>
        <v>16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16.5</v>
      </c>
      <c r="C15" s="56">
        <v>14.2</v>
      </c>
      <c r="D15" s="56">
        <v>15.8</v>
      </c>
      <c r="E15" s="56">
        <v>13.7</v>
      </c>
      <c r="F15" s="56">
        <v>13.7</v>
      </c>
      <c r="G15" s="56">
        <v>14</v>
      </c>
      <c r="H15" s="56">
        <v>13.8</v>
      </c>
      <c r="I15" s="56">
        <v>13.9</v>
      </c>
      <c r="J15" s="56">
        <v>12.9</v>
      </c>
      <c r="K15" s="56">
        <v>13.6</v>
      </c>
      <c r="L15" s="49">
        <v>13.7</v>
      </c>
      <c r="M15" s="49">
        <v>14.2</v>
      </c>
      <c r="N15" s="49">
        <v>14.2</v>
      </c>
      <c r="O15" s="49">
        <v>14.2</v>
      </c>
      <c r="P15" s="49">
        <v>7.4</v>
      </c>
      <c r="Q15" s="49">
        <v>7</v>
      </c>
      <c r="R15" s="49">
        <v>14.2</v>
      </c>
      <c r="S15" s="49">
        <v>14.2</v>
      </c>
      <c r="T15" s="49">
        <v>14.2</v>
      </c>
      <c r="U15" s="49">
        <v>14.2</v>
      </c>
      <c r="V15" s="49">
        <v>14.2</v>
      </c>
      <c r="W15" s="49">
        <v>14.2</v>
      </c>
      <c r="X15" s="49">
        <v>14.2</v>
      </c>
      <c r="Y15" s="49">
        <v>14.2</v>
      </c>
      <c r="Z15" s="49">
        <v>14.2</v>
      </c>
      <c r="AA15" s="56">
        <v>14.2</v>
      </c>
      <c r="AB15" s="56">
        <v>14.2</v>
      </c>
      <c r="AC15" s="56">
        <v>14.2</v>
      </c>
      <c r="AD15" s="56">
        <v>14.2</v>
      </c>
      <c r="AE15" s="56">
        <v>14.2</v>
      </c>
      <c r="AF15" s="56">
        <v>14.2</v>
      </c>
      <c r="AG15" s="59">
        <v>25</v>
      </c>
      <c r="AH15" s="52">
        <f t="shared" si="2"/>
        <v>16.5</v>
      </c>
      <c r="AI15" s="53">
        <f t="shared" si="3"/>
        <v>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22.1</v>
      </c>
      <c r="C17" s="56">
        <v>22.3</v>
      </c>
      <c r="D17" s="56">
        <v>22.3</v>
      </c>
      <c r="E17" s="56">
        <v>22.3</v>
      </c>
      <c r="F17" s="56">
        <v>22.3</v>
      </c>
      <c r="G17" s="56">
        <v>21.9</v>
      </c>
      <c r="H17" s="56">
        <v>21.9</v>
      </c>
      <c r="I17" s="56">
        <v>21.3</v>
      </c>
      <c r="J17" s="56">
        <v>21.1</v>
      </c>
      <c r="K17" s="56">
        <v>21</v>
      </c>
      <c r="L17" s="49">
        <v>20</v>
      </c>
      <c r="M17" s="49">
        <v>20</v>
      </c>
      <c r="N17" s="49">
        <v>20</v>
      </c>
      <c r="O17" s="49">
        <v>20</v>
      </c>
      <c r="P17" s="49">
        <v>20</v>
      </c>
      <c r="Q17" s="49">
        <v>20</v>
      </c>
      <c r="R17" s="49">
        <v>20</v>
      </c>
      <c r="S17" s="49">
        <v>20.2</v>
      </c>
      <c r="T17" s="49">
        <v>19.8</v>
      </c>
      <c r="U17" s="49">
        <v>18.899999999999999</v>
      </c>
      <c r="V17" s="49">
        <v>18.8</v>
      </c>
      <c r="W17" s="49">
        <v>19.100000000000001</v>
      </c>
      <c r="X17" s="49">
        <v>19.899999999999999</v>
      </c>
      <c r="Y17" s="49">
        <v>20.7</v>
      </c>
      <c r="Z17" s="49">
        <v>20.5</v>
      </c>
      <c r="AA17" s="49">
        <v>21</v>
      </c>
      <c r="AB17" s="49">
        <v>21</v>
      </c>
      <c r="AC17" s="49">
        <v>21.4</v>
      </c>
      <c r="AD17" s="49">
        <v>21.4</v>
      </c>
      <c r="AE17" s="49">
        <v>21.4</v>
      </c>
      <c r="AF17" s="49">
        <v>21.4</v>
      </c>
      <c r="AG17" s="59">
        <v>22.1</v>
      </c>
      <c r="AH17" s="52">
        <f t="shared" si="2"/>
        <v>22.3</v>
      </c>
      <c r="AI17" s="53">
        <f t="shared" si="3"/>
        <v>18.8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11</v>
      </c>
      <c r="C19" s="56">
        <v>11.7</v>
      </c>
      <c r="D19" s="56">
        <v>11.2</v>
      </c>
      <c r="E19" s="56">
        <v>11.2</v>
      </c>
      <c r="F19" s="56">
        <v>11.2</v>
      </c>
      <c r="G19" s="56">
        <v>10.5</v>
      </c>
      <c r="H19" s="56">
        <v>10</v>
      </c>
      <c r="I19" s="56">
        <v>10.1</v>
      </c>
      <c r="J19" s="56">
        <v>10.199999999999999</v>
      </c>
      <c r="K19" s="56">
        <v>10.199999999999999</v>
      </c>
      <c r="L19" s="49">
        <v>10.199999999999999</v>
      </c>
      <c r="M19" s="49">
        <v>10.3</v>
      </c>
      <c r="N19" s="49">
        <v>8.6</v>
      </c>
      <c r="O19" s="49">
        <v>8.6</v>
      </c>
      <c r="P19" s="49">
        <v>8.1999999999999993</v>
      </c>
      <c r="Q19" s="49">
        <v>8.3000000000000007</v>
      </c>
      <c r="R19" s="49">
        <v>8.3000000000000007</v>
      </c>
      <c r="S19" s="49">
        <v>6.8</v>
      </c>
      <c r="T19" s="49">
        <v>8</v>
      </c>
      <c r="U19" s="49">
        <v>8.3000000000000007</v>
      </c>
      <c r="V19" s="49">
        <v>8.3000000000000007</v>
      </c>
      <c r="W19" s="49">
        <v>9</v>
      </c>
      <c r="X19" s="49">
        <v>9</v>
      </c>
      <c r="Y19" s="49">
        <v>9.1</v>
      </c>
      <c r="Z19" s="49">
        <v>9.4</v>
      </c>
      <c r="AA19" s="49">
        <v>10</v>
      </c>
      <c r="AB19" s="49">
        <v>10</v>
      </c>
      <c r="AC19" s="49">
        <v>10.1</v>
      </c>
      <c r="AD19" s="49">
        <v>11.1</v>
      </c>
      <c r="AE19" s="49">
        <v>11.9</v>
      </c>
      <c r="AF19" s="49">
        <v>11.9</v>
      </c>
      <c r="AG19" s="59">
        <v>22</v>
      </c>
      <c r="AH19" s="52">
        <f t="shared" si="2"/>
        <v>11.9</v>
      </c>
      <c r="AI19" s="53">
        <f t="shared" si="3"/>
        <v>6.8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7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56">
        <v>3.5</v>
      </c>
      <c r="M21" s="56">
        <v>3.5</v>
      </c>
      <c r="N21" s="56">
        <v>3.5</v>
      </c>
      <c r="O21" s="56">
        <v>3.5</v>
      </c>
      <c r="P21" s="56">
        <v>3.5</v>
      </c>
      <c r="Q21" s="56">
        <v>3.5</v>
      </c>
      <c r="R21" s="56">
        <v>3.5</v>
      </c>
      <c r="S21" s="56">
        <v>3.5</v>
      </c>
      <c r="T21" s="56">
        <v>3.5</v>
      </c>
      <c r="U21" s="56">
        <v>3.5</v>
      </c>
      <c r="V21" s="56">
        <v>3.5</v>
      </c>
      <c r="W21" s="56">
        <v>3.5</v>
      </c>
      <c r="X21" s="56">
        <v>3.5</v>
      </c>
      <c r="Y21" s="56">
        <v>3.5</v>
      </c>
      <c r="Z21" s="56">
        <v>3.5</v>
      </c>
      <c r="AA21" s="56">
        <v>3.5</v>
      </c>
      <c r="AB21" s="56">
        <v>3.5</v>
      </c>
      <c r="AC21" s="56">
        <v>3.5</v>
      </c>
      <c r="AD21" s="56">
        <v>3.5</v>
      </c>
      <c r="AE21" s="56">
        <v>3.5</v>
      </c>
      <c r="AF21" s="56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3.5</v>
      </c>
      <c r="AA24" s="56">
        <v>3.5</v>
      </c>
      <c r="AB24" s="56">
        <v>3.5</v>
      </c>
      <c r="AC24" s="56">
        <v>3.5</v>
      </c>
      <c r="AD24" s="56">
        <v>3.5</v>
      </c>
      <c r="AE24" s="56">
        <v>3.5</v>
      </c>
      <c r="AF24" s="56">
        <v>3.5</v>
      </c>
      <c r="AG24" s="59">
        <v>12</v>
      </c>
      <c r="AH24" s="52">
        <f t="shared" si="2"/>
        <v>3.5</v>
      </c>
      <c r="AI24" s="53">
        <f t="shared" si="3"/>
        <v>3.5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34.4</v>
      </c>
      <c r="C29" s="56">
        <v>34.5</v>
      </c>
      <c r="D29" s="56">
        <v>36.1</v>
      </c>
      <c r="E29" s="56">
        <v>38.1</v>
      </c>
      <c r="F29" s="56">
        <v>37.1</v>
      </c>
      <c r="G29" s="56">
        <v>36.700000000000003</v>
      </c>
      <c r="H29" s="56">
        <v>35.200000000000003</v>
      </c>
      <c r="I29" s="56">
        <v>34.700000000000003</v>
      </c>
      <c r="J29" s="56">
        <v>28</v>
      </c>
      <c r="K29" s="56">
        <v>32.1</v>
      </c>
      <c r="L29" s="67">
        <v>31.8</v>
      </c>
      <c r="M29" s="67">
        <v>31.6</v>
      </c>
      <c r="N29" s="67">
        <v>33.4</v>
      </c>
      <c r="O29" s="67">
        <v>31.8</v>
      </c>
      <c r="P29" s="67">
        <v>32.4</v>
      </c>
      <c r="Q29" s="67">
        <v>36.200000000000003</v>
      </c>
      <c r="R29" s="67">
        <v>32.799999999999997</v>
      </c>
      <c r="S29" s="67">
        <v>31.8</v>
      </c>
      <c r="T29" s="67">
        <v>30</v>
      </c>
      <c r="U29" s="67">
        <v>30.6</v>
      </c>
      <c r="V29" s="67">
        <v>31</v>
      </c>
      <c r="W29" s="67">
        <v>30.5</v>
      </c>
      <c r="X29" s="67">
        <v>29.7</v>
      </c>
      <c r="Y29" s="67">
        <v>30.5</v>
      </c>
      <c r="Z29" s="67">
        <v>30.5</v>
      </c>
      <c r="AA29" s="67">
        <v>28</v>
      </c>
      <c r="AB29" s="67">
        <v>28</v>
      </c>
      <c r="AC29" s="67">
        <v>27.6</v>
      </c>
      <c r="AD29" s="67">
        <v>31.8</v>
      </c>
      <c r="AE29" s="56">
        <v>31.9</v>
      </c>
      <c r="AF29" s="56">
        <v>31.2</v>
      </c>
      <c r="AG29" s="59">
        <v>240</v>
      </c>
      <c r="AH29" s="52">
        <f t="shared" si="2"/>
        <v>38.1</v>
      </c>
      <c r="AI29" s="53">
        <f t="shared" si="3"/>
        <v>27.6</v>
      </c>
      <c r="AK29" s="54"/>
    </row>
    <row r="30" spans="1:88" ht="15.75" thickBot="1" x14ac:dyDescent="0.3">
      <c r="A30" s="68" t="s">
        <v>37</v>
      </c>
      <c r="B30" s="69">
        <f t="shared" ref="B30:AF30" si="4">SUM(B11:B28)</f>
        <v>304.39999999999998</v>
      </c>
      <c r="C30" s="69">
        <f t="shared" si="4"/>
        <v>305</v>
      </c>
      <c r="D30" s="69">
        <f t="shared" si="4"/>
        <v>305</v>
      </c>
      <c r="E30" s="69">
        <f t="shared" si="4"/>
        <v>305.09999999999997</v>
      </c>
      <c r="F30" s="69">
        <f t="shared" si="4"/>
        <v>279.39999999999998</v>
      </c>
      <c r="G30" s="69">
        <f t="shared" si="4"/>
        <v>302.89999999999998</v>
      </c>
      <c r="H30" s="69">
        <f t="shared" si="4"/>
        <v>303.79999999999995</v>
      </c>
      <c r="I30" s="69">
        <f t="shared" si="4"/>
        <v>304.29999999999995</v>
      </c>
      <c r="J30" s="69">
        <f t="shared" si="4"/>
        <v>302</v>
      </c>
      <c r="K30" s="69">
        <f t="shared" si="4"/>
        <v>302.19999999999993</v>
      </c>
      <c r="L30" s="69">
        <f t="shared" si="4"/>
        <v>300.59999999999997</v>
      </c>
      <c r="M30" s="69">
        <f t="shared" si="4"/>
        <v>301.39999999999998</v>
      </c>
      <c r="N30" s="69">
        <f t="shared" si="4"/>
        <v>298.79999999999995</v>
      </c>
      <c r="O30" s="69">
        <f t="shared" si="4"/>
        <v>298.5</v>
      </c>
      <c r="P30" s="69">
        <f t="shared" si="4"/>
        <v>290.89999999999998</v>
      </c>
      <c r="Q30" s="69">
        <f t="shared" si="4"/>
        <v>290.3</v>
      </c>
      <c r="R30" s="69">
        <f t="shared" si="4"/>
        <v>296.7</v>
      </c>
      <c r="S30" s="69">
        <f t="shared" si="4"/>
        <v>295.39999999999998</v>
      </c>
      <c r="T30" s="69">
        <f t="shared" si="4"/>
        <v>295.5</v>
      </c>
      <c r="U30" s="69">
        <f t="shared" si="4"/>
        <v>296.79999999999995</v>
      </c>
      <c r="V30" s="69">
        <f>SUM(V11:V28)</f>
        <v>296</v>
      </c>
      <c r="W30" s="69">
        <f t="shared" si="4"/>
        <v>297</v>
      </c>
      <c r="X30" s="69">
        <f t="shared" si="4"/>
        <v>297.39999999999998</v>
      </c>
      <c r="Y30" s="69">
        <f t="shared" si="4"/>
        <v>299.79999999999995</v>
      </c>
      <c r="Z30" s="69">
        <f t="shared" si="4"/>
        <v>298.2</v>
      </c>
      <c r="AA30" s="69">
        <f t="shared" si="4"/>
        <v>300.59999999999997</v>
      </c>
      <c r="AB30" s="69">
        <f t="shared" si="4"/>
        <v>301.29999999999995</v>
      </c>
      <c r="AC30" s="69">
        <f t="shared" si="4"/>
        <v>301.5</v>
      </c>
      <c r="AD30" s="69">
        <f t="shared" si="4"/>
        <v>302.89999999999998</v>
      </c>
      <c r="AE30" s="69">
        <f t="shared" si="4"/>
        <v>303.79999999999995</v>
      </c>
      <c r="AF30" s="69">
        <f t="shared" si="4"/>
        <v>303.2</v>
      </c>
      <c r="AG30" s="59">
        <f>SUM(AG11:AG29)</f>
        <v>729.2</v>
      </c>
      <c r="AH30" s="52">
        <f t="shared" si="2"/>
        <v>305.09999999999997</v>
      </c>
      <c r="AI30" s="53">
        <f t="shared" si="3"/>
        <v>279.39999999999998</v>
      </c>
      <c r="AK30" s="54"/>
    </row>
    <row r="31" spans="1:88" x14ac:dyDescent="0.25">
      <c r="A31" s="55" t="s">
        <v>38</v>
      </c>
      <c r="B31" s="56">
        <v>96.8</v>
      </c>
      <c r="C31" s="56">
        <v>96.8</v>
      </c>
      <c r="D31" s="56">
        <v>96.9</v>
      </c>
      <c r="E31" s="56">
        <v>91</v>
      </c>
      <c r="F31" s="56">
        <v>90.9</v>
      </c>
      <c r="G31" s="56">
        <v>96.7</v>
      </c>
      <c r="H31" s="56">
        <v>97.1</v>
      </c>
      <c r="I31" s="56">
        <v>96.9</v>
      </c>
      <c r="J31" s="56">
        <v>96.8</v>
      </c>
      <c r="K31" s="56">
        <v>96.9</v>
      </c>
      <c r="L31" s="49">
        <v>97</v>
      </c>
      <c r="M31" s="49">
        <v>97</v>
      </c>
      <c r="N31" s="49">
        <v>97</v>
      </c>
      <c r="O31" s="49">
        <v>97</v>
      </c>
      <c r="P31" s="49">
        <v>97</v>
      </c>
      <c r="Q31" s="49">
        <v>96.9</v>
      </c>
      <c r="R31" s="49">
        <v>96.9</v>
      </c>
      <c r="S31" s="49">
        <v>96.9</v>
      </c>
      <c r="T31" s="49">
        <v>97</v>
      </c>
      <c r="U31" s="49">
        <v>97</v>
      </c>
      <c r="V31" s="49">
        <v>96.9</v>
      </c>
      <c r="W31" s="49">
        <v>97</v>
      </c>
      <c r="X31" s="49">
        <v>97.1</v>
      </c>
      <c r="Y31" s="49">
        <v>97</v>
      </c>
      <c r="Z31" s="49">
        <v>97</v>
      </c>
      <c r="AA31" s="48">
        <v>97</v>
      </c>
      <c r="AB31" s="48">
        <v>97</v>
      </c>
      <c r="AC31" s="48">
        <v>96.9</v>
      </c>
      <c r="AD31" s="48">
        <v>96.9</v>
      </c>
      <c r="AE31" s="48">
        <v>96.9</v>
      </c>
      <c r="AF31" s="48">
        <v>96.7</v>
      </c>
      <c r="AG31" s="57">
        <v>144</v>
      </c>
      <c r="AH31" s="52">
        <f t="shared" si="2"/>
        <v>97.1</v>
      </c>
      <c r="AI31" s="53">
        <f t="shared" si="3"/>
        <v>90.9</v>
      </c>
      <c r="AK31" s="54"/>
    </row>
    <row r="32" spans="1:88" x14ac:dyDescent="0.25">
      <c r="A32" s="58" t="s">
        <v>39</v>
      </c>
      <c r="B32" s="56">
        <v>24.2</v>
      </c>
      <c r="C32" s="56">
        <v>24.8</v>
      </c>
      <c r="D32" s="56">
        <v>24.9</v>
      </c>
      <c r="E32" s="56">
        <v>26.5</v>
      </c>
      <c r="F32" s="56">
        <v>26.1</v>
      </c>
      <c r="G32" s="56">
        <v>46.8</v>
      </c>
      <c r="H32" s="56">
        <v>45.1</v>
      </c>
      <c r="I32" s="56">
        <v>55.3</v>
      </c>
      <c r="J32" s="56">
        <v>69.3</v>
      </c>
      <c r="K32" s="56">
        <v>69.2</v>
      </c>
      <c r="L32" s="70">
        <v>67</v>
      </c>
      <c r="M32" s="70">
        <v>59.3</v>
      </c>
      <c r="N32" s="70">
        <v>60</v>
      </c>
      <c r="O32" s="70">
        <v>56.1</v>
      </c>
      <c r="P32" s="70">
        <v>60.4</v>
      </c>
      <c r="Q32" s="70">
        <v>50.3</v>
      </c>
      <c r="R32" s="70">
        <v>49.6</v>
      </c>
      <c r="S32" s="70">
        <v>50.5</v>
      </c>
      <c r="T32" s="70">
        <v>44.7</v>
      </c>
      <c r="U32" s="70">
        <v>44.8</v>
      </c>
      <c r="V32" s="70">
        <v>50.9</v>
      </c>
      <c r="W32" s="70">
        <v>50.8</v>
      </c>
      <c r="X32" s="70">
        <v>50.1</v>
      </c>
      <c r="Y32" s="70">
        <v>55.1</v>
      </c>
      <c r="Z32" s="70">
        <v>69.7</v>
      </c>
      <c r="AA32" s="56">
        <v>69.3</v>
      </c>
      <c r="AB32" s="56">
        <v>69.3</v>
      </c>
      <c r="AC32" s="56">
        <v>60.4</v>
      </c>
      <c r="AD32" s="56">
        <v>49.9</v>
      </c>
      <c r="AE32" s="56">
        <v>34.5</v>
      </c>
      <c r="AF32" s="56">
        <v>34.700000000000003</v>
      </c>
      <c r="AG32" s="59">
        <v>70</v>
      </c>
      <c r="AH32" s="52">
        <f t="shared" si="2"/>
        <v>69.7</v>
      </c>
      <c r="AI32" s="53">
        <f t="shared" si="3"/>
        <v>24.2</v>
      </c>
      <c r="AK32" s="54"/>
    </row>
    <row r="33" spans="1:41" x14ac:dyDescent="0.25">
      <c r="A33" s="58" t="s">
        <v>40</v>
      </c>
      <c r="B33" s="56">
        <v>34.700000000000003</v>
      </c>
      <c r="C33" s="56">
        <v>34.9</v>
      </c>
      <c r="D33" s="56">
        <v>35</v>
      </c>
      <c r="E33" s="56">
        <v>35.1</v>
      </c>
      <c r="F33" s="56">
        <v>35.1</v>
      </c>
      <c r="G33" s="56">
        <v>35.1</v>
      </c>
      <c r="H33" s="56">
        <v>35.1</v>
      </c>
      <c r="I33" s="56">
        <v>65.599999999999994</v>
      </c>
      <c r="J33" s="56">
        <v>65.400000000000006</v>
      </c>
      <c r="K33" s="56">
        <v>65.3</v>
      </c>
      <c r="L33" s="70">
        <v>52.9</v>
      </c>
      <c r="M33" s="70">
        <v>53</v>
      </c>
      <c r="N33" s="70">
        <v>45.6</v>
      </c>
      <c r="O33" s="70">
        <v>44.3</v>
      </c>
      <c r="P33" s="70">
        <v>45.4</v>
      </c>
      <c r="Q33" s="70">
        <v>45.9</v>
      </c>
      <c r="R33" s="70">
        <v>43.4</v>
      </c>
      <c r="S33" s="70">
        <v>43.1</v>
      </c>
      <c r="T33" s="70">
        <v>55.6</v>
      </c>
      <c r="U33" s="70">
        <v>67.599999999999994</v>
      </c>
      <c r="V33" s="70">
        <v>66.400000000000006</v>
      </c>
      <c r="W33" s="70">
        <v>66.5</v>
      </c>
      <c r="X33" s="70">
        <v>66.599999999999994</v>
      </c>
      <c r="Y33" s="70">
        <v>65.599999999999994</v>
      </c>
      <c r="Z33" s="70">
        <v>65.900000000000006</v>
      </c>
      <c r="AA33" s="56">
        <v>65.900000000000006</v>
      </c>
      <c r="AB33" s="56">
        <v>65.900000000000006</v>
      </c>
      <c r="AC33" s="56">
        <v>65.8</v>
      </c>
      <c r="AD33" s="56">
        <v>65.5</v>
      </c>
      <c r="AE33" s="56">
        <v>65.599999999999994</v>
      </c>
      <c r="AF33" s="56">
        <v>65.400000000000006</v>
      </c>
      <c r="AG33" s="59">
        <v>69</v>
      </c>
      <c r="AH33" s="52">
        <f t="shared" si="2"/>
        <v>67.599999999999994</v>
      </c>
      <c r="AI33" s="53">
        <f t="shared" si="3"/>
        <v>34.700000000000003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28.7</v>
      </c>
      <c r="E34" s="56">
        <v>28.7</v>
      </c>
      <c r="F34" s="56">
        <v>28.5</v>
      </c>
      <c r="G34" s="56">
        <v>28.2</v>
      </c>
      <c r="H34" s="56">
        <v>28.2</v>
      </c>
      <c r="I34" s="56">
        <v>28.2</v>
      </c>
      <c r="J34" s="56">
        <v>28.2</v>
      </c>
      <c r="K34" s="56">
        <v>28.2</v>
      </c>
      <c r="L34" s="70">
        <v>28.3</v>
      </c>
      <c r="M34" s="70">
        <v>28.5</v>
      </c>
      <c r="N34" s="70">
        <v>28.6</v>
      </c>
      <c r="O34" s="70">
        <v>28.2</v>
      </c>
      <c r="P34" s="70">
        <v>28.2</v>
      </c>
      <c r="Q34" s="70">
        <v>28.5</v>
      </c>
      <c r="R34" s="70">
        <v>28.2</v>
      </c>
      <c r="S34" s="70">
        <v>28.2</v>
      </c>
      <c r="T34" s="70">
        <v>28.2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30</v>
      </c>
      <c r="C35" s="56">
        <v>30</v>
      </c>
      <c r="D35" s="56">
        <v>30</v>
      </c>
      <c r="E35" s="56">
        <v>30</v>
      </c>
      <c r="F35" s="56">
        <v>29.8</v>
      </c>
      <c r="G35" s="56">
        <v>30</v>
      </c>
      <c r="H35" s="56">
        <v>29.8</v>
      </c>
      <c r="I35" s="56">
        <v>21</v>
      </c>
      <c r="J35" s="56">
        <v>20</v>
      </c>
      <c r="K35" s="56">
        <v>20</v>
      </c>
      <c r="L35" s="49">
        <v>20.7</v>
      </c>
      <c r="M35" s="49">
        <v>20</v>
      </c>
      <c r="N35" s="49">
        <v>30</v>
      </c>
      <c r="O35" s="49">
        <v>29.7</v>
      </c>
      <c r="P35" s="49">
        <v>25</v>
      </c>
      <c r="Q35" s="49">
        <v>25.1</v>
      </c>
      <c r="R35" s="49">
        <v>25</v>
      </c>
      <c r="S35" s="49">
        <v>29.5</v>
      </c>
      <c r="T35" s="49">
        <v>29.7</v>
      </c>
      <c r="U35" s="49">
        <v>29.7</v>
      </c>
      <c r="V35" s="70">
        <v>29.8</v>
      </c>
      <c r="W35" s="70">
        <v>29.9</v>
      </c>
      <c r="X35" s="70">
        <v>29.8</v>
      </c>
      <c r="Y35" s="70">
        <v>29.8</v>
      </c>
      <c r="Z35" s="70">
        <v>29.8</v>
      </c>
      <c r="AA35" s="56">
        <v>30</v>
      </c>
      <c r="AB35" s="56">
        <v>30</v>
      </c>
      <c r="AC35" s="56">
        <v>29.8</v>
      </c>
      <c r="AD35" s="56">
        <v>30</v>
      </c>
      <c r="AE35" s="56">
        <v>29.8</v>
      </c>
      <c r="AF35" s="56">
        <v>29.8</v>
      </c>
      <c r="AG35" s="59">
        <v>30</v>
      </c>
      <c r="AH35" s="52">
        <f t="shared" si="2"/>
        <v>30</v>
      </c>
      <c r="AI35" s="53">
        <f t="shared" si="3"/>
        <v>20</v>
      </c>
      <c r="AK35" s="54"/>
    </row>
    <row r="36" spans="1:41" x14ac:dyDescent="0.25">
      <c r="A36" s="58" t="s">
        <v>43</v>
      </c>
      <c r="B36" s="71">
        <v>17.2</v>
      </c>
      <c r="C36" s="71">
        <v>17.100000000000001</v>
      </c>
      <c r="D36" s="71">
        <v>17.100000000000001</v>
      </c>
      <c r="E36" s="71">
        <v>17.100000000000001</v>
      </c>
      <c r="F36" s="71">
        <v>17.2</v>
      </c>
      <c r="G36" s="71">
        <v>17.100000000000001</v>
      </c>
      <c r="H36" s="71">
        <v>17.2</v>
      </c>
      <c r="I36" s="71">
        <v>17.100000000000001</v>
      </c>
      <c r="J36" s="71">
        <v>17.100000000000001</v>
      </c>
      <c r="K36" s="71">
        <v>17.100000000000001</v>
      </c>
      <c r="L36" s="49">
        <v>17.100000000000001</v>
      </c>
      <c r="M36" s="49">
        <v>17.100000000000001</v>
      </c>
      <c r="N36" s="49">
        <v>17</v>
      </c>
      <c r="O36" s="49">
        <v>17.100000000000001</v>
      </c>
      <c r="P36" s="49">
        <v>17.100000000000001</v>
      </c>
      <c r="Q36" s="49">
        <v>17.100000000000001</v>
      </c>
      <c r="R36" s="49">
        <v>17.3</v>
      </c>
      <c r="S36" s="49">
        <v>17.100000000000001</v>
      </c>
      <c r="T36" s="49">
        <v>17.100000000000001</v>
      </c>
      <c r="U36" s="49">
        <v>16.600000000000001</v>
      </c>
      <c r="V36" s="49">
        <v>17.399999999999999</v>
      </c>
      <c r="W36" s="49">
        <v>14.8</v>
      </c>
      <c r="X36" s="49">
        <v>14.8</v>
      </c>
      <c r="Y36" s="49">
        <v>14.9</v>
      </c>
      <c r="Z36" s="49">
        <v>14.9</v>
      </c>
      <c r="AA36" s="56">
        <v>12.8</v>
      </c>
      <c r="AB36" s="56">
        <v>12.8</v>
      </c>
      <c r="AC36" s="56">
        <v>11.3</v>
      </c>
      <c r="AD36" s="56">
        <v>11.4</v>
      </c>
      <c r="AE36" s="56">
        <v>11.4</v>
      </c>
      <c r="AF36" s="56">
        <v>11.4</v>
      </c>
      <c r="AG36" s="59">
        <v>24</v>
      </c>
      <c r="AH36" s="52">
        <f t="shared" si="2"/>
        <v>17.399999999999999</v>
      </c>
      <c r="AI36" s="53">
        <f t="shared" si="3"/>
        <v>11.3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49">
        <v>13</v>
      </c>
      <c r="M38" s="49">
        <v>13</v>
      </c>
      <c r="N38" s="49">
        <v>13</v>
      </c>
      <c r="O38" s="49">
        <v>13</v>
      </c>
      <c r="P38" s="49">
        <v>13</v>
      </c>
      <c r="Q38" s="49">
        <v>13</v>
      </c>
      <c r="R38" s="49">
        <v>13</v>
      </c>
      <c r="S38" s="49">
        <v>12.5</v>
      </c>
      <c r="T38" s="49">
        <v>12.5</v>
      </c>
      <c r="U38" s="49">
        <v>12.5</v>
      </c>
      <c r="V38" s="49">
        <v>12.5</v>
      </c>
      <c r="W38" s="49">
        <v>12.5</v>
      </c>
      <c r="X38" s="49">
        <v>12.5</v>
      </c>
      <c r="Y38" s="49">
        <v>12.5</v>
      </c>
      <c r="Z38" s="49">
        <v>12.5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9</v>
      </c>
      <c r="C39" s="71">
        <v>9</v>
      </c>
      <c r="D39" s="71">
        <v>9</v>
      </c>
      <c r="E39" s="71">
        <v>9</v>
      </c>
      <c r="F39" s="71">
        <v>9</v>
      </c>
      <c r="G39" s="71">
        <v>9</v>
      </c>
      <c r="H39" s="71">
        <v>9</v>
      </c>
      <c r="I39" s="71">
        <v>9</v>
      </c>
      <c r="J39" s="71">
        <v>9</v>
      </c>
      <c r="K39" s="71">
        <v>9</v>
      </c>
      <c r="L39" s="49">
        <v>9</v>
      </c>
      <c r="M39" s="49">
        <v>9</v>
      </c>
      <c r="N39" s="49">
        <v>9</v>
      </c>
      <c r="O39" s="49">
        <v>9</v>
      </c>
      <c r="P39" s="49">
        <v>9</v>
      </c>
      <c r="Q39" s="49">
        <v>9</v>
      </c>
      <c r="R39" s="49">
        <v>9</v>
      </c>
      <c r="S39" s="49">
        <v>8</v>
      </c>
      <c r="T39" s="49">
        <v>8</v>
      </c>
      <c r="U39" s="49">
        <v>8</v>
      </c>
      <c r="V39" s="49">
        <v>8</v>
      </c>
      <c r="W39" s="49">
        <v>8</v>
      </c>
      <c r="X39" s="49">
        <v>8</v>
      </c>
      <c r="Y39" s="49">
        <v>8</v>
      </c>
      <c r="Z39" s="49">
        <v>8</v>
      </c>
      <c r="AA39" s="49">
        <v>8</v>
      </c>
      <c r="AB39" s="49">
        <v>8</v>
      </c>
      <c r="AC39" s="49">
        <v>8</v>
      </c>
      <c r="AD39" s="49">
        <v>8</v>
      </c>
      <c r="AE39" s="49">
        <v>8</v>
      </c>
      <c r="AF39" s="49">
        <v>8</v>
      </c>
      <c r="AG39" s="59">
        <v>14</v>
      </c>
      <c r="AH39" s="52">
        <f t="shared" si="2"/>
        <v>9</v>
      </c>
      <c r="AI39" s="53">
        <f t="shared" si="3"/>
        <v>8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5.0999999999999996</v>
      </c>
      <c r="C40" s="56">
        <v>5.0999999999999996</v>
      </c>
      <c r="D40" s="56">
        <v>5.0999999999999996</v>
      </c>
      <c r="E40" s="56">
        <v>5.0999999999999996</v>
      </c>
      <c r="F40" s="56">
        <v>5.0999999999999996</v>
      </c>
      <c r="G40" s="56">
        <v>5.6</v>
      </c>
      <c r="H40" s="56">
        <v>5.6</v>
      </c>
      <c r="I40" s="56">
        <v>5.6</v>
      </c>
      <c r="J40" s="56">
        <v>5.6</v>
      </c>
      <c r="K40" s="56">
        <v>5.6</v>
      </c>
      <c r="L40" s="49">
        <v>5.6</v>
      </c>
      <c r="M40" s="49">
        <v>5.6</v>
      </c>
      <c r="N40" s="49">
        <v>5.6</v>
      </c>
      <c r="O40" s="49">
        <v>5.6</v>
      </c>
      <c r="P40" s="49">
        <v>5.6</v>
      </c>
      <c r="Q40" s="49">
        <v>5.6</v>
      </c>
      <c r="R40" s="49">
        <v>5.6</v>
      </c>
      <c r="S40" s="49">
        <v>4</v>
      </c>
      <c r="T40" s="49">
        <v>4</v>
      </c>
      <c r="U40" s="49">
        <v>6.1</v>
      </c>
      <c r="V40" s="49">
        <v>5.7</v>
      </c>
      <c r="W40" s="49">
        <v>5.3</v>
      </c>
      <c r="X40" s="49">
        <v>4.5999999999999996</v>
      </c>
      <c r="Y40" s="49">
        <v>4.5999999999999996</v>
      </c>
      <c r="Z40" s="49">
        <v>4.5999999999999996</v>
      </c>
      <c r="AA40" s="56">
        <v>4.5999999999999996</v>
      </c>
      <c r="AB40" s="56">
        <v>4.5999999999999996</v>
      </c>
      <c r="AC40" s="56">
        <v>5</v>
      </c>
      <c r="AD40" s="56">
        <v>5</v>
      </c>
      <c r="AE40" s="56">
        <v>5</v>
      </c>
      <c r="AF40" s="56">
        <v>5</v>
      </c>
      <c r="AG40" s="59">
        <v>10.050000000000001</v>
      </c>
      <c r="AH40" s="52">
        <f t="shared" si="2"/>
        <v>6.1</v>
      </c>
      <c r="AI40" s="53">
        <f t="shared" si="3"/>
        <v>4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3</v>
      </c>
      <c r="H41" s="56">
        <v>3</v>
      </c>
      <c r="I41" s="56">
        <v>3</v>
      </c>
      <c r="J41" s="56">
        <v>3</v>
      </c>
      <c r="K41" s="56">
        <v>3</v>
      </c>
      <c r="L41" s="49">
        <v>3.1</v>
      </c>
      <c r="M41" s="49">
        <v>3.1</v>
      </c>
      <c r="N41" s="49">
        <v>3.1</v>
      </c>
      <c r="O41" s="49">
        <v>3.1</v>
      </c>
      <c r="P41" s="49">
        <v>3.1</v>
      </c>
      <c r="Q41" s="49">
        <v>3.2</v>
      </c>
      <c r="R41" s="49">
        <v>3.2</v>
      </c>
      <c r="S41" s="49">
        <v>3.2</v>
      </c>
      <c r="T41" s="49">
        <v>3.2</v>
      </c>
      <c r="U41" s="49">
        <v>3.2</v>
      </c>
      <c r="V41" s="49">
        <v>3.2</v>
      </c>
      <c r="W41" s="49">
        <v>3.2</v>
      </c>
      <c r="X41" s="49">
        <v>3.2</v>
      </c>
      <c r="Y41" s="49">
        <v>3.2</v>
      </c>
      <c r="Z41" s="49">
        <v>3.2</v>
      </c>
      <c r="AA41" s="56">
        <v>3.2</v>
      </c>
      <c r="AB41" s="56">
        <v>3.2</v>
      </c>
      <c r="AC41" s="56">
        <v>3.2</v>
      </c>
      <c r="AD41" s="56">
        <v>3.2</v>
      </c>
      <c r="AE41" s="56">
        <v>3.2</v>
      </c>
      <c r="AF41" s="56">
        <v>3.2</v>
      </c>
      <c r="AG41" s="59">
        <v>6.2</v>
      </c>
      <c r="AH41" s="52">
        <f t="shared" si="2"/>
        <v>3.2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261.54000000000002</v>
      </c>
      <c r="C43" s="69">
        <f t="shared" si="6"/>
        <v>262.24</v>
      </c>
      <c r="D43" s="69">
        <f t="shared" si="6"/>
        <v>262.74</v>
      </c>
      <c r="E43" s="69">
        <f t="shared" si="6"/>
        <v>258.53999999999996</v>
      </c>
      <c r="F43" s="69">
        <f t="shared" si="6"/>
        <v>257.74</v>
      </c>
      <c r="G43" s="69">
        <f t="shared" si="6"/>
        <v>288.04000000000002</v>
      </c>
      <c r="H43" s="69">
        <f t="shared" si="6"/>
        <v>286.64000000000004</v>
      </c>
      <c r="I43" s="69">
        <f t="shared" si="6"/>
        <v>318.24000000000007</v>
      </c>
      <c r="J43" s="69">
        <f t="shared" si="6"/>
        <v>330.94000000000005</v>
      </c>
      <c r="K43" s="69">
        <f t="shared" si="6"/>
        <v>330.84000000000009</v>
      </c>
      <c r="L43" s="69">
        <f t="shared" si="6"/>
        <v>317.24000000000012</v>
      </c>
      <c r="M43" s="69">
        <f t="shared" si="6"/>
        <v>309.1400000000001</v>
      </c>
      <c r="N43" s="69">
        <f t="shared" si="6"/>
        <v>312.44000000000005</v>
      </c>
      <c r="O43" s="69">
        <f t="shared" si="6"/>
        <v>306.64000000000004</v>
      </c>
      <c r="P43" s="69">
        <f t="shared" si="6"/>
        <v>307.34000000000009</v>
      </c>
      <c r="Q43" s="69">
        <f t="shared" si="6"/>
        <v>298.14000000000004</v>
      </c>
      <c r="R43" s="69">
        <f t="shared" si="6"/>
        <v>294.74</v>
      </c>
      <c r="S43" s="69">
        <f t="shared" si="6"/>
        <v>296.54000000000002</v>
      </c>
      <c r="T43" s="69">
        <f t="shared" si="6"/>
        <v>303.53999999999996</v>
      </c>
      <c r="U43" s="69">
        <f t="shared" si="6"/>
        <v>317.54000000000008</v>
      </c>
      <c r="V43" s="69">
        <f t="shared" si="6"/>
        <v>322.83999999999997</v>
      </c>
      <c r="W43" s="69">
        <f t="shared" si="6"/>
        <v>320.04000000000002</v>
      </c>
      <c r="X43" s="69">
        <f t="shared" si="6"/>
        <v>318.74</v>
      </c>
      <c r="Y43" s="69">
        <f t="shared" si="6"/>
        <v>322.74</v>
      </c>
      <c r="Z43" s="69">
        <f t="shared" si="6"/>
        <v>337.64000000000004</v>
      </c>
      <c r="AA43" s="69">
        <f t="shared" si="6"/>
        <v>332.84000000000009</v>
      </c>
      <c r="AB43" s="69">
        <f t="shared" si="6"/>
        <v>332.84000000000009</v>
      </c>
      <c r="AC43" s="69">
        <f t="shared" si="6"/>
        <v>322.44000000000005</v>
      </c>
      <c r="AD43" s="69">
        <f t="shared" si="6"/>
        <v>311.94</v>
      </c>
      <c r="AE43" s="69">
        <f t="shared" si="6"/>
        <v>296.44</v>
      </c>
      <c r="AF43" s="69">
        <f t="shared" si="6"/>
        <v>296.24</v>
      </c>
      <c r="AG43" s="74">
        <f>SUM(AG31:AG42)</f>
        <v>464.91</v>
      </c>
      <c r="AH43" s="52">
        <f t="shared" si="2"/>
        <v>337.64000000000004</v>
      </c>
      <c r="AI43" s="53">
        <f t="shared" si="3"/>
        <v>257.74</v>
      </c>
      <c r="AK43" s="54"/>
    </row>
    <row r="44" spans="1:41" x14ac:dyDescent="0.25">
      <c r="A44" s="55" t="s">
        <v>51</v>
      </c>
      <c r="B44" s="56">
        <v>39.5</v>
      </c>
      <c r="C44" s="56">
        <v>39.4</v>
      </c>
      <c r="D44" s="56">
        <v>29.4</v>
      </c>
      <c r="E44" s="56">
        <v>29.2</v>
      </c>
      <c r="F44" s="56">
        <v>29.5</v>
      </c>
      <c r="G44" s="56">
        <v>20</v>
      </c>
      <c r="H44" s="56">
        <v>13.7</v>
      </c>
      <c r="I44" s="56">
        <v>14</v>
      </c>
      <c r="J44" s="56">
        <v>19.8</v>
      </c>
      <c r="K44" s="56">
        <v>19.8</v>
      </c>
      <c r="L44" s="75">
        <v>30</v>
      </c>
      <c r="M44" s="75">
        <v>15</v>
      </c>
      <c r="N44" s="75">
        <v>20.3</v>
      </c>
      <c r="O44" s="75">
        <v>24</v>
      </c>
      <c r="P44" s="49">
        <v>29.4</v>
      </c>
      <c r="Q44" s="49">
        <v>20.3</v>
      </c>
      <c r="R44" s="49">
        <v>20.3</v>
      </c>
      <c r="S44" s="49">
        <v>20.3</v>
      </c>
      <c r="T44" s="49">
        <v>10.3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43.6</v>
      </c>
      <c r="AA44" s="49">
        <v>59</v>
      </c>
      <c r="AB44" s="49">
        <v>59</v>
      </c>
      <c r="AC44" s="49">
        <v>59</v>
      </c>
      <c r="AD44" s="49">
        <v>59.5</v>
      </c>
      <c r="AE44" s="49">
        <v>59.3</v>
      </c>
      <c r="AF44" s="49">
        <v>50</v>
      </c>
      <c r="AG44" s="57">
        <v>60</v>
      </c>
      <c r="AH44" s="52">
        <f t="shared" si="2"/>
        <v>59.5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19.2</v>
      </c>
      <c r="C45" s="56">
        <v>18.7</v>
      </c>
      <c r="D45" s="56">
        <v>15.4</v>
      </c>
      <c r="E45" s="56">
        <v>15.2</v>
      </c>
      <c r="F45" s="56">
        <v>15.2</v>
      </c>
      <c r="G45" s="56">
        <v>14</v>
      </c>
      <c r="H45" s="56">
        <v>6.4</v>
      </c>
      <c r="I45" s="56">
        <v>6.4</v>
      </c>
      <c r="J45" s="56">
        <v>10.1</v>
      </c>
      <c r="K45" s="56">
        <v>10.1</v>
      </c>
      <c r="L45" s="75">
        <v>15.2</v>
      </c>
      <c r="M45" s="75">
        <v>6</v>
      </c>
      <c r="N45" s="75">
        <v>9.1</v>
      </c>
      <c r="O45" s="75">
        <v>15.3</v>
      </c>
      <c r="P45" s="70">
        <v>12.3</v>
      </c>
      <c r="Q45" s="70">
        <v>9.9</v>
      </c>
      <c r="R45" s="49">
        <v>9.9</v>
      </c>
      <c r="S45" s="49">
        <v>9.9</v>
      </c>
      <c r="T45" s="49">
        <v>4.7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13.7</v>
      </c>
      <c r="AA45" s="70">
        <v>31.6</v>
      </c>
      <c r="AB45" s="70">
        <v>31.6</v>
      </c>
      <c r="AC45" s="70">
        <v>30.1</v>
      </c>
      <c r="AD45" s="70">
        <v>29</v>
      </c>
      <c r="AE45" s="70">
        <v>30.1</v>
      </c>
      <c r="AF45" s="70">
        <v>29</v>
      </c>
      <c r="AG45" s="59">
        <v>32</v>
      </c>
      <c r="AH45" s="52">
        <f t="shared" si="2"/>
        <v>31.6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7</v>
      </c>
      <c r="C46" s="71">
        <v>6.8</v>
      </c>
      <c r="D46" s="71">
        <v>5.6</v>
      </c>
      <c r="E46" s="71">
        <v>5.5</v>
      </c>
      <c r="F46" s="71">
        <v>5.6</v>
      </c>
      <c r="G46" s="71">
        <v>5</v>
      </c>
      <c r="H46" s="71">
        <v>2.2999999999999998</v>
      </c>
      <c r="I46" s="71">
        <v>2.2999999999999998</v>
      </c>
      <c r="J46" s="71">
        <v>3.7</v>
      </c>
      <c r="K46" s="71">
        <v>3.7</v>
      </c>
      <c r="L46" s="76">
        <v>5.6</v>
      </c>
      <c r="M46" s="76">
        <v>2.2000000000000002</v>
      </c>
      <c r="N46" s="76">
        <v>3.3</v>
      </c>
      <c r="O46" s="76">
        <v>5.6</v>
      </c>
      <c r="P46" s="77">
        <v>4.5</v>
      </c>
      <c r="Q46" s="77">
        <v>3.6</v>
      </c>
      <c r="R46" s="49">
        <v>3.6</v>
      </c>
      <c r="S46" s="49">
        <v>3.6</v>
      </c>
      <c r="T46" s="49">
        <v>1.7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6.8</v>
      </c>
      <c r="AA46" s="77">
        <v>11.5</v>
      </c>
      <c r="AB46" s="77">
        <v>11.5</v>
      </c>
      <c r="AC46" s="77">
        <v>11</v>
      </c>
      <c r="AD46" s="77">
        <v>10.6</v>
      </c>
      <c r="AE46" s="77">
        <v>11</v>
      </c>
      <c r="AF46" s="77">
        <v>10.7</v>
      </c>
      <c r="AG46" s="78">
        <v>14</v>
      </c>
      <c r="AH46" s="52">
        <f t="shared" si="2"/>
        <v>11.5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65.7</v>
      </c>
      <c r="C47" s="69">
        <f t="shared" si="7"/>
        <v>64.899999999999991</v>
      </c>
      <c r="D47" s="69">
        <f t="shared" si="7"/>
        <v>50.4</v>
      </c>
      <c r="E47" s="69">
        <f t="shared" si="7"/>
        <v>49.9</v>
      </c>
      <c r="F47" s="69">
        <f t="shared" si="7"/>
        <v>50.300000000000004</v>
      </c>
      <c r="G47" s="69">
        <f t="shared" si="7"/>
        <v>39</v>
      </c>
      <c r="H47" s="69">
        <f t="shared" si="7"/>
        <v>22.400000000000002</v>
      </c>
      <c r="I47" s="69">
        <f t="shared" si="7"/>
        <v>22.7</v>
      </c>
      <c r="J47" s="69">
        <f t="shared" si="7"/>
        <v>33.6</v>
      </c>
      <c r="K47" s="69">
        <f t="shared" si="7"/>
        <v>33.6</v>
      </c>
      <c r="L47" s="69">
        <f t="shared" si="7"/>
        <v>50.800000000000004</v>
      </c>
      <c r="M47" s="69">
        <f t="shared" si="7"/>
        <v>23.2</v>
      </c>
      <c r="N47" s="69">
        <f t="shared" si="7"/>
        <v>32.699999999999996</v>
      </c>
      <c r="O47" s="69">
        <f t="shared" si="7"/>
        <v>44.9</v>
      </c>
      <c r="P47" s="69">
        <f t="shared" si="7"/>
        <v>46.2</v>
      </c>
      <c r="Q47" s="69">
        <f t="shared" si="7"/>
        <v>33.800000000000004</v>
      </c>
      <c r="R47" s="69">
        <f t="shared" si="7"/>
        <v>33.800000000000004</v>
      </c>
      <c r="S47" s="69">
        <f t="shared" si="7"/>
        <v>33.800000000000004</v>
      </c>
      <c r="T47" s="69">
        <f t="shared" si="7"/>
        <v>16.7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64.099999999999994</v>
      </c>
      <c r="AA47" s="69">
        <f t="shared" si="7"/>
        <v>102.1</v>
      </c>
      <c r="AB47" s="69">
        <f t="shared" si="7"/>
        <v>102.1</v>
      </c>
      <c r="AC47" s="69">
        <f t="shared" si="7"/>
        <v>100.1</v>
      </c>
      <c r="AD47" s="69">
        <f t="shared" si="7"/>
        <v>99.1</v>
      </c>
      <c r="AE47" s="69">
        <f t="shared" si="7"/>
        <v>100.4</v>
      </c>
      <c r="AF47" s="69">
        <f t="shared" si="7"/>
        <v>89.7</v>
      </c>
      <c r="AG47" s="74">
        <f>SUM(AG44:AG46)</f>
        <v>106</v>
      </c>
      <c r="AH47" s="52">
        <f t="shared" si="2"/>
        <v>102.1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60.22</v>
      </c>
      <c r="C48" s="49">
        <v>59.87</v>
      </c>
      <c r="D48" s="49">
        <v>57</v>
      </c>
      <c r="E48" s="49">
        <v>58.39</v>
      </c>
      <c r="F48" s="49">
        <v>50.29</v>
      </c>
      <c r="G48" s="49">
        <v>50</v>
      </c>
      <c r="H48" s="49">
        <v>71.8</v>
      </c>
      <c r="I48" s="49">
        <v>50</v>
      </c>
      <c r="J48" s="49">
        <v>61.74</v>
      </c>
      <c r="K48" s="49">
        <v>65</v>
      </c>
      <c r="L48" s="49">
        <v>62</v>
      </c>
      <c r="M48" s="49">
        <v>60</v>
      </c>
      <c r="N48" s="49">
        <v>73</v>
      </c>
      <c r="O48" s="49">
        <v>74.400000000000006</v>
      </c>
      <c r="P48" s="49">
        <v>56</v>
      </c>
      <c r="Q48" s="49">
        <v>70</v>
      </c>
      <c r="R48" s="49">
        <v>66</v>
      </c>
      <c r="S48" s="49">
        <v>61.1</v>
      </c>
      <c r="T48" s="49">
        <v>64.7</v>
      </c>
      <c r="U48" s="49">
        <v>64.2</v>
      </c>
      <c r="V48" s="49">
        <v>70.06</v>
      </c>
      <c r="W48" s="49">
        <v>66.91</v>
      </c>
      <c r="X48" s="49">
        <v>62.91</v>
      </c>
      <c r="Y48" s="49">
        <v>61.13</v>
      </c>
      <c r="Z48" s="49">
        <v>59.32</v>
      </c>
      <c r="AA48" s="49">
        <v>71.5</v>
      </c>
      <c r="AB48" s="49">
        <v>71.2</v>
      </c>
      <c r="AC48" s="49">
        <v>71.099999999999994</v>
      </c>
      <c r="AD48" s="49">
        <v>73.650000000000006</v>
      </c>
      <c r="AE48" s="49">
        <v>70.55</v>
      </c>
      <c r="AF48" s="49">
        <v>68</v>
      </c>
      <c r="AG48" s="57"/>
      <c r="AH48" s="52">
        <f t="shared" si="2"/>
        <v>74.400000000000006</v>
      </c>
      <c r="AI48" s="53">
        <f t="shared" si="3"/>
        <v>50</v>
      </c>
      <c r="AK48" s="54"/>
    </row>
    <row r="49" spans="1:37" x14ac:dyDescent="0.25">
      <c r="A49" s="58" t="s">
        <v>56</v>
      </c>
      <c r="B49" s="70">
        <v>32</v>
      </c>
      <c r="C49" s="70">
        <v>29</v>
      </c>
      <c r="D49" s="70">
        <v>28.4</v>
      </c>
      <c r="E49" s="70">
        <v>26.2</v>
      </c>
      <c r="F49" s="70">
        <v>25.2</v>
      </c>
      <c r="G49" s="70">
        <v>25.5</v>
      </c>
      <c r="H49" s="70">
        <v>27</v>
      </c>
      <c r="I49" s="70">
        <v>29</v>
      </c>
      <c r="J49" s="70">
        <f>46+34</f>
        <v>80</v>
      </c>
      <c r="K49" s="70">
        <f>46.7+33</f>
        <v>79.7</v>
      </c>
      <c r="L49" s="49">
        <v>77.099999999999994</v>
      </c>
      <c r="M49" s="49">
        <v>109</v>
      </c>
      <c r="N49" s="49">
        <v>110</v>
      </c>
      <c r="O49" s="49">
        <v>113</v>
      </c>
      <c r="P49" s="49">
        <v>108</v>
      </c>
      <c r="Q49" s="49">
        <v>107</v>
      </c>
      <c r="R49" s="49">
        <v>109</v>
      </c>
      <c r="S49" s="49">
        <v>105</v>
      </c>
      <c r="T49" s="49">
        <v>103</v>
      </c>
      <c r="U49" s="79">
        <v>35.200000000000003</v>
      </c>
      <c r="V49" s="79">
        <v>34.9</v>
      </c>
      <c r="W49" s="79">
        <v>33</v>
      </c>
      <c r="X49" s="79">
        <v>33.700000000000003</v>
      </c>
      <c r="Y49" s="79">
        <v>115</v>
      </c>
      <c r="Z49" s="79">
        <v>146</v>
      </c>
      <c r="AA49" s="70">
        <f>34.8+106</f>
        <v>140.80000000000001</v>
      </c>
      <c r="AB49" s="70">
        <v>123</v>
      </c>
      <c r="AC49" s="70">
        <v>135</v>
      </c>
      <c r="AD49" s="70">
        <f>20+95</f>
        <v>115</v>
      </c>
      <c r="AE49" s="70">
        <v>102</v>
      </c>
      <c r="AF49" s="70">
        <v>100</v>
      </c>
      <c r="AG49" s="59"/>
      <c r="AH49" s="52">
        <f t="shared" si="2"/>
        <v>146</v>
      </c>
      <c r="AI49" s="53">
        <f t="shared" si="3"/>
        <v>25.2</v>
      </c>
      <c r="AK49" s="54"/>
    </row>
    <row r="50" spans="1:37" x14ac:dyDescent="0.25">
      <c r="A50" s="58" t="s">
        <v>57</v>
      </c>
      <c r="B50" s="70">
        <v>165</v>
      </c>
      <c r="C50" s="70">
        <v>154</v>
      </c>
      <c r="D50" s="70">
        <v>161.4</v>
      </c>
      <c r="E50" s="70">
        <v>128</v>
      </c>
      <c r="F50" s="70">
        <v>152</v>
      </c>
      <c r="G50" s="49">
        <v>180</v>
      </c>
      <c r="H50" s="49">
        <v>200</v>
      </c>
      <c r="I50" s="49">
        <v>160</v>
      </c>
      <c r="J50" s="49">
        <v>180</v>
      </c>
      <c r="K50" s="49">
        <v>181</v>
      </c>
      <c r="L50" s="70">
        <v>214</v>
      </c>
      <c r="M50" s="70">
        <v>250</v>
      </c>
      <c r="N50" s="70">
        <v>265</v>
      </c>
      <c r="O50" s="70">
        <v>255</v>
      </c>
      <c r="P50" s="70">
        <v>245</v>
      </c>
      <c r="Q50" s="70">
        <v>256</v>
      </c>
      <c r="R50" s="70">
        <v>260</v>
      </c>
      <c r="S50" s="70">
        <v>253</v>
      </c>
      <c r="T50" s="70">
        <v>240</v>
      </c>
      <c r="U50" s="80">
        <v>260</v>
      </c>
      <c r="V50" s="80">
        <v>264</v>
      </c>
      <c r="W50" s="80">
        <v>271</v>
      </c>
      <c r="X50" s="80">
        <v>301</v>
      </c>
      <c r="Y50" s="80">
        <v>317</v>
      </c>
      <c r="Z50" s="80">
        <v>345</v>
      </c>
      <c r="AA50" s="70">
        <f>153+153</f>
        <v>306</v>
      </c>
      <c r="AB50" s="70">
        <v>310</v>
      </c>
      <c r="AC50" s="70">
        <f>157+158</f>
        <v>315</v>
      </c>
      <c r="AD50" s="70">
        <f>107+107</f>
        <v>214</v>
      </c>
      <c r="AE50" s="70">
        <v>170</v>
      </c>
      <c r="AF50" s="70">
        <v>155</v>
      </c>
      <c r="AG50" s="81"/>
      <c r="AH50" s="52">
        <f t="shared" si="2"/>
        <v>345</v>
      </c>
      <c r="AI50" s="53">
        <f t="shared" si="3"/>
        <v>128</v>
      </c>
      <c r="AK50" s="54"/>
    </row>
    <row r="51" spans="1:37" x14ac:dyDescent="0.25">
      <c r="A51" s="58" t="s">
        <v>58</v>
      </c>
      <c r="B51" s="82">
        <v>19</v>
      </c>
      <c r="C51" s="82">
        <v>19</v>
      </c>
      <c r="D51" s="82">
        <v>19</v>
      </c>
      <c r="E51" s="82">
        <v>18</v>
      </c>
      <c r="F51" s="82">
        <v>12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14</v>
      </c>
      <c r="Q51" s="70">
        <v>15</v>
      </c>
      <c r="R51" s="70">
        <v>15</v>
      </c>
      <c r="S51" s="70">
        <v>10.4</v>
      </c>
      <c r="T51" s="70">
        <v>10.4</v>
      </c>
      <c r="U51" s="70">
        <v>10.4</v>
      </c>
      <c r="V51" s="70">
        <v>10.4</v>
      </c>
      <c r="W51" s="70">
        <v>10.4</v>
      </c>
      <c r="X51" s="70">
        <v>10.4</v>
      </c>
      <c r="Y51" s="70">
        <v>10.4</v>
      </c>
      <c r="Z51" s="70">
        <v>10.4</v>
      </c>
      <c r="AA51" s="82">
        <v>12.8</v>
      </c>
      <c r="AB51" s="82">
        <v>12.8</v>
      </c>
      <c r="AC51" s="82">
        <v>12</v>
      </c>
      <c r="AD51" s="82">
        <v>12</v>
      </c>
      <c r="AE51" s="82">
        <v>12</v>
      </c>
      <c r="AF51" s="82">
        <v>12</v>
      </c>
      <c r="AG51" s="81"/>
      <c r="AH51" s="52">
        <f t="shared" si="2"/>
        <v>19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50.3</v>
      </c>
      <c r="C52" s="82">
        <v>41.2</v>
      </c>
      <c r="D52" s="82">
        <v>40.9</v>
      </c>
      <c r="E52" s="82">
        <v>42.2</v>
      </c>
      <c r="F52" s="82">
        <v>41.1</v>
      </c>
      <c r="G52" s="82">
        <v>40</v>
      </c>
      <c r="H52" s="82">
        <v>36.299999999999997</v>
      </c>
      <c r="I52" s="82">
        <v>37</v>
      </c>
      <c r="J52" s="82">
        <v>37.6</v>
      </c>
      <c r="K52" s="82">
        <v>38.1</v>
      </c>
      <c r="L52" s="49">
        <v>40.4</v>
      </c>
      <c r="M52" s="49">
        <v>48.2</v>
      </c>
      <c r="N52" s="49">
        <v>53</v>
      </c>
      <c r="O52" s="49">
        <v>55.3</v>
      </c>
      <c r="P52" s="49">
        <v>54.7</v>
      </c>
      <c r="Q52" s="49">
        <v>51.6</v>
      </c>
      <c r="R52" s="49">
        <v>53.6</v>
      </c>
      <c r="S52" s="49">
        <v>53.8</v>
      </c>
      <c r="T52" s="49">
        <v>53.8</v>
      </c>
      <c r="U52" s="49">
        <v>48.4</v>
      </c>
      <c r="V52" s="49">
        <v>42.5</v>
      </c>
      <c r="W52" s="49">
        <v>46.2</v>
      </c>
      <c r="X52" s="49">
        <v>45.2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59.4</v>
      </c>
      <c r="AE52" s="49">
        <v>57.8</v>
      </c>
      <c r="AF52" s="49">
        <v>56</v>
      </c>
      <c r="AG52" s="81"/>
      <c r="AH52" s="52">
        <f t="shared" si="2"/>
        <v>59.4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83">
        <v>0</v>
      </c>
      <c r="M53" s="83">
        <v>0</v>
      </c>
      <c r="N53" s="83">
        <v>0</v>
      </c>
      <c r="O53" s="83">
        <v>5</v>
      </c>
      <c r="P53" s="83">
        <v>6</v>
      </c>
      <c r="Q53" s="83">
        <v>6</v>
      </c>
      <c r="R53" s="83">
        <v>6</v>
      </c>
      <c r="S53" s="83">
        <v>6.9</v>
      </c>
      <c r="T53" s="83">
        <v>6.9</v>
      </c>
      <c r="U53" s="83">
        <v>6.9</v>
      </c>
      <c r="V53" s="83">
        <v>6.9</v>
      </c>
      <c r="W53" s="83">
        <v>6.9</v>
      </c>
      <c r="X53" s="83">
        <v>6.9</v>
      </c>
      <c r="Y53" s="83">
        <v>6.9</v>
      </c>
      <c r="Z53" s="83">
        <v>6.9</v>
      </c>
      <c r="AA53" s="83">
        <v>0</v>
      </c>
      <c r="AB53" s="83">
        <v>0</v>
      </c>
      <c r="AC53" s="49">
        <v>0</v>
      </c>
      <c r="AD53" s="49">
        <v>0</v>
      </c>
      <c r="AE53" s="83">
        <v>0</v>
      </c>
      <c r="AF53" s="83">
        <v>0</v>
      </c>
      <c r="AG53" s="81"/>
      <c r="AH53" s="52">
        <f t="shared" si="2"/>
        <v>6.9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49">
        <v>0</v>
      </c>
      <c r="AD54" s="49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3">
        <v>0</v>
      </c>
      <c r="AB55" s="83">
        <v>0</v>
      </c>
      <c r="AC55" s="49">
        <v>0</v>
      </c>
      <c r="AD55" s="49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3">
        <v>0</v>
      </c>
      <c r="AB56" s="83">
        <v>0</v>
      </c>
      <c r="AC56" s="49">
        <v>0</v>
      </c>
      <c r="AD56" s="49">
        <v>0</v>
      </c>
      <c r="AE56" s="83">
        <v>0</v>
      </c>
      <c r="AF56" s="83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3">
        <v>0</v>
      </c>
      <c r="AB57" s="83">
        <v>0</v>
      </c>
      <c r="AC57" s="49">
        <v>0</v>
      </c>
      <c r="AD57" s="49">
        <v>0</v>
      </c>
      <c r="AE57" s="83">
        <v>0</v>
      </c>
      <c r="AF57" s="83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3">
        <v>0</v>
      </c>
      <c r="AB58" s="83">
        <v>0</v>
      </c>
      <c r="AC58" s="49">
        <v>0</v>
      </c>
      <c r="AD58" s="49">
        <v>0</v>
      </c>
      <c r="AE58" s="83">
        <v>0</v>
      </c>
      <c r="AF58" s="83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 t="shared" ref="B59:AF59" si="8">SUM(B48:B58)</f>
        <v>326.52000000000004</v>
      </c>
      <c r="C59" s="69">
        <f t="shared" si="8"/>
        <v>303.07</v>
      </c>
      <c r="D59" s="69">
        <f t="shared" si="8"/>
        <v>306.7</v>
      </c>
      <c r="E59" s="69">
        <f t="shared" si="8"/>
        <v>272.79000000000002</v>
      </c>
      <c r="F59" s="69">
        <f t="shared" si="8"/>
        <v>280.59000000000003</v>
      </c>
      <c r="G59" s="69">
        <f t="shared" si="8"/>
        <v>295.5</v>
      </c>
      <c r="H59" s="69">
        <f t="shared" si="8"/>
        <v>335.1</v>
      </c>
      <c r="I59" s="69">
        <f t="shared" si="8"/>
        <v>276</v>
      </c>
      <c r="J59" s="69">
        <f t="shared" si="8"/>
        <v>359.34000000000003</v>
      </c>
      <c r="K59" s="69">
        <f t="shared" si="8"/>
        <v>363.8</v>
      </c>
      <c r="L59" s="69">
        <f t="shared" si="8"/>
        <v>393.5</v>
      </c>
      <c r="M59" s="69">
        <f t="shared" si="8"/>
        <v>467.2</v>
      </c>
      <c r="N59" s="69">
        <f t="shared" si="8"/>
        <v>501</v>
      </c>
      <c r="O59" s="69">
        <f t="shared" si="8"/>
        <v>502.7</v>
      </c>
      <c r="P59" s="69">
        <f t="shared" si="8"/>
        <v>483.7</v>
      </c>
      <c r="Q59" s="69">
        <f t="shared" si="8"/>
        <v>505.6</v>
      </c>
      <c r="R59" s="69">
        <f t="shared" si="8"/>
        <v>509.6</v>
      </c>
      <c r="S59" s="69">
        <f t="shared" si="8"/>
        <v>490.2</v>
      </c>
      <c r="T59" s="69">
        <f t="shared" si="8"/>
        <v>478.79999999999995</v>
      </c>
      <c r="U59" s="69">
        <f t="shared" si="8"/>
        <v>425.09999999999991</v>
      </c>
      <c r="V59" s="69">
        <f t="shared" si="8"/>
        <v>428.76</v>
      </c>
      <c r="W59" s="69">
        <f t="shared" si="8"/>
        <v>434.40999999999991</v>
      </c>
      <c r="X59" s="69">
        <f t="shared" si="8"/>
        <v>460.10999999999996</v>
      </c>
      <c r="Y59" s="69">
        <f t="shared" si="8"/>
        <v>510.42999999999995</v>
      </c>
      <c r="Z59" s="69">
        <f t="shared" si="8"/>
        <v>567.61999999999989</v>
      </c>
      <c r="AA59" s="69">
        <f t="shared" si="8"/>
        <v>531.09999999999991</v>
      </c>
      <c r="AB59" s="69">
        <f t="shared" si="8"/>
        <v>517</v>
      </c>
      <c r="AC59" s="69">
        <f t="shared" si="8"/>
        <v>533.1</v>
      </c>
      <c r="AD59" s="69">
        <f t="shared" si="8"/>
        <v>474.04999999999995</v>
      </c>
      <c r="AE59" s="69">
        <f t="shared" si="8"/>
        <v>412.35</v>
      </c>
      <c r="AF59" s="69">
        <f t="shared" si="8"/>
        <v>391</v>
      </c>
      <c r="AG59" s="74">
        <f>SUM(AG48:AG58)</f>
        <v>0</v>
      </c>
      <c r="AH59" s="52">
        <f t="shared" si="2"/>
        <v>567.61999999999989</v>
      </c>
      <c r="AI59" s="53">
        <f t="shared" si="3"/>
        <v>272.79000000000002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 t="shared" ref="B63:AF63" si="9">SUM(B60:B62)</f>
        <v>0</v>
      </c>
      <c r="C63" s="69">
        <f t="shared" si="9"/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>
        <v>23</v>
      </c>
      <c r="J64" s="89">
        <v>23</v>
      </c>
      <c r="K64" s="89">
        <v>23</v>
      </c>
      <c r="L64" s="89"/>
      <c r="M64" s="89"/>
      <c r="N64" s="89"/>
      <c r="O64" s="89"/>
      <c r="P64" s="89">
        <v>15</v>
      </c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23</v>
      </c>
      <c r="AI64" s="53">
        <f t="shared" si="3"/>
        <v>15</v>
      </c>
    </row>
    <row r="65" spans="1:35" ht="15.75" thickBot="1" x14ac:dyDescent="0.3">
      <c r="A65" s="90" t="s">
        <v>72</v>
      </c>
      <c r="B65" s="91">
        <f t="shared" ref="B65:AF65" si="10">B63+B59+B47+B43+B30+B64</f>
        <v>958.16</v>
      </c>
      <c r="C65" s="91">
        <f t="shared" si="10"/>
        <v>935.21</v>
      </c>
      <c r="D65" s="91">
        <f t="shared" si="10"/>
        <v>924.83999999999992</v>
      </c>
      <c r="E65" s="91">
        <f t="shared" si="10"/>
        <v>886.32999999999993</v>
      </c>
      <c r="F65" s="91">
        <f t="shared" si="10"/>
        <v>868.03000000000009</v>
      </c>
      <c r="G65" s="91">
        <f t="shared" si="10"/>
        <v>925.43999999999994</v>
      </c>
      <c r="H65" s="91">
        <f t="shared" si="10"/>
        <v>947.94</v>
      </c>
      <c r="I65" s="91">
        <f t="shared" si="10"/>
        <v>944.24</v>
      </c>
      <c r="J65" s="91">
        <f t="shared" si="10"/>
        <v>1048.8800000000001</v>
      </c>
      <c r="K65" s="91">
        <f t="shared" si="10"/>
        <v>1053.44</v>
      </c>
      <c r="L65" s="91">
        <f t="shared" si="10"/>
        <v>1062.1400000000001</v>
      </c>
      <c r="M65" s="91">
        <f t="shared" si="10"/>
        <v>1100.94</v>
      </c>
      <c r="N65" s="91">
        <f t="shared" si="10"/>
        <v>1144.94</v>
      </c>
      <c r="O65" s="91">
        <f t="shared" si="10"/>
        <v>1152.74</v>
      </c>
      <c r="P65" s="91">
        <f t="shared" si="10"/>
        <v>1143.1399999999999</v>
      </c>
      <c r="Q65" s="91">
        <f t="shared" si="10"/>
        <v>1127.8399999999999</v>
      </c>
      <c r="R65" s="91">
        <f t="shared" si="10"/>
        <v>1134.8399999999999</v>
      </c>
      <c r="S65" s="91">
        <f t="shared" si="10"/>
        <v>1115.94</v>
      </c>
      <c r="T65" s="91">
        <f t="shared" si="10"/>
        <v>1094.54</v>
      </c>
      <c r="U65" s="91">
        <f t="shared" si="10"/>
        <v>1039.44</v>
      </c>
      <c r="V65" s="91">
        <f t="shared" si="10"/>
        <v>1047.5999999999999</v>
      </c>
      <c r="W65" s="91">
        <f t="shared" si="10"/>
        <v>1051.4499999999998</v>
      </c>
      <c r="X65" s="91">
        <f t="shared" si="10"/>
        <v>1076.25</v>
      </c>
      <c r="Y65" s="91">
        <f t="shared" si="10"/>
        <v>1132.9699999999998</v>
      </c>
      <c r="Z65" s="91">
        <f t="shared" si="10"/>
        <v>1267.56</v>
      </c>
      <c r="AA65" s="91">
        <f t="shared" si="10"/>
        <v>1266.6399999999999</v>
      </c>
      <c r="AB65" s="91">
        <f t="shared" si="10"/>
        <v>1253.24</v>
      </c>
      <c r="AC65" s="91">
        <f t="shared" si="10"/>
        <v>1257.1400000000001</v>
      </c>
      <c r="AD65" s="91">
        <f t="shared" si="10"/>
        <v>1187.9899999999998</v>
      </c>
      <c r="AE65" s="91">
        <f t="shared" si="10"/>
        <v>1112.99</v>
      </c>
      <c r="AF65" s="91">
        <f t="shared" si="10"/>
        <v>1080.1400000000001</v>
      </c>
      <c r="AG65" s="74">
        <f>AG63+AG59+AG47+AG43+AG30+AG64</f>
        <v>1355.5100000000002</v>
      </c>
      <c r="AH65" s="52">
        <f t="shared" si="2"/>
        <v>1267.56</v>
      </c>
      <c r="AI65" s="53">
        <f t="shared" si="3"/>
        <v>868.03000000000009</v>
      </c>
    </row>
    <row r="66" spans="1:35" x14ac:dyDescent="0.25">
      <c r="A66" s="55" t="s">
        <v>73</v>
      </c>
      <c r="B66" s="82"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 t="shared" ref="B71:AF71" si="18">SUM(B66:B70)</f>
        <v>0</v>
      </c>
      <c r="C71" s="69">
        <f t="shared" si="18"/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50.055999999999997</v>
      </c>
      <c r="C72" s="94">
        <v>50.027000000000001</v>
      </c>
      <c r="D72" s="94">
        <v>50.05</v>
      </c>
      <c r="E72" s="94">
        <v>49.84</v>
      </c>
      <c r="F72" s="94">
        <v>49.86</v>
      </c>
      <c r="G72" s="94">
        <v>49.8</v>
      </c>
      <c r="H72" s="94">
        <v>50.01</v>
      </c>
      <c r="I72" s="94">
        <v>50</v>
      </c>
      <c r="J72" s="94">
        <v>50.01</v>
      </c>
      <c r="K72" s="94">
        <v>50.048999999999999</v>
      </c>
      <c r="L72" s="94">
        <v>50.174999999999997</v>
      </c>
      <c r="M72" s="94">
        <v>50.048999999999999</v>
      </c>
      <c r="N72" s="94">
        <v>49.942999999999998</v>
      </c>
      <c r="O72" s="94">
        <v>49.95</v>
      </c>
      <c r="P72" s="94">
        <v>49.94</v>
      </c>
      <c r="Q72" s="95">
        <v>49.926000000000002</v>
      </c>
      <c r="R72" s="94">
        <v>49.991999999999997</v>
      </c>
      <c r="S72" s="94">
        <v>49.962000000000003</v>
      </c>
      <c r="T72" s="94">
        <v>50.012</v>
      </c>
      <c r="U72" s="94">
        <v>49.988999999999997</v>
      </c>
      <c r="V72" s="94">
        <v>49.984000000000002</v>
      </c>
      <c r="W72" s="94">
        <v>50.021000000000001</v>
      </c>
      <c r="X72" s="94">
        <v>50.048000000000002</v>
      </c>
      <c r="Y72" s="94">
        <v>49.965000000000003</v>
      </c>
      <c r="Z72" s="94">
        <v>50.008000000000003</v>
      </c>
      <c r="AA72" s="94">
        <v>49.957999999999998</v>
      </c>
      <c r="AB72" s="94">
        <v>49.957999999999998</v>
      </c>
      <c r="AC72" s="94">
        <v>49.972000000000001</v>
      </c>
      <c r="AD72" s="94">
        <v>50.026000000000003</v>
      </c>
      <c r="AE72" s="94">
        <v>50.006</v>
      </c>
      <c r="AF72" s="96">
        <v>50.03</v>
      </c>
      <c r="AG72" s="97"/>
      <c r="AH72" s="52">
        <f t="shared" si="2"/>
        <v>50.174999999999997</v>
      </c>
      <c r="AI72" s="53">
        <f t="shared" si="3"/>
        <v>49.8</v>
      </c>
    </row>
    <row r="73" spans="1:35" x14ac:dyDescent="0.25">
      <c r="A73" s="98" t="s">
        <v>80</v>
      </c>
      <c r="B73" s="70">
        <v>129.19999999999999</v>
      </c>
      <c r="C73" s="70">
        <v>129.5</v>
      </c>
      <c r="D73" s="70">
        <v>129.6</v>
      </c>
      <c r="E73" s="70">
        <v>130</v>
      </c>
      <c r="F73" s="70">
        <v>130</v>
      </c>
      <c r="G73" s="70">
        <v>130</v>
      </c>
      <c r="H73" s="70">
        <v>127.7</v>
      </c>
      <c r="I73" s="70">
        <v>127</v>
      </c>
      <c r="J73" s="70">
        <v>127</v>
      </c>
      <c r="K73" s="70">
        <v>127</v>
      </c>
      <c r="L73" s="70">
        <v>125.9</v>
      </c>
      <c r="M73" s="70">
        <v>124.9</v>
      </c>
      <c r="N73" s="70">
        <v>124.3</v>
      </c>
      <c r="O73" s="70">
        <v>125.7</v>
      </c>
      <c r="P73" s="70">
        <v>125.9</v>
      </c>
      <c r="Q73" s="99">
        <v>126.2</v>
      </c>
      <c r="R73" s="99">
        <v>126.4</v>
      </c>
      <c r="S73" s="99">
        <v>126.7</v>
      </c>
      <c r="T73" s="99">
        <v>126.5</v>
      </c>
      <c r="U73" s="99">
        <v>126.7</v>
      </c>
      <c r="V73" s="99">
        <v>127.2</v>
      </c>
      <c r="W73" s="99">
        <v>128.19999999999999</v>
      </c>
      <c r="X73" s="99">
        <v>127.6</v>
      </c>
      <c r="Y73" s="99">
        <v>125.1</v>
      </c>
      <c r="Z73" s="99">
        <v>124.9</v>
      </c>
      <c r="AA73" s="70">
        <v>125.5</v>
      </c>
      <c r="AB73" s="70">
        <v>125.5</v>
      </c>
      <c r="AC73" s="70">
        <v>126.1</v>
      </c>
      <c r="AD73" s="70">
        <v>129.6</v>
      </c>
      <c r="AE73" s="70">
        <v>129.1</v>
      </c>
      <c r="AF73" s="100">
        <v>129.6</v>
      </c>
      <c r="AG73" s="101"/>
      <c r="AH73" s="52">
        <f t="shared" si="2"/>
        <v>130</v>
      </c>
      <c r="AI73" s="53">
        <f t="shared" si="3"/>
        <v>124.3</v>
      </c>
    </row>
    <row r="74" spans="1:35" x14ac:dyDescent="0.25">
      <c r="A74" s="98" t="s">
        <v>81</v>
      </c>
      <c r="B74" s="70">
        <v>132.1</v>
      </c>
      <c r="C74" s="70">
        <v>132.30000000000001</v>
      </c>
      <c r="D74" s="70">
        <v>132.4</v>
      </c>
      <c r="E74" s="70">
        <v>132.6</v>
      </c>
      <c r="F74" s="70">
        <v>132.30000000000001</v>
      </c>
      <c r="G74" s="70">
        <v>131.69999999999999</v>
      </c>
      <c r="H74" s="70">
        <v>130.19999999999999</v>
      </c>
      <c r="I74" s="70">
        <v>130.1</v>
      </c>
      <c r="J74" s="70">
        <v>129.69999999999999</v>
      </c>
      <c r="K74" s="70">
        <v>129.5</v>
      </c>
      <c r="L74" s="70">
        <v>128.5</v>
      </c>
      <c r="M74" s="70">
        <v>128.1</v>
      </c>
      <c r="N74" s="70">
        <v>127.5</v>
      </c>
      <c r="O74" s="70">
        <v>129</v>
      </c>
      <c r="P74" s="70">
        <v>129.19999999999999</v>
      </c>
      <c r="Q74" s="99">
        <v>129.30000000000001</v>
      </c>
      <c r="R74" s="99">
        <v>129.6</v>
      </c>
      <c r="S74" s="99">
        <v>129.9</v>
      </c>
      <c r="T74" s="99">
        <v>129.5</v>
      </c>
      <c r="U74" s="99">
        <v>129.9</v>
      </c>
      <c r="V74" s="99">
        <v>130.1</v>
      </c>
      <c r="W74" s="99">
        <v>130.6</v>
      </c>
      <c r="X74" s="99">
        <v>130.4</v>
      </c>
      <c r="Y74" s="99">
        <v>127.8</v>
      </c>
      <c r="Z74" s="99">
        <v>127.7</v>
      </c>
      <c r="AA74" s="70">
        <v>128.5</v>
      </c>
      <c r="AB74" s="70">
        <v>128.5</v>
      </c>
      <c r="AC74" s="70">
        <v>129.5</v>
      </c>
      <c r="AD74" s="70">
        <v>132</v>
      </c>
      <c r="AE74" s="70">
        <v>131.80000000000001</v>
      </c>
      <c r="AF74" s="100">
        <v>132</v>
      </c>
      <c r="AG74" s="101"/>
      <c r="AH74" s="52">
        <f t="shared" si="2"/>
        <v>132.6</v>
      </c>
      <c r="AI74" s="53">
        <f t="shared" si="3"/>
        <v>127.5</v>
      </c>
    </row>
    <row r="75" spans="1:35" x14ac:dyDescent="0.25">
      <c r="A75" s="98" t="s">
        <v>82</v>
      </c>
      <c r="B75" s="70">
        <v>127.7</v>
      </c>
      <c r="C75" s="70">
        <v>128.1</v>
      </c>
      <c r="D75" s="70">
        <v>130.4</v>
      </c>
      <c r="E75" s="70">
        <v>131</v>
      </c>
      <c r="F75" s="70">
        <v>131.69999999999999</v>
      </c>
      <c r="G75" s="70">
        <v>128.5</v>
      </c>
      <c r="H75" s="70">
        <v>131.19999999999999</v>
      </c>
      <c r="I75" s="70">
        <v>130</v>
      </c>
      <c r="J75" s="70">
        <v>127.7</v>
      </c>
      <c r="K75" s="70">
        <v>128</v>
      </c>
      <c r="L75" s="70">
        <v>126.2</v>
      </c>
      <c r="M75" s="70">
        <v>126.4</v>
      </c>
      <c r="N75" s="70">
        <v>124.1</v>
      </c>
      <c r="O75" s="70">
        <v>125.9</v>
      </c>
      <c r="P75" s="70">
        <v>127.5</v>
      </c>
      <c r="Q75" s="70">
        <v>125.5</v>
      </c>
      <c r="R75" s="70">
        <v>125.5</v>
      </c>
      <c r="S75" s="70">
        <v>127.6</v>
      </c>
      <c r="T75" s="99">
        <v>127.3</v>
      </c>
      <c r="U75" s="99">
        <v>122.8</v>
      </c>
      <c r="V75" s="99">
        <v>124.3</v>
      </c>
      <c r="W75" s="99">
        <v>128.1</v>
      </c>
      <c r="X75" s="99">
        <v>123</v>
      </c>
      <c r="Y75" s="99">
        <v>124.2</v>
      </c>
      <c r="Z75" s="99">
        <v>123.4</v>
      </c>
      <c r="AA75" s="70">
        <v>122.9</v>
      </c>
      <c r="AB75" s="70">
        <v>122.9</v>
      </c>
      <c r="AC75" s="70">
        <v>121.7</v>
      </c>
      <c r="AD75" s="70">
        <v>125.9</v>
      </c>
      <c r="AE75" s="70">
        <v>126.8</v>
      </c>
      <c r="AF75" s="100">
        <v>127.5</v>
      </c>
      <c r="AG75" s="101"/>
      <c r="AH75" s="52">
        <f t="shared" si="2"/>
        <v>131.69999999999999</v>
      </c>
      <c r="AI75" s="53">
        <f t="shared" si="3"/>
        <v>121.7</v>
      </c>
    </row>
    <row r="76" spans="1:35" x14ac:dyDescent="0.25">
      <c r="A76" s="102" t="s">
        <v>83</v>
      </c>
      <c r="B76" s="70">
        <v>128</v>
      </c>
      <c r="C76" s="70">
        <v>128.4</v>
      </c>
      <c r="D76" s="70">
        <v>129.69999999999999</v>
      </c>
      <c r="E76" s="70">
        <v>129.19999999999999</v>
      </c>
      <c r="F76" s="70">
        <v>129.4</v>
      </c>
      <c r="G76" s="70">
        <v>128.30000000000001</v>
      </c>
      <c r="H76" s="70">
        <v>126.2</v>
      </c>
      <c r="I76" s="70">
        <v>127</v>
      </c>
      <c r="J76" s="70">
        <v>128.5</v>
      </c>
      <c r="K76" s="70">
        <v>128.9</v>
      </c>
      <c r="L76" s="70">
        <v>125.7</v>
      </c>
      <c r="M76" s="70">
        <v>127.3</v>
      </c>
      <c r="N76" s="70">
        <v>124.9</v>
      </c>
      <c r="O76" s="70">
        <v>125.6</v>
      </c>
      <c r="P76" s="70">
        <v>127.5</v>
      </c>
      <c r="Q76" s="70">
        <v>127.3</v>
      </c>
      <c r="R76" s="70">
        <v>127.3</v>
      </c>
      <c r="S76" s="70">
        <v>129</v>
      </c>
      <c r="T76" s="99">
        <v>128.9</v>
      </c>
      <c r="U76" s="99">
        <v>125</v>
      </c>
      <c r="V76" s="99">
        <v>126.1</v>
      </c>
      <c r="W76" s="99">
        <v>129.5</v>
      </c>
      <c r="X76" s="99">
        <v>125.1</v>
      </c>
      <c r="Y76" s="99">
        <v>125.2</v>
      </c>
      <c r="Z76" s="99">
        <v>124.5</v>
      </c>
      <c r="AA76" s="70">
        <v>123.7</v>
      </c>
      <c r="AB76" s="70">
        <v>123.7</v>
      </c>
      <c r="AC76" s="70">
        <v>123.9</v>
      </c>
      <c r="AD76" s="70">
        <v>129.4</v>
      </c>
      <c r="AE76" s="70">
        <v>130.30000000000001</v>
      </c>
      <c r="AF76" s="100">
        <v>131</v>
      </c>
      <c r="AG76" s="101"/>
      <c r="AH76" s="52">
        <f t="shared" si="2"/>
        <v>131</v>
      </c>
      <c r="AI76" s="53">
        <f t="shared" si="3"/>
        <v>123.7</v>
      </c>
    </row>
    <row r="77" spans="1:35" x14ac:dyDescent="0.25">
      <c r="A77" s="102" t="s">
        <v>84</v>
      </c>
      <c r="B77" s="103">
        <v>135.80000000000001</v>
      </c>
      <c r="C77" s="103">
        <v>134.19999999999999</v>
      </c>
      <c r="D77" s="103">
        <v>133</v>
      </c>
      <c r="E77" s="103">
        <v>134</v>
      </c>
      <c r="F77" s="103">
        <v>133</v>
      </c>
      <c r="G77" s="103">
        <v>134.4</v>
      </c>
      <c r="H77" s="103">
        <v>134</v>
      </c>
      <c r="I77" s="103">
        <v>132</v>
      </c>
      <c r="J77" s="103">
        <v>131.80000000000001</v>
      </c>
      <c r="K77" s="103">
        <v>131.5</v>
      </c>
      <c r="L77" s="103">
        <v>129.69999999999999</v>
      </c>
      <c r="M77" s="103">
        <v>131.9</v>
      </c>
      <c r="N77" s="103">
        <v>130.80000000000001</v>
      </c>
      <c r="O77" s="103">
        <v>133.5</v>
      </c>
      <c r="P77" s="103">
        <v>135.19999999999999</v>
      </c>
      <c r="Q77" s="103">
        <v>133.30000000000001</v>
      </c>
      <c r="R77" s="103">
        <v>132.9</v>
      </c>
      <c r="S77" s="103">
        <v>135.4</v>
      </c>
      <c r="T77" s="99">
        <v>132.6</v>
      </c>
      <c r="U77" s="99">
        <v>134.4</v>
      </c>
      <c r="V77" s="99">
        <v>134.69999999999999</v>
      </c>
      <c r="W77" s="99">
        <v>96.9</v>
      </c>
      <c r="X77" s="99">
        <v>134.5</v>
      </c>
      <c r="Y77" s="99">
        <v>134.69999999999999</v>
      </c>
      <c r="Z77" s="99">
        <v>131.1</v>
      </c>
      <c r="AA77" s="103">
        <v>130.1</v>
      </c>
      <c r="AB77" s="103">
        <v>130.1</v>
      </c>
      <c r="AC77" s="103">
        <v>133.1</v>
      </c>
      <c r="AD77" s="103">
        <v>135.30000000000001</v>
      </c>
      <c r="AE77" s="103">
        <v>132.6</v>
      </c>
      <c r="AF77" s="104">
        <v>135</v>
      </c>
      <c r="AG77" s="105"/>
      <c r="AH77" s="52">
        <f t="shared" si="2"/>
        <v>135.80000000000001</v>
      </c>
      <c r="AI77" s="53">
        <f t="shared" si="3"/>
        <v>96.9</v>
      </c>
    </row>
    <row r="78" spans="1:35" x14ac:dyDescent="0.25">
      <c r="A78" s="98" t="s">
        <v>85</v>
      </c>
      <c r="B78" s="70">
        <v>130.19999999999999</v>
      </c>
      <c r="C78" s="70">
        <v>129.6</v>
      </c>
      <c r="D78" s="70">
        <v>131.30000000000001</v>
      </c>
      <c r="E78" s="70">
        <v>130.4</v>
      </c>
      <c r="F78" s="70">
        <v>125.9</v>
      </c>
      <c r="G78" s="70">
        <v>135</v>
      </c>
      <c r="H78" s="70">
        <v>136.80000000000001</v>
      </c>
      <c r="I78" s="70">
        <v>135</v>
      </c>
      <c r="J78" s="70">
        <v>127.4</v>
      </c>
      <c r="K78" s="70">
        <v>127.1</v>
      </c>
      <c r="L78" s="70">
        <v>123.8</v>
      </c>
      <c r="M78" s="70">
        <v>128.9</v>
      </c>
      <c r="N78" s="70">
        <v>127.2</v>
      </c>
      <c r="O78" s="70">
        <v>130.6</v>
      </c>
      <c r="P78" s="70">
        <v>138</v>
      </c>
      <c r="Q78" s="70">
        <v>127.8</v>
      </c>
      <c r="R78" s="70">
        <v>130.1</v>
      </c>
      <c r="S78" s="70">
        <v>128.30000000000001</v>
      </c>
      <c r="T78" s="99">
        <v>125.8</v>
      </c>
      <c r="U78" s="99">
        <v>132.1</v>
      </c>
      <c r="V78" s="99">
        <v>128.6</v>
      </c>
      <c r="W78" s="99">
        <v>130.9</v>
      </c>
      <c r="X78" s="99">
        <v>131.69999999999999</v>
      </c>
      <c r="Y78" s="99">
        <v>133.69999999999999</v>
      </c>
      <c r="Z78" s="99">
        <v>139.1</v>
      </c>
      <c r="AA78" s="70">
        <v>133</v>
      </c>
      <c r="AB78" s="70">
        <v>133</v>
      </c>
      <c r="AC78" s="70">
        <v>133.80000000000001</v>
      </c>
      <c r="AD78" s="70">
        <v>135.5</v>
      </c>
      <c r="AE78" s="70">
        <v>134.69999999999999</v>
      </c>
      <c r="AF78" s="100">
        <v>135</v>
      </c>
      <c r="AG78" s="101"/>
      <c r="AH78" s="52">
        <f>MAX(B78:AF78)</f>
        <v>139.1</v>
      </c>
      <c r="AI78" s="53">
        <f>MIN(B78:AF78)</f>
        <v>123.8</v>
      </c>
    </row>
    <row r="79" spans="1:35" ht="15.75" thickBot="1" x14ac:dyDescent="0.3">
      <c r="A79" s="98" t="s">
        <v>86</v>
      </c>
      <c r="B79" s="106">
        <v>67.3</v>
      </c>
      <c r="C79" s="106">
        <v>67.3</v>
      </c>
      <c r="D79" s="106">
        <v>67.400000000000006</v>
      </c>
      <c r="E79" s="106">
        <v>67.5</v>
      </c>
      <c r="F79" s="106">
        <v>67.400000000000006</v>
      </c>
      <c r="G79" s="106">
        <v>66.900000000000006</v>
      </c>
      <c r="H79" s="106">
        <v>66</v>
      </c>
      <c r="I79" s="106">
        <v>66</v>
      </c>
      <c r="J79" s="106">
        <v>66.2</v>
      </c>
      <c r="K79" s="106">
        <v>66</v>
      </c>
      <c r="L79" s="106">
        <v>65.400000000000006</v>
      </c>
      <c r="M79" s="106">
        <v>65.400000000000006</v>
      </c>
      <c r="N79" s="106">
        <v>65.099999999999994</v>
      </c>
      <c r="O79" s="106">
        <v>65.7</v>
      </c>
      <c r="P79" s="106">
        <v>65.900000000000006</v>
      </c>
      <c r="Q79" s="106">
        <v>66.099999999999994</v>
      </c>
      <c r="R79" s="106">
        <v>66.5</v>
      </c>
      <c r="S79" s="106">
        <v>66.3</v>
      </c>
      <c r="T79" s="106">
        <v>66.2</v>
      </c>
      <c r="U79" s="106">
        <v>66.400000000000006</v>
      </c>
      <c r="V79" s="106">
        <v>66.5</v>
      </c>
      <c r="W79" s="106">
        <v>66.5</v>
      </c>
      <c r="X79" s="106">
        <v>66.5</v>
      </c>
      <c r="Y79" s="106">
        <v>64.900000000000006</v>
      </c>
      <c r="Z79" s="106">
        <v>65</v>
      </c>
      <c r="AA79" s="106">
        <v>65.400000000000006</v>
      </c>
      <c r="AB79" s="106">
        <v>65.400000000000006</v>
      </c>
      <c r="AC79" s="106">
        <v>66</v>
      </c>
      <c r="AD79" s="106">
        <v>67.099999999999994</v>
      </c>
      <c r="AE79" s="106">
        <v>67.2</v>
      </c>
      <c r="AF79" s="107">
        <v>67</v>
      </c>
      <c r="AG79" s="108"/>
      <c r="AH79" s="52">
        <f>MAX(B79:AF79)</f>
        <v>67.5</v>
      </c>
      <c r="AI79" s="53">
        <f>MIN(B79:AF79)</f>
        <v>64.900000000000006</v>
      </c>
    </row>
    <row r="80" spans="1:35" x14ac:dyDescent="0.25">
      <c r="A80" s="109" t="s">
        <v>87</v>
      </c>
      <c r="B80" s="110">
        <f t="shared" ref="B80:AF80" si="19">SUMIF(B48:B57,"&gt;0")</f>
        <v>326.52000000000004</v>
      </c>
      <c r="C80" s="110">
        <f t="shared" si="19"/>
        <v>303.07</v>
      </c>
      <c r="D80" s="110">
        <f t="shared" si="19"/>
        <v>306.7</v>
      </c>
      <c r="E80" s="110">
        <f t="shared" si="19"/>
        <v>272.79000000000002</v>
      </c>
      <c r="F80" s="110">
        <f t="shared" si="19"/>
        <v>280.59000000000003</v>
      </c>
      <c r="G80" s="110">
        <f t="shared" si="19"/>
        <v>295.5</v>
      </c>
      <c r="H80" s="110">
        <f t="shared" si="19"/>
        <v>335.1</v>
      </c>
      <c r="I80" s="110">
        <f t="shared" si="19"/>
        <v>276</v>
      </c>
      <c r="J80" s="110">
        <f t="shared" si="19"/>
        <v>359.34000000000003</v>
      </c>
      <c r="K80" s="110">
        <f t="shared" si="19"/>
        <v>363.8</v>
      </c>
      <c r="L80" s="110">
        <f t="shared" si="19"/>
        <v>393.5</v>
      </c>
      <c r="M80" s="110">
        <f t="shared" si="19"/>
        <v>467.2</v>
      </c>
      <c r="N80" s="110">
        <f t="shared" si="19"/>
        <v>501</v>
      </c>
      <c r="O80" s="110">
        <f t="shared" si="19"/>
        <v>502.7</v>
      </c>
      <c r="P80" s="110">
        <f t="shared" si="19"/>
        <v>483.7</v>
      </c>
      <c r="Q80" s="110">
        <f t="shared" si="19"/>
        <v>505.6</v>
      </c>
      <c r="R80" s="110">
        <f t="shared" si="19"/>
        <v>509.6</v>
      </c>
      <c r="S80" s="110">
        <f t="shared" si="19"/>
        <v>490.2</v>
      </c>
      <c r="T80" s="110">
        <f t="shared" si="19"/>
        <v>478.79999999999995</v>
      </c>
      <c r="U80" s="110">
        <f t="shared" si="19"/>
        <v>425.09999999999991</v>
      </c>
      <c r="V80" s="110">
        <f t="shared" si="19"/>
        <v>428.76</v>
      </c>
      <c r="W80" s="110">
        <f t="shared" si="19"/>
        <v>434.40999999999991</v>
      </c>
      <c r="X80" s="110">
        <f t="shared" si="19"/>
        <v>460.10999999999996</v>
      </c>
      <c r="Y80" s="110">
        <f t="shared" si="19"/>
        <v>510.42999999999995</v>
      </c>
      <c r="Z80" s="110">
        <f t="shared" si="19"/>
        <v>567.61999999999989</v>
      </c>
      <c r="AA80" s="110">
        <f t="shared" si="19"/>
        <v>531.09999999999991</v>
      </c>
      <c r="AB80" s="110">
        <f t="shared" si="19"/>
        <v>517</v>
      </c>
      <c r="AC80" s="110">
        <f t="shared" si="19"/>
        <v>533.1</v>
      </c>
      <c r="AD80" s="110">
        <f t="shared" si="19"/>
        <v>474.04999999999995</v>
      </c>
      <c r="AE80" s="110">
        <f t="shared" si="19"/>
        <v>412.35</v>
      </c>
      <c r="AF80" s="110">
        <f t="shared" si="19"/>
        <v>391</v>
      </c>
      <c r="AG80" s="111"/>
      <c r="AH80" s="52">
        <f>MAX(B80:AF80)</f>
        <v>567.61999999999989</v>
      </c>
      <c r="AI80" s="53">
        <f>MIN(B80:AF80)</f>
        <v>272.79000000000002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 t="shared" ref="B82:AF82" si="20">B11+B13+B17+B34+B36+B38+B40+B94+B108+B110+B121+B127+B130+B139+B143+B144+B147+B154+B159+B162+B163+B164+B172+B177+B83+B84+B85+B86+B99</f>
        <v>140.42000000000002</v>
      </c>
      <c r="C82" s="115">
        <f t="shared" si="20"/>
        <v>138.81999999999996</v>
      </c>
      <c r="D82" s="115">
        <f t="shared" si="20"/>
        <v>132.71999999999997</v>
      </c>
      <c r="E82" s="115">
        <f t="shared" si="20"/>
        <v>137.11999999999995</v>
      </c>
      <c r="F82" s="186">
        <f>F11+F13+F17+F34+F36+F38+F40+F94+F108+F110+F121+F127+F130+F139+F143+F144+F147+F154+F159+F162+F163+F164+F172+F177+F83+F84+F85+F86+F99</f>
        <v>155.51999999999998</v>
      </c>
      <c r="G82" s="115">
        <f t="shared" si="20"/>
        <v>185.42</v>
      </c>
      <c r="H82" s="115">
        <f t="shared" si="20"/>
        <v>226.32</v>
      </c>
      <c r="I82" s="115">
        <f t="shared" si="20"/>
        <v>228.22</v>
      </c>
      <c r="J82" s="115">
        <f t="shared" si="20"/>
        <v>247.82000000000002</v>
      </c>
      <c r="K82" s="115">
        <f t="shared" si="20"/>
        <v>247.72</v>
      </c>
      <c r="L82" s="115">
        <f t="shared" si="20"/>
        <v>233.62000000000003</v>
      </c>
      <c r="M82" s="115">
        <f t="shared" si="20"/>
        <v>249.72</v>
      </c>
      <c r="N82" s="115">
        <f t="shared" si="20"/>
        <v>235.81999999999996</v>
      </c>
      <c r="O82" s="115">
        <f t="shared" si="20"/>
        <v>236.51999999999998</v>
      </c>
      <c r="P82" s="115">
        <f t="shared" si="20"/>
        <v>222.82</v>
      </c>
      <c r="Q82" s="115">
        <f t="shared" si="20"/>
        <v>208.61999999999995</v>
      </c>
      <c r="R82" s="115">
        <f t="shared" si="20"/>
        <v>207.01999999999998</v>
      </c>
      <c r="S82" s="115">
        <f t="shared" si="20"/>
        <v>227.01999999999998</v>
      </c>
      <c r="T82" s="115">
        <f t="shared" si="20"/>
        <v>232.62</v>
      </c>
      <c r="U82" s="115">
        <f t="shared" si="20"/>
        <v>206.11999999999998</v>
      </c>
      <c r="V82" s="115">
        <f t="shared" si="20"/>
        <v>230.21999999999994</v>
      </c>
      <c r="W82" s="115">
        <f t="shared" si="20"/>
        <v>232.11999999999998</v>
      </c>
      <c r="X82" s="115">
        <f t="shared" si="20"/>
        <v>245.51999999999998</v>
      </c>
      <c r="Y82" s="115">
        <f t="shared" si="20"/>
        <v>286.11999999999995</v>
      </c>
      <c r="Z82" s="115">
        <f t="shared" si="20"/>
        <v>319.81999999999994</v>
      </c>
      <c r="AA82" s="115">
        <f t="shared" si="20"/>
        <v>288.02</v>
      </c>
      <c r="AB82" s="115">
        <f t="shared" si="20"/>
        <v>288.71999999999991</v>
      </c>
      <c r="AC82" s="115">
        <f t="shared" si="20"/>
        <v>250.72</v>
      </c>
      <c r="AD82" s="115">
        <f t="shared" si="20"/>
        <v>199.42000000000002</v>
      </c>
      <c r="AE82" s="115">
        <f t="shared" si="20"/>
        <v>167.51999999999998</v>
      </c>
      <c r="AF82" s="115">
        <f t="shared" si="20"/>
        <v>146.21999999999997</v>
      </c>
      <c r="AG82" s="116"/>
      <c r="AH82" s="52">
        <f>MAX(B82:AF82)</f>
        <v>319.81999999999994</v>
      </c>
      <c r="AI82" s="53">
        <f>MIN(B82:AF82)</f>
        <v>132.71999999999997</v>
      </c>
    </row>
    <row r="83" spans="1:37" x14ac:dyDescent="0.25">
      <c r="A83" s="117" t="s">
        <v>89</v>
      </c>
      <c r="B83" s="118">
        <v>26.3</v>
      </c>
      <c r="C83" s="118">
        <v>23.7</v>
      </c>
      <c r="D83" s="118">
        <v>31.9</v>
      </c>
      <c r="E83" s="118">
        <v>29.9</v>
      </c>
      <c r="F83" s="118">
        <v>25.5</v>
      </c>
      <c r="G83" s="118">
        <v>40.4</v>
      </c>
      <c r="H83" s="118">
        <v>52.4</v>
      </c>
      <c r="I83" s="118">
        <v>50</v>
      </c>
      <c r="J83" s="118">
        <v>54.8</v>
      </c>
      <c r="K83" s="118">
        <v>55.3</v>
      </c>
      <c r="L83" s="118">
        <v>43.2</v>
      </c>
      <c r="M83" s="118">
        <v>41.9</v>
      </c>
      <c r="N83" s="118">
        <v>36.6</v>
      </c>
      <c r="O83" s="118">
        <v>34.9</v>
      </c>
      <c r="P83" s="118">
        <v>30.5</v>
      </c>
      <c r="Q83" s="118">
        <v>31.5</v>
      </c>
      <c r="R83" s="118">
        <v>24</v>
      </c>
      <c r="S83" s="118">
        <v>35.299999999999997</v>
      </c>
      <c r="T83" s="118">
        <v>43.5</v>
      </c>
      <c r="U83" s="118">
        <v>52</v>
      </c>
      <c r="V83" s="118">
        <v>54.5</v>
      </c>
      <c r="W83" s="118">
        <v>47.5</v>
      </c>
      <c r="X83" s="118">
        <v>50.6</v>
      </c>
      <c r="Y83" s="118">
        <v>58.7</v>
      </c>
      <c r="Z83" s="118">
        <v>35.299999999999997</v>
      </c>
      <c r="AA83" s="50">
        <v>30.7</v>
      </c>
      <c r="AB83" s="50">
        <v>30.7</v>
      </c>
      <c r="AC83" s="50">
        <v>13.9</v>
      </c>
      <c r="AD83" s="50">
        <v>20</v>
      </c>
      <c r="AE83" s="50">
        <v>21.9</v>
      </c>
      <c r="AF83" s="119">
        <v>23.7</v>
      </c>
      <c r="AG83" s="120">
        <v>75</v>
      </c>
      <c r="AH83" s="52">
        <f>IF(ABS(MAX(B83:AF83))&gt;ABS(MIN(B83:AF83)),MAX(B83:AF83),MIN(B83:AF83))</f>
        <v>58.7</v>
      </c>
      <c r="AI83" s="121">
        <f>INDEX($B$9:$AF$9,1,MATCH(AH83,B83:AF83,0))</f>
        <v>0.79166666666666663</v>
      </c>
    </row>
    <row r="84" spans="1:37" x14ac:dyDescent="0.25">
      <c r="A84" s="122" t="s">
        <v>90</v>
      </c>
      <c r="B84" s="83">
        <v>-42</v>
      </c>
      <c r="C84" s="83">
        <v>-40</v>
      </c>
      <c r="D84" s="83">
        <f>-45.9</f>
        <v>-45.9</v>
      </c>
      <c r="E84" s="83">
        <f>-47.3</f>
        <v>-47.3</v>
      </c>
      <c r="F84" s="83">
        <f>-37.7</f>
        <v>-37.700000000000003</v>
      </c>
      <c r="G84" s="83">
        <v>-36</v>
      </c>
      <c r="H84" s="83">
        <v>-31</v>
      </c>
      <c r="I84" s="83">
        <v>-28</v>
      </c>
      <c r="J84" s="83">
        <v>-25</v>
      </c>
      <c r="K84" s="83">
        <v>-26</v>
      </c>
      <c r="L84" s="83">
        <v>-30.5</v>
      </c>
      <c r="M84" s="83">
        <v>-14</v>
      </c>
      <c r="N84" s="83">
        <v>-15.8</v>
      </c>
      <c r="O84" s="83">
        <v>-8</v>
      </c>
      <c r="P84" s="83">
        <f>-2.9-6.9</f>
        <v>-9.8000000000000007</v>
      </c>
      <c r="Q84" s="83">
        <v>-23.3</v>
      </c>
      <c r="R84" s="83">
        <v>-17.899999999999999</v>
      </c>
      <c r="S84" s="83">
        <v>-10.199999999999999</v>
      </c>
      <c r="T84" s="83">
        <v>-11.5</v>
      </c>
      <c r="U84" s="83">
        <v>-23</v>
      </c>
      <c r="V84" s="83">
        <v>-22.8</v>
      </c>
      <c r="W84" s="83">
        <v>-16</v>
      </c>
      <c r="X84" s="83">
        <v>-14</v>
      </c>
      <c r="Y84" s="83">
        <v>5</v>
      </c>
      <c r="Z84" s="83">
        <v>20</v>
      </c>
      <c r="AA84" s="70">
        <v>8.8000000000000007</v>
      </c>
      <c r="AB84" s="70">
        <v>8.8000000000000007</v>
      </c>
      <c r="AC84" s="70">
        <f>8.8+0.9</f>
        <v>9.7000000000000011</v>
      </c>
      <c r="AD84" s="70">
        <f>-(1.4+10.7)</f>
        <v>-12.1</v>
      </c>
      <c r="AE84" s="70">
        <f>-(9.5+19.8)</f>
        <v>-29.3</v>
      </c>
      <c r="AF84" s="123">
        <v>-36</v>
      </c>
      <c r="AG84" s="120">
        <v>240</v>
      </c>
      <c r="AH84" s="52">
        <f>IF(ABS(MAX(B84:AF84))&gt;ABS(MIN(B84:AF84)),MAX(B84:AF84),MIN(B84:AF84))</f>
        <v>-47.3</v>
      </c>
      <c r="AI84" s="121">
        <f>INDEX($B$9:$AF$9,1,MATCH(AH84,B84:AF84,0))</f>
        <v>0.16666666666666699</v>
      </c>
    </row>
    <row r="85" spans="1:37" x14ac:dyDescent="0.25">
      <c r="A85" s="122" t="s">
        <v>91</v>
      </c>
      <c r="B85" s="83">
        <v>17.8</v>
      </c>
      <c r="C85" s="83">
        <v>17.600000000000001</v>
      </c>
      <c r="D85" s="83">
        <v>11.7</v>
      </c>
      <c r="E85" s="83">
        <v>11</v>
      </c>
      <c r="F85" s="83">
        <v>14.4</v>
      </c>
      <c r="G85" s="83">
        <v>10.3</v>
      </c>
      <c r="H85" s="83">
        <v>12</v>
      </c>
      <c r="I85" s="83">
        <v>12</v>
      </c>
      <c r="J85" s="83">
        <v>13.9</v>
      </c>
      <c r="K85" s="83">
        <v>14.6</v>
      </c>
      <c r="L85" s="83">
        <v>15.9</v>
      </c>
      <c r="M85" s="83">
        <v>15.6</v>
      </c>
      <c r="N85" s="83">
        <v>17.399999999999999</v>
      </c>
      <c r="O85" s="83">
        <v>18.7</v>
      </c>
      <c r="P85" s="83">
        <v>20.5</v>
      </c>
      <c r="Q85" s="83">
        <v>16.600000000000001</v>
      </c>
      <c r="R85" s="83">
        <v>17.600000000000001</v>
      </c>
      <c r="S85" s="83">
        <v>16.5</v>
      </c>
      <c r="T85" s="83">
        <v>13.4</v>
      </c>
      <c r="U85" s="83">
        <v>5.0999999999999996</v>
      </c>
      <c r="V85" s="83">
        <v>4.7</v>
      </c>
      <c r="W85" s="83">
        <v>7.5</v>
      </c>
      <c r="X85" s="83">
        <v>6.8</v>
      </c>
      <c r="Y85" s="83">
        <v>11.1</v>
      </c>
      <c r="Z85" s="83">
        <v>36.799999999999997</v>
      </c>
      <c r="AA85" s="70">
        <v>40.1</v>
      </c>
      <c r="AB85" s="70">
        <v>40.1</v>
      </c>
      <c r="AC85" s="70">
        <v>39.200000000000003</v>
      </c>
      <c r="AD85" s="70">
        <v>31.9</v>
      </c>
      <c r="AE85" s="70">
        <v>29.9</v>
      </c>
      <c r="AF85" s="123">
        <v>28</v>
      </c>
      <c r="AG85" s="120">
        <v>60</v>
      </c>
      <c r="AH85" s="52">
        <f>IF(ABS(MAX(B85:AF85))&gt;ABS(MIN(B85:AF85)),MAX(B85:AF85),MIN(B85:AF85))</f>
        <v>40.1</v>
      </c>
      <c r="AI85" s="121">
        <f>INDEX($B$9:$AF$9,1,MATCH(AH85,B85:AF85,0))</f>
        <v>0.83333333333333337</v>
      </c>
    </row>
    <row r="86" spans="1:37" x14ac:dyDescent="0.25">
      <c r="A86" s="124" t="s">
        <v>92</v>
      </c>
      <c r="B86" s="85">
        <v>-24.2</v>
      </c>
      <c r="C86" s="85">
        <v>-27.4</v>
      </c>
      <c r="D86" s="85">
        <v>-28.6</v>
      </c>
      <c r="E86" s="85">
        <v>-22.3</v>
      </c>
      <c r="F86" s="85">
        <v>-11.6</v>
      </c>
      <c r="G86" s="85">
        <v>3.6</v>
      </c>
      <c r="H86" s="85">
        <v>24</v>
      </c>
      <c r="I86" s="85">
        <v>28</v>
      </c>
      <c r="J86" s="85">
        <v>39.200000000000003</v>
      </c>
      <c r="K86" s="85">
        <v>39.200000000000003</v>
      </c>
      <c r="L86" s="85">
        <v>42.2</v>
      </c>
      <c r="M86" s="85">
        <v>42.7</v>
      </c>
      <c r="N86" s="85">
        <v>34.9</v>
      </c>
      <c r="O86" s="85">
        <v>28.7</v>
      </c>
      <c r="P86" s="85">
        <v>19.8</v>
      </c>
      <c r="Q86" s="85">
        <v>22.1</v>
      </c>
      <c r="R86" s="85">
        <v>22.1</v>
      </c>
      <c r="S86" s="85">
        <v>26.9</v>
      </c>
      <c r="T86" s="85">
        <v>29.6</v>
      </c>
      <c r="U86" s="85">
        <v>11.4</v>
      </c>
      <c r="V86" s="85">
        <v>33.5</v>
      </c>
      <c r="W86" s="85">
        <v>35.6</v>
      </c>
      <c r="X86" s="85">
        <v>44.6</v>
      </c>
      <c r="Y86" s="85">
        <v>51.8</v>
      </c>
      <c r="Z86" s="85">
        <v>69.900000000000006</v>
      </c>
      <c r="AA86" s="125">
        <v>53.5</v>
      </c>
      <c r="AB86" s="125">
        <v>53.5</v>
      </c>
      <c r="AC86" s="125">
        <v>33.799999999999997</v>
      </c>
      <c r="AD86" s="125">
        <v>4.8</v>
      </c>
      <c r="AE86" s="125">
        <v>-10.1</v>
      </c>
      <c r="AF86" s="126">
        <v>-24</v>
      </c>
      <c r="AG86" s="127">
        <v>120</v>
      </c>
      <c r="AH86" s="52">
        <f>IF(ABS(MAX(B86:AF86))&gt;ABS(MIN(B86:AF86)),MAX(B86:AF86),MIN(B86:AF86))</f>
        <v>69.900000000000006</v>
      </c>
      <c r="AI86" s="121">
        <f>INDEX($B$9:$AF$9,1,MATCH(AH86,B86:AF86,0))</f>
        <v>0.8125</v>
      </c>
    </row>
    <row r="87" spans="1:37" ht="15.75" thickBot="1" x14ac:dyDescent="0.3">
      <c r="A87" s="124" t="s">
        <v>93</v>
      </c>
      <c r="B87" s="85">
        <v>-5.2</v>
      </c>
      <c r="C87" s="85">
        <v>-5.0999999999999996</v>
      </c>
      <c r="D87" s="85">
        <v>-6.3</v>
      </c>
      <c r="E87" s="85">
        <f>-12.3</f>
        <v>-12.3</v>
      </c>
      <c r="F87" s="85">
        <f>-2.4</f>
        <v>-2.4</v>
      </c>
      <c r="G87" s="85">
        <v>0</v>
      </c>
      <c r="H87" s="85">
        <v>-10.5</v>
      </c>
      <c r="I87" s="85">
        <v>1</v>
      </c>
      <c r="J87" s="85">
        <v>2.9</v>
      </c>
      <c r="K87" s="85">
        <v>9.1999999999999993</v>
      </c>
      <c r="L87" s="85">
        <v>54</v>
      </c>
      <c r="M87" s="85">
        <v>82.6</v>
      </c>
      <c r="N87" s="85">
        <v>88.9</v>
      </c>
      <c r="O87" s="85">
        <v>82.5</v>
      </c>
      <c r="P87" s="85">
        <v>78</v>
      </c>
      <c r="Q87" s="85">
        <v>73.3</v>
      </c>
      <c r="R87" s="85">
        <v>90.3</v>
      </c>
      <c r="S87" s="85">
        <v>71.2</v>
      </c>
      <c r="T87" s="85">
        <v>64</v>
      </c>
      <c r="U87" s="85">
        <v>38.9</v>
      </c>
      <c r="V87" s="85">
        <v>30.5</v>
      </c>
      <c r="W87" s="85">
        <v>23.7</v>
      </c>
      <c r="X87" s="85">
        <v>25.6</v>
      </c>
      <c r="Y87" s="85">
        <v>58.6</v>
      </c>
      <c r="Z87" s="85">
        <v>70.3</v>
      </c>
      <c r="AA87" s="125">
        <v>54.1</v>
      </c>
      <c r="AB87" s="125">
        <v>54.1</v>
      </c>
      <c r="AC87" s="125">
        <v>66.3</v>
      </c>
      <c r="AD87" s="125">
        <v>18.100000000000001</v>
      </c>
      <c r="AE87" s="125">
        <v>5.6</v>
      </c>
      <c r="AF87" s="126">
        <v>0</v>
      </c>
      <c r="AG87" s="127"/>
      <c r="AH87" s="52">
        <f>IF(ABS(MAX(B87:AF87))&gt;ABS(MIN(B87:AF87)),MAX(B87:AF87),MIN(B87:AF87))</f>
        <v>90.3</v>
      </c>
      <c r="AI87" s="121">
        <f>INDEX($B$9:$AF$9,1,MATCH(AH87,B87:AF87,0))</f>
        <v>0.58333333333333304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1100.94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9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9)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9)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958.16</v>
      </c>
      <c r="U193" s="173">
        <f t="shared" si="37"/>
        <v>935.21</v>
      </c>
      <c r="V193" s="173">
        <f t="shared" si="37"/>
        <v>924.83999999999992</v>
      </c>
      <c r="W193" s="173">
        <f t="shared" si="37"/>
        <v>886.32999999999993</v>
      </c>
      <c r="X193" s="173">
        <f t="shared" si="37"/>
        <v>868.03000000000009</v>
      </c>
      <c r="Y193" s="173">
        <f t="shared" si="37"/>
        <v>925.43999999999994</v>
      </c>
      <c r="Z193" s="173">
        <f t="shared" si="37"/>
        <v>947.94</v>
      </c>
      <c r="AA193" s="173">
        <f t="shared" si="37"/>
        <v>944.24</v>
      </c>
      <c r="AB193" s="173">
        <f t="shared" si="37"/>
        <v>1048.8800000000001</v>
      </c>
      <c r="AC193" s="173">
        <f t="shared" si="37"/>
        <v>1053.44</v>
      </c>
      <c r="AD193" s="173">
        <f t="shared" si="37"/>
        <v>1062.1400000000001</v>
      </c>
      <c r="AE193" s="173">
        <f t="shared" si="37"/>
        <v>1100.94</v>
      </c>
      <c r="AF193" s="173">
        <f t="shared" si="37"/>
        <v>1144.94</v>
      </c>
      <c r="AG193" s="173">
        <f t="shared" si="37"/>
        <v>1152.74</v>
      </c>
      <c r="AH193" s="173">
        <f t="shared" si="37"/>
        <v>1143.1399999999999</v>
      </c>
      <c r="AI193" s="173">
        <f t="shared" si="37"/>
        <v>1127.8399999999999</v>
      </c>
      <c r="AJ193" s="173">
        <f t="shared" si="37"/>
        <v>1134.8399999999999</v>
      </c>
      <c r="AK193" s="173">
        <f t="shared" si="37"/>
        <v>1115.94</v>
      </c>
      <c r="AL193" s="173">
        <f t="shared" si="37"/>
        <v>1094.54</v>
      </c>
      <c r="AM193" s="173">
        <f t="shared" si="37"/>
        <v>1039.44</v>
      </c>
      <c r="AN193" s="173">
        <f t="shared" si="37"/>
        <v>1047.5999999999999</v>
      </c>
      <c r="AO193" s="173">
        <f t="shared" si="37"/>
        <v>1051.4499999999998</v>
      </c>
      <c r="AP193" s="173">
        <f t="shared" si="37"/>
        <v>1076.25</v>
      </c>
      <c r="AQ193" s="173">
        <f t="shared" si="37"/>
        <v>1132.9699999999998</v>
      </c>
      <c r="AR193" s="173">
        <f t="shared" si="37"/>
        <v>1267.56</v>
      </c>
      <c r="AS193" s="173">
        <f t="shared" si="37"/>
        <v>1266.6399999999999</v>
      </c>
      <c r="AT193" s="173">
        <f t="shared" si="37"/>
        <v>1253.24</v>
      </c>
      <c r="AU193" s="173">
        <f t="shared" si="37"/>
        <v>1257.1400000000001</v>
      </c>
      <c r="AV193" s="173">
        <f t="shared" si="37"/>
        <v>1187.9899999999998</v>
      </c>
      <c r="AW193" s="173">
        <f t="shared" si="37"/>
        <v>1112.99</v>
      </c>
      <c r="AX193" s="173">
        <f t="shared" si="37"/>
        <v>1080.1400000000001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486" priority="256">
      <formula>S$9&gt;=20/24</formula>
    </cfRule>
    <cfRule type="expression" dxfId="4485" priority="257">
      <formula>AND(S$9&gt;=14/24,S$9&lt;20/24)</formula>
    </cfRule>
    <cfRule type="expression" dxfId="4484" priority="258">
      <formula>AND(S$9&gt;=8/24,S$9&lt;14/24)</formula>
    </cfRule>
    <cfRule type="expression" dxfId="4483" priority="259">
      <formula>S$9&lt;8/24</formula>
    </cfRule>
  </conditionalFormatting>
  <conditionalFormatting sqref="B8:AF10 AA70:AF70 L32:Z33 L31:Q31 C173:AF179 M36 N35:Q36 L29:Q29 L34:Q34 L51:Q52 L49:T50 V35:W35 S34:W34 X34:Z35 AA48:AF51 B53:B58 R11:T11 U11:Z12 B47:E52 B59:E79 G59:AF69 G47:AF47 G71:AF71 G73:Z79 G72:Q72 G48:K52 G70:Q70 M54:M58 M37:Q38 L53:M53 N53:Q58 L39:Q39 R55:R58 AA72:AF79 L44:AF46">
    <cfRule type="expression" dxfId="4482" priority="252">
      <formula>B$9&gt;=20/24</formula>
    </cfRule>
    <cfRule type="expression" dxfId="4481" priority="253">
      <formula>AND(B$9&gt;=14/24,B$9&lt;20/24)</formula>
    </cfRule>
    <cfRule type="expression" dxfId="4480" priority="254">
      <formula>AND(B$9&gt;=8/24,B$9&lt;14/24)</formula>
    </cfRule>
    <cfRule type="expression" dxfId="4479" priority="255">
      <formula>B$9&lt;8/24</formula>
    </cfRule>
  </conditionalFormatting>
  <conditionalFormatting sqref="B171:AF171">
    <cfRule type="expression" dxfId="4478" priority="248">
      <formula>B$9&gt;=20/24</formula>
    </cfRule>
    <cfRule type="expression" dxfId="4477" priority="249">
      <formula>AND(B$9&gt;=14/24,B$9&lt;20/24)</formula>
    </cfRule>
    <cfRule type="expression" dxfId="4476" priority="250">
      <formula>AND(B$9&gt;=8/24,B$9&lt;14/24)</formula>
    </cfRule>
    <cfRule type="expression" dxfId="4475" priority="251">
      <formula>B$9&lt;8/24</formula>
    </cfRule>
  </conditionalFormatting>
  <conditionalFormatting sqref="AL4:AL6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474" priority="243">
      <formula>L$9&gt;=20/24</formula>
    </cfRule>
    <cfRule type="expression" dxfId="4473" priority="244">
      <formula>AND(L$9&gt;=14/24,L$9&lt;20/24)</formula>
    </cfRule>
    <cfRule type="expression" dxfId="4472" priority="245">
      <formula>AND(L$9&gt;=8/24,L$9&lt;14/24)</formula>
    </cfRule>
    <cfRule type="expression" dxfId="4471" priority="246">
      <formula>L$9&lt;8/24</formula>
    </cfRule>
  </conditionalFormatting>
  <conditionalFormatting sqref="L35:M35">
    <cfRule type="expression" dxfId="4470" priority="239">
      <formula>L$9&gt;=20/24</formula>
    </cfRule>
    <cfRule type="expression" dxfId="4469" priority="240">
      <formula>AND(L$9&gt;=14/24,L$9&lt;20/24)</formula>
    </cfRule>
    <cfRule type="expression" dxfId="4468" priority="241">
      <formula>AND(L$9&gt;=8/24,L$9&lt;14/24)</formula>
    </cfRule>
    <cfRule type="expression" dxfId="4467" priority="242">
      <formula>L$9&lt;8/24</formula>
    </cfRule>
  </conditionalFormatting>
  <conditionalFormatting sqref="U13:Z13">
    <cfRule type="expression" dxfId="4466" priority="235">
      <formula>U$9&gt;=20/24</formula>
    </cfRule>
    <cfRule type="expression" dxfId="4465" priority="236">
      <formula>AND(U$9&gt;=14/24,U$9&lt;20/24)</formula>
    </cfRule>
    <cfRule type="expression" dxfId="4464" priority="237">
      <formula>AND(U$9&gt;=8/24,U$9&lt;14/24)</formula>
    </cfRule>
    <cfRule type="expression" dxfId="4463" priority="238">
      <formula>U$9&lt;8/24</formula>
    </cfRule>
  </conditionalFormatting>
  <conditionalFormatting sqref="R31:Z31">
    <cfRule type="expression" dxfId="4462" priority="231">
      <formula>R$9&gt;=20/24</formula>
    </cfRule>
    <cfRule type="expression" dxfId="4461" priority="232">
      <formula>AND(R$9&gt;=14/24,R$9&lt;20/24)</formula>
    </cfRule>
    <cfRule type="expression" dxfId="4460" priority="233">
      <formula>AND(R$9&gt;=8/24,R$9&lt;14/24)</formula>
    </cfRule>
    <cfRule type="expression" dxfId="4459" priority="234">
      <formula>R$9&lt;8/24</formula>
    </cfRule>
  </conditionalFormatting>
  <conditionalFormatting sqref="R48:Z48">
    <cfRule type="expression" dxfId="4458" priority="227">
      <formula>R$9&gt;=20/24</formula>
    </cfRule>
    <cfRule type="expression" dxfId="4457" priority="228">
      <formula>AND(R$9&gt;=14/24,R$9&lt;20/24)</formula>
    </cfRule>
    <cfRule type="expression" dxfId="4456" priority="229">
      <formula>AND(R$9&gt;=8/24,R$9&lt;14/24)</formula>
    </cfRule>
    <cfRule type="expression" dxfId="4455" priority="230">
      <formula>R$9&lt;8/24</formula>
    </cfRule>
  </conditionalFormatting>
  <conditionalFormatting sqref="R70:Z70">
    <cfRule type="expression" dxfId="4454" priority="223">
      <formula>R$9&gt;=20/24</formula>
    </cfRule>
    <cfRule type="expression" dxfId="4453" priority="224">
      <formula>AND(R$9&gt;=14/24,R$9&lt;20/24)</formula>
    </cfRule>
    <cfRule type="expression" dxfId="4452" priority="225">
      <formula>AND(R$9&gt;=8/24,R$9&lt;14/24)</formula>
    </cfRule>
    <cfRule type="expression" dxfId="4451" priority="226">
      <formula>R$9&lt;8/24</formula>
    </cfRule>
  </conditionalFormatting>
  <conditionalFormatting sqref="R72:Z72">
    <cfRule type="expression" dxfId="4450" priority="219">
      <formula>R$9&gt;=20/24</formula>
    </cfRule>
    <cfRule type="expression" dxfId="4449" priority="220">
      <formula>AND(R$9&gt;=14/24,R$9&lt;20/24)</formula>
    </cfRule>
    <cfRule type="expression" dxfId="4448" priority="221">
      <formula>AND(R$9&gt;=8/24,R$9&lt;14/24)</formula>
    </cfRule>
    <cfRule type="expression" dxfId="4447" priority="222">
      <formula>R$9&lt;8/24</formula>
    </cfRule>
  </conditionalFormatting>
  <conditionalFormatting sqref="R22:R24 M16:R16 L26:Q27 R26 L11:Q24">
    <cfRule type="expression" dxfId="4446" priority="215">
      <formula>L$9&gt;=20/24</formula>
    </cfRule>
    <cfRule type="expression" dxfId="4445" priority="216">
      <formula>AND(L$9&gt;=14/24,L$9&lt;20/24)</formula>
    </cfRule>
    <cfRule type="expression" dxfId="4444" priority="217">
      <formula>AND(L$9&gt;=8/24,L$9&lt;14/24)</formula>
    </cfRule>
    <cfRule type="expression" dxfId="4443" priority="218">
      <formula>L$9&lt;8/24</formula>
    </cfRule>
  </conditionalFormatting>
  <conditionalFormatting sqref="L40:Q40">
    <cfRule type="expression" dxfId="4442" priority="211">
      <formula>L$9&gt;=20/24</formula>
    </cfRule>
    <cfRule type="expression" dxfId="4441" priority="212">
      <formula>AND(L$9&gt;=14/24,L$9&lt;20/24)</formula>
    </cfRule>
    <cfRule type="expression" dxfId="4440" priority="213">
      <formula>AND(L$9&gt;=8/24,L$9&lt;14/24)</formula>
    </cfRule>
    <cfRule type="expression" dxfId="4439" priority="214">
      <formula>L$9&lt;8/24</formula>
    </cfRule>
  </conditionalFormatting>
  <conditionalFormatting sqref="L41:Q41">
    <cfRule type="expression" dxfId="4438" priority="207">
      <formula>L$9&gt;=20/24</formula>
    </cfRule>
    <cfRule type="expression" dxfId="4437" priority="208">
      <formula>AND(L$9&gt;=14/24,L$9&lt;20/24)</formula>
    </cfRule>
    <cfRule type="expression" dxfId="4436" priority="209">
      <formula>AND(L$9&gt;=8/24,L$9&lt;14/24)</formula>
    </cfRule>
    <cfRule type="expression" dxfId="4435" priority="210">
      <formula>L$9&lt;8/24</formula>
    </cfRule>
  </conditionalFormatting>
  <conditionalFormatting sqref="L36:M38 N37:N38">
    <cfRule type="expression" dxfId="4434" priority="203">
      <formula>L$9&gt;=20/24</formula>
    </cfRule>
    <cfRule type="expression" dxfId="4433" priority="204">
      <formula>AND(L$9&gt;=14/24,L$9&lt;20/24)</formula>
    </cfRule>
    <cfRule type="expression" dxfId="4432" priority="205">
      <formula>AND(L$9&gt;=8/24,L$9&lt;14/24)</formula>
    </cfRule>
    <cfRule type="expression" dxfId="4431" priority="206">
      <formula>L$9&lt;8/24</formula>
    </cfRule>
  </conditionalFormatting>
  <conditionalFormatting sqref="R29:AD29">
    <cfRule type="expression" dxfId="4430" priority="199">
      <formula>R$9&gt;=20/24</formula>
    </cfRule>
    <cfRule type="expression" dxfId="4429" priority="200">
      <formula>AND(R$9&gt;=14/24,R$9&lt;20/24)</formula>
    </cfRule>
    <cfRule type="expression" dxfId="4428" priority="201">
      <formula>AND(R$9&gt;=8/24,R$9&lt;14/24)</formula>
    </cfRule>
    <cfRule type="expression" dxfId="4427" priority="202">
      <formula>R$9&lt;8/24</formula>
    </cfRule>
  </conditionalFormatting>
  <conditionalFormatting sqref="R12:T19 R26:R27 R20:R24 U14:Z19 W20:Z20 AA14:AF14 AA16:AF20">
    <cfRule type="expression" dxfId="4426" priority="195">
      <formula>R$9&gt;=20/24</formula>
    </cfRule>
    <cfRule type="expression" dxfId="4425" priority="196">
      <formula>AND(R$9&gt;=14/24,R$9&lt;20/24)</formula>
    </cfRule>
    <cfRule type="expression" dxfId="4424" priority="197">
      <formula>AND(R$9&gt;=8/24,R$9&lt;14/24)</formula>
    </cfRule>
    <cfRule type="expression" dxfId="4423" priority="198">
      <formula>R$9&lt;8/24</formula>
    </cfRule>
  </conditionalFormatting>
  <conditionalFormatting sqref="R34:R39 S35:U39 V36:Z39 AA39:AF39">
    <cfRule type="expression" dxfId="4422" priority="191">
      <formula>R$9&gt;=20/24</formula>
    </cfRule>
    <cfRule type="expression" dxfId="4421" priority="192">
      <formula>AND(R$9&gt;=14/24,R$9&lt;20/24)</formula>
    </cfRule>
    <cfRule type="expression" dxfId="4420" priority="193">
      <formula>AND(R$9&gt;=8/24,R$9&lt;14/24)</formula>
    </cfRule>
    <cfRule type="expression" dxfId="4419" priority="194">
      <formula>R$9&lt;8/24</formula>
    </cfRule>
  </conditionalFormatting>
  <conditionalFormatting sqref="R40:Z40">
    <cfRule type="expression" dxfId="4418" priority="187">
      <formula>R$9&gt;=20/24</formula>
    </cfRule>
    <cfRule type="expression" dxfId="4417" priority="188">
      <formula>AND(R$9&gt;=14/24,R$9&lt;20/24)</formula>
    </cfRule>
    <cfRule type="expression" dxfId="4416" priority="189">
      <formula>AND(R$9&gt;=8/24,R$9&lt;14/24)</formula>
    </cfRule>
    <cfRule type="expression" dxfId="4415" priority="190">
      <formula>R$9&lt;8/24</formula>
    </cfRule>
  </conditionalFormatting>
  <conditionalFormatting sqref="R41:Z41">
    <cfRule type="expression" dxfId="4414" priority="183">
      <formula>R$9&gt;=20/24</formula>
    </cfRule>
    <cfRule type="expression" dxfId="4413" priority="184">
      <formula>AND(R$9&gt;=14/24,R$9&lt;20/24)</formula>
    </cfRule>
    <cfRule type="expression" dxfId="4412" priority="185">
      <formula>AND(R$9&gt;=8/24,R$9&lt;14/24)</formula>
    </cfRule>
    <cfRule type="expression" dxfId="4411" priority="186">
      <formula>R$9&lt;8/24</formula>
    </cfRule>
  </conditionalFormatting>
  <conditionalFormatting sqref="R51:Z53 R54 W54:AA58 AA52:AF58">
    <cfRule type="expression" dxfId="4410" priority="179">
      <formula>R$9&gt;=20/24</formula>
    </cfRule>
    <cfRule type="expression" dxfId="4409" priority="180">
      <formula>AND(R$9&gt;=14/24,R$9&lt;20/24)</formula>
    </cfRule>
    <cfRule type="expression" dxfId="4408" priority="181">
      <formula>AND(R$9&gt;=8/24,R$9&lt;14/24)</formula>
    </cfRule>
    <cfRule type="expression" dxfId="4407" priority="182">
      <formula>R$9&lt;8/24</formula>
    </cfRule>
  </conditionalFormatting>
  <conditionalFormatting sqref="AA83:AF86">
    <cfRule type="expression" dxfId="4406" priority="175">
      <formula>AA$9&gt;=20/24</formula>
    </cfRule>
    <cfRule type="expression" dxfId="4405" priority="176">
      <formula>AND(AA$9&gt;=14/24,AA$9&lt;20/24)</formula>
    </cfRule>
    <cfRule type="expression" dxfId="4404" priority="177">
      <formula>AND(AA$9&gt;=8/24,AA$9&lt;14/24)</formula>
    </cfRule>
    <cfRule type="expression" dxfId="4403" priority="178">
      <formula>AA$9&lt;8/24</formula>
    </cfRule>
  </conditionalFormatting>
  <conditionalFormatting sqref="C53:E58 G53:K58 L54:L58">
    <cfRule type="expression" dxfId="4402" priority="171">
      <formula>C$9&gt;=20/24</formula>
    </cfRule>
    <cfRule type="expression" dxfId="4401" priority="172">
      <formula>AND(C$9&gt;=14/24,C$9&lt;20/24)</formula>
    </cfRule>
    <cfRule type="expression" dxfId="4400" priority="173">
      <formula>AND(C$9&gt;=8/24,C$9&lt;14/24)</formula>
    </cfRule>
    <cfRule type="expression" dxfId="4399" priority="174">
      <formula>C$9&lt;8/24</formula>
    </cfRule>
  </conditionalFormatting>
  <conditionalFormatting sqref="B83:K86">
    <cfRule type="expression" dxfId="4398" priority="167">
      <formula>B$9&gt;=20/24</formula>
    </cfRule>
    <cfRule type="expression" dxfId="4397" priority="168">
      <formula>AND(B$9&gt;=14/24,B$9&lt;20/24)</formula>
    </cfRule>
    <cfRule type="expression" dxfId="4396" priority="169">
      <formula>AND(B$9&gt;=8/24,B$9&lt;14/24)</formula>
    </cfRule>
    <cfRule type="expression" dxfId="4395" priority="170">
      <formula>B$9&lt;8/24</formula>
    </cfRule>
  </conditionalFormatting>
  <conditionalFormatting sqref="L83:Q86">
    <cfRule type="expression" dxfId="4394" priority="163">
      <formula>L$9&gt;=20/24</formula>
    </cfRule>
    <cfRule type="expression" dxfId="4393" priority="164">
      <formula>AND(L$9&gt;=14/24,L$9&lt;20/24)</formula>
    </cfRule>
    <cfRule type="expression" dxfId="4392" priority="165">
      <formula>AND(L$9&gt;=8/24,L$9&lt;14/24)</formula>
    </cfRule>
    <cfRule type="expression" dxfId="4391" priority="166">
      <formula>L$9&lt;8/24</formula>
    </cfRule>
  </conditionalFormatting>
  <conditionalFormatting sqref="R83:Z86">
    <cfRule type="expression" dxfId="4390" priority="159">
      <formula>R$9&gt;=20/24</formula>
    </cfRule>
    <cfRule type="expression" dxfId="4389" priority="160">
      <formula>AND(R$9&gt;=14/24,R$9&lt;20/24)</formula>
    </cfRule>
    <cfRule type="expression" dxfId="4388" priority="161">
      <formula>AND(R$9&gt;=8/24,R$9&lt;14/24)</formula>
    </cfRule>
    <cfRule type="expression" dxfId="4387" priority="162">
      <formula>R$9&lt;8/24</formula>
    </cfRule>
  </conditionalFormatting>
  <conditionalFormatting sqref="AG42 B11:E24 B26:E38 B25:R25 B40:E47 G20:R24 G26:R27 W20:AF20 B39:AE39 G41:AF47 G11:AF19 G28:AF37 G38:AE38 G40:AE40 AF38:AF40">
    <cfRule type="expression" dxfId="4386" priority="158">
      <formula>B11&gt;$AG11</formula>
    </cfRule>
  </conditionalFormatting>
  <conditionalFormatting sqref="T192:AX192">
    <cfRule type="expression" dxfId="4385" priority="154">
      <formula>T$9&gt;=20/24</formula>
    </cfRule>
    <cfRule type="expression" dxfId="4384" priority="155">
      <formula>AND(T$9&gt;=14/24,T$9&lt;20/24)</formula>
    </cfRule>
    <cfRule type="expression" dxfId="4383" priority="156">
      <formula>AND(T$9&gt;=8/24,T$9&lt;14/24)</formula>
    </cfRule>
    <cfRule type="expression" dxfId="4382" priority="157">
      <formula>T$9&lt;8/24</formula>
    </cfRule>
  </conditionalFormatting>
  <conditionalFormatting sqref="A11:A86 A88:A180">
    <cfRule type="expression" dxfId="4381" priority="153">
      <formula>$AH11=0</formula>
    </cfRule>
  </conditionalFormatting>
  <conditionalFormatting sqref="AA87:AF87">
    <cfRule type="expression" dxfId="4380" priority="149">
      <formula>AA$9&gt;=20/24</formula>
    </cfRule>
    <cfRule type="expression" dxfId="4379" priority="150">
      <formula>AND(AA$9&gt;=14/24,AA$9&lt;20/24)</formula>
    </cfRule>
    <cfRule type="expression" dxfId="4378" priority="151">
      <formula>AND(AA$9&gt;=8/24,AA$9&lt;14/24)</formula>
    </cfRule>
    <cfRule type="expression" dxfId="4377" priority="152">
      <formula>AA$9&lt;8/24</formula>
    </cfRule>
  </conditionalFormatting>
  <conditionalFormatting sqref="B87:K87">
    <cfRule type="expression" dxfId="4376" priority="145">
      <formula>B$9&gt;=20/24</formula>
    </cfRule>
    <cfRule type="expression" dxfId="4375" priority="146">
      <formula>AND(B$9&gt;=14/24,B$9&lt;20/24)</formula>
    </cfRule>
    <cfRule type="expression" dxfId="4374" priority="147">
      <formula>AND(B$9&gt;=8/24,B$9&lt;14/24)</formula>
    </cfRule>
    <cfRule type="expression" dxfId="4373" priority="148">
      <formula>B$9&lt;8/24</formula>
    </cfRule>
  </conditionalFormatting>
  <conditionalFormatting sqref="L87:Q87">
    <cfRule type="expression" dxfId="4372" priority="141">
      <formula>L$9&gt;=20/24</formula>
    </cfRule>
    <cfRule type="expression" dxfId="4371" priority="142">
      <formula>AND(L$9&gt;=14/24,L$9&lt;20/24)</formula>
    </cfRule>
    <cfRule type="expression" dxfId="4370" priority="143">
      <formula>AND(L$9&gt;=8/24,L$9&lt;14/24)</formula>
    </cfRule>
    <cfRule type="expression" dxfId="4369" priority="144">
      <formula>L$9&lt;8/24</formula>
    </cfRule>
  </conditionalFormatting>
  <conditionalFormatting sqref="R87:Z87">
    <cfRule type="expression" dxfId="4368" priority="137">
      <formula>R$9&gt;=20/24</formula>
    </cfRule>
    <cfRule type="expression" dxfId="4367" priority="138">
      <formula>AND(R$9&gt;=14/24,R$9&lt;20/24)</formula>
    </cfRule>
    <cfRule type="expression" dxfId="4366" priority="139">
      <formula>AND(R$9&gt;=8/24,R$9&lt;14/24)</formula>
    </cfRule>
    <cfRule type="expression" dxfId="4365" priority="140">
      <formula>R$9&lt;8/24</formula>
    </cfRule>
  </conditionalFormatting>
  <conditionalFormatting sqref="A87">
    <cfRule type="expression" dxfId="4364" priority="136">
      <formula>$AH87=0</formula>
    </cfRule>
  </conditionalFormatting>
  <conditionalFormatting sqref="B28:E28 G28:AF28">
    <cfRule type="expression" dxfId="4363" priority="132">
      <formula>B$9&gt;=20/24</formula>
    </cfRule>
    <cfRule type="expression" dxfId="4362" priority="133">
      <formula>AND(B$9&gt;=14/24,B$9&lt;20/24)</formula>
    </cfRule>
    <cfRule type="expression" dxfId="4361" priority="134">
      <formula>AND(B$9&gt;=8/24,B$9&lt;14/24)</formula>
    </cfRule>
    <cfRule type="expression" dxfId="4360" priority="135">
      <formula>B$9&lt;8/24</formula>
    </cfRule>
  </conditionalFormatting>
  <conditionalFormatting sqref="R28:AA28">
    <cfRule type="expression" dxfId="4359" priority="128">
      <formula>R$9&gt;=20/24</formula>
    </cfRule>
    <cfRule type="expression" dxfId="4358" priority="129">
      <formula>AND(R$9&gt;=14/24,R$9&lt;20/24)</formula>
    </cfRule>
    <cfRule type="expression" dxfId="4357" priority="130">
      <formula>AND(R$9&gt;=8/24,R$9&lt;14/24)</formula>
    </cfRule>
    <cfRule type="expression" dxfId="4356" priority="131">
      <formula>R$9&lt;8/24</formula>
    </cfRule>
  </conditionalFormatting>
  <conditionalFormatting sqref="F47:F52 F59:F79">
    <cfRule type="expression" dxfId="4355" priority="124">
      <formula>F$9&gt;=20/24</formula>
    </cfRule>
    <cfRule type="expression" dxfId="4354" priority="125">
      <formula>AND(F$9&gt;=14/24,F$9&lt;20/24)</formula>
    </cfRule>
    <cfRule type="expression" dxfId="4353" priority="126">
      <formula>AND(F$9&gt;=8/24,F$9&lt;14/24)</formula>
    </cfRule>
    <cfRule type="expression" dxfId="4352" priority="127">
      <formula>F$9&lt;8/24</formula>
    </cfRule>
  </conditionalFormatting>
  <conditionalFormatting sqref="F53:F58">
    <cfRule type="expression" dxfId="4351" priority="120">
      <formula>F$9&gt;=20/24</formula>
    </cfRule>
    <cfRule type="expression" dxfId="4350" priority="121">
      <formula>AND(F$9&gt;=14/24,F$9&lt;20/24)</formula>
    </cfRule>
    <cfRule type="expression" dxfId="4349" priority="122">
      <formula>AND(F$9&gt;=8/24,F$9&lt;14/24)</formula>
    </cfRule>
    <cfRule type="expression" dxfId="4348" priority="123">
      <formula>F$9&lt;8/24</formula>
    </cfRule>
  </conditionalFormatting>
  <conditionalFormatting sqref="F11:F24 F26:F38 F40:F47">
    <cfRule type="expression" dxfId="4347" priority="119">
      <formula>F11&gt;$AG11</formula>
    </cfRule>
  </conditionalFormatting>
  <conditionalFormatting sqref="F28">
    <cfRule type="expression" dxfId="4346" priority="115">
      <formula>F$9&gt;=20/24</formula>
    </cfRule>
    <cfRule type="expression" dxfId="4345" priority="116">
      <formula>AND(F$9&gt;=14/24,F$9&lt;20/24)</formula>
    </cfRule>
    <cfRule type="expression" dxfId="4344" priority="117">
      <formula>AND(F$9&gt;=8/24,F$9&lt;14/24)</formula>
    </cfRule>
    <cfRule type="expression" dxfId="4343" priority="118">
      <formula>F$9&lt;8/24</formula>
    </cfRule>
  </conditionalFormatting>
  <conditionalFormatting sqref="L25:R25">
    <cfRule type="expression" dxfId="4342" priority="111">
      <formula>L$9&gt;=20/24</formula>
    </cfRule>
    <cfRule type="expression" dxfId="4341" priority="112">
      <formula>AND(L$9&gt;=14/24,L$9&lt;20/24)</formula>
    </cfRule>
    <cfRule type="expression" dxfId="4340" priority="113">
      <formula>AND(L$9&gt;=8/24,L$9&lt;14/24)</formula>
    </cfRule>
    <cfRule type="expression" dxfId="4339" priority="114">
      <formula>L$9&lt;8/24</formula>
    </cfRule>
  </conditionalFormatting>
  <conditionalFormatting sqref="S22:S24 S26">
    <cfRule type="expression" dxfId="4338" priority="107">
      <formula>S$9&gt;=20/24</formula>
    </cfRule>
    <cfRule type="expression" dxfId="4337" priority="108">
      <formula>AND(S$9&gt;=14/24,S$9&lt;20/24)</formula>
    </cfRule>
    <cfRule type="expression" dxfId="4336" priority="109">
      <formula>AND(S$9&gt;=8/24,S$9&lt;14/24)</formula>
    </cfRule>
    <cfRule type="expression" dxfId="4335" priority="110">
      <formula>S$9&lt;8/24</formula>
    </cfRule>
  </conditionalFormatting>
  <conditionalFormatting sqref="S26:S27 S20:S24">
    <cfRule type="expression" dxfId="4334" priority="103">
      <formula>S$9&gt;=20/24</formula>
    </cfRule>
    <cfRule type="expression" dxfId="4333" priority="104">
      <formula>AND(S$9&gt;=14/24,S$9&lt;20/24)</formula>
    </cfRule>
    <cfRule type="expression" dxfId="4332" priority="105">
      <formula>AND(S$9&gt;=8/24,S$9&lt;14/24)</formula>
    </cfRule>
    <cfRule type="expression" dxfId="4331" priority="106">
      <formula>S$9&lt;8/24</formula>
    </cfRule>
  </conditionalFormatting>
  <conditionalFormatting sqref="S20:S27">
    <cfRule type="expression" dxfId="4330" priority="102">
      <formula>S20&gt;$AG20</formula>
    </cfRule>
  </conditionalFormatting>
  <conditionalFormatting sqref="S25">
    <cfRule type="expression" dxfId="4329" priority="98">
      <formula>S$9&gt;=20/24</formula>
    </cfRule>
    <cfRule type="expression" dxfId="4328" priority="99">
      <formula>AND(S$9&gt;=14/24,S$9&lt;20/24)</formula>
    </cfRule>
    <cfRule type="expression" dxfId="4327" priority="100">
      <formula>AND(S$9&gt;=8/24,S$9&lt;14/24)</formula>
    </cfRule>
    <cfRule type="expression" dxfId="4326" priority="101">
      <formula>S$9&lt;8/24</formula>
    </cfRule>
  </conditionalFormatting>
  <conditionalFormatting sqref="S55:S58">
    <cfRule type="expression" dxfId="4325" priority="94">
      <formula>S$9&gt;=20/24</formula>
    </cfRule>
    <cfRule type="expression" dxfId="4324" priority="95">
      <formula>AND(S$9&gt;=14/24,S$9&lt;20/24)</formula>
    </cfRule>
    <cfRule type="expression" dxfId="4323" priority="96">
      <formula>AND(S$9&gt;=8/24,S$9&lt;14/24)</formula>
    </cfRule>
    <cfRule type="expression" dxfId="4322" priority="97">
      <formula>S$9&lt;8/24</formula>
    </cfRule>
  </conditionalFormatting>
  <conditionalFormatting sqref="S54">
    <cfRule type="expression" dxfId="4321" priority="90">
      <formula>S$9&gt;=20/24</formula>
    </cfRule>
    <cfRule type="expression" dxfId="4320" priority="91">
      <formula>AND(S$9&gt;=14/24,S$9&lt;20/24)</formula>
    </cfRule>
    <cfRule type="expression" dxfId="4319" priority="92">
      <formula>AND(S$9&gt;=8/24,S$9&lt;14/24)</formula>
    </cfRule>
    <cfRule type="expression" dxfId="4318" priority="93">
      <formula>S$9&lt;8/24</formula>
    </cfRule>
  </conditionalFormatting>
  <conditionalFormatting sqref="T22:T24 T26">
    <cfRule type="expression" dxfId="4317" priority="86">
      <formula>T$9&gt;=20/24</formula>
    </cfRule>
    <cfRule type="expression" dxfId="4316" priority="87">
      <formula>AND(T$9&gt;=14/24,T$9&lt;20/24)</formula>
    </cfRule>
    <cfRule type="expression" dxfId="4315" priority="88">
      <formula>AND(T$9&gt;=8/24,T$9&lt;14/24)</formula>
    </cfRule>
    <cfRule type="expression" dxfId="4314" priority="89">
      <formula>T$9&lt;8/24</formula>
    </cfRule>
  </conditionalFormatting>
  <conditionalFormatting sqref="T26:T27 T20:T24">
    <cfRule type="expression" dxfId="4313" priority="82">
      <formula>T$9&gt;=20/24</formula>
    </cfRule>
    <cfRule type="expression" dxfId="4312" priority="83">
      <formula>AND(T$9&gt;=14/24,T$9&lt;20/24)</formula>
    </cfRule>
    <cfRule type="expression" dxfId="4311" priority="84">
      <formula>AND(T$9&gt;=8/24,T$9&lt;14/24)</formula>
    </cfRule>
    <cfRule type="expression" dxfId="4310" priority="85">
      <formula>T$9&lt;8/24</formula>
    </cfRule>
  </conditionalFormatting>
  <conditionalFormatting sqref="T20:T27">
    <cfRule type="expression" dxfId="4309" priority="81">
      <formula>T20&gt;$AG20</formula>
    </cfRule>
  </conditionalFormatting>
  <conditionalFormatting sqref="T25">
    <cfRule type="expression" dxfId="4308" priority="77">
      <formula>T$9&gt;=20/24</formula>
    </cfRule>
    <cfRule type="expression" dxfId="4307" priority="78">
      <formula>AND(T$9&gt;=14/24,T$9&lt;20/24)</formula>
    </cfRule>
    <cfRule type="expression" dxfId="4306" priority="79">
      <formula>AND(T$9&gt;=8/24,T$9&lt;14/24)</formula>
    </cfRule>
    <cfRule type="expression" dxfId="4305" priority="80">
      <formula>T$9&lt;8/24</formula>
    </cfRule>
  </conditionalFormatting>
  <conditionalFormatting sqref="T55:T58">
    <cfRule type="expression" dxfId="4304" priority="73">
      <formula>T$9&gt;=20/24</formula>
    </cfRule>
    <cfRule type="expression" dxfId="4303" priority="74">
      <formula>AND(T$9&gt;=14/24,T$9&lt;20/24)</formula>
    </cfRule>
    <cfRule type="expression" dxfId="4302" priority="75">
      <formula>AND(T$9&gt;=8/24,T$9&lt;14/24)</formula>
    </cfRule>
    <cfRule type="expression" dxfId="4301" priority="76">
      <formula>T$9&lt;8/24</formula>
    </cfRule>
  </conditionalFormatting>
  <conditionalFormatting sqref="T54">
    <cfRule type="expression" dxfId="4300" priority="69">
      <formula>T$9&gt;=20/24</formula>
    </cfRule>
    <cfRule type="expression" dxfId="4299" priority="70">
      <formula>AND(T$9&gt;=14/24,T$9&lt;20/24)</formula>
    </cfRule>
    <cfRule type="expression" dxfId="4298" priority="71">
      <formula>AND(T$9&gt;=8/24,T$9&lt;14/24)</formula>
    </cfRule>
    <cfRule type="expression" dxfId="4297" priority="72">
      <formula>T$9&lt;8/24</formula>
    </cfRule>
  </conditionalFormatting>
  <conditionalFormatting sqref="U22:U24 U26">
    <cfRule type="expression" dxfId="4296" priority="65">
      <formula>U$9&gt;=20/24</formula>
    </cfRule>
    <cfRule type="expression" dxfId="4295" priority="66">
      <formula>AND(U$9&gt;=14/24,U$9&lt;20/24)</formula>
    </cfRule>
    <cfRule type="expression" dxfId="4294" priority="67">
      <formula>AND(U$9&gt;=8/24,U$9&lt;14/24)</formula>
    </cfRule>
    <cfRule type="expression" dxfId="4293" priority="68">
      <formula>U$9&lt;8/24</formula>
    </cfRule>
  </conditionalFormatting>
  <conditionalFormatting sqref="U26:U27 U20:U24">
    <cfRule type="expression" dxfId="4292" priority="61">
      <formula>U$9&gt;=20/24</formula>
    </cfRule>
    <cfRule type="expression" dxfId="4291" priority="62">
      <formula>AND(U$9&gt;=14/24,U$9&lt;20/24)</formula>
    </cfRule>
    <cfRule type="expression" dxfId="4290" priority="63">
      <formula>AND(U$9&gt;=8/24,U$9&lt;14/24)</formula>
    </cfRule>
    <cfRule type="expression" dxfId="4289" priority="64">
      <formula>U$9&lt;8/24</formula>
    </cfRule>
  </conditionalFormatting>
  <conditionalFormatting sqref="U20:U27">
    <cfRule type="expression" dxfId="4288" priority="60">
      <formula>U20&gt;$AG20</formula>
    </cfRule>
  </conditionalFormatting>
  <conditionalFormatting sqref="U25">
    <cfRule type="expression" dxfId="4287" priority="56">
      <formula>U$9&gt;=20/24</formula>
    </cfRule>
    <cfRule type="expression" dxfId="4286" priority="57">
      <formula>AND(U$9&gt;=14/24,U$9&lt;20/24)</formula>
    </cfRule>
    <cfRule type="expression" dxfId="4285" priority="58">
      <formula>AND(U$9&gt;=8/24,U$9&lt;14/24)</formula>
    </cfRule>
    <cfRule type="expression" dxfId="4284" priority="59">
      <formula>U$9&lt;8/24</formula>
    </cfRule>
  </conditionalFormatting>
  <conditionalFormatting sqref="U55:U58">
    <cfRule type="expression" dxfId="4283" priority="52">
      <formula>U$9&gt;=20/24</formula>
    </cfRule>
    <cfRule type="expression" dxfId="4282" priority="53">
      <formula>AND(U$9&gt;=14/24,U$9&lt;20/24)</formula>
    </cfRule>
    <cfRule type="expression" dxfId="4281" priority="54">
      <formula>AND(U$9&gt;=8/24,U$9&lt;14/24)</formula>
    </cfRule>
    <cfRule type="expression" dxfId="4280" priority="55">
      <formula>U$9&lt;8/24</formula>
    </cfRule>
  </conditionalFormatting>
  <conditionalFormatting sqref="U54">
    <cfRule type="expression" dxfId="4279" priority="48">
      <formula>U$9&gt;=20/24</formula>
    </cfRule>
    <cfRule type="expression" dxfId="4278" priority="49">
      <formula>AND(U$9&gt;=14/24,U$9&lt;20/24)</formula>
    </cfRule>
    <cfRule type="expression" dxfId="4277" priority="50">
      <formula>AND(U$9&gt;=8/24,U$9&lt;14/24)</formula>
    </cfRule>
    <cfRule type="expression" dxfId="4276" priority="51">
      <formula>U$9&lt;8/24</formula>
    </cfRule>
  </conditionalFormatting>
  <conditionalFormatting sqref="V22:V24 V26">
    <cfRule type="expression" dxfId="4275" priority="44">
      <formula>V$9&gt;=20/24</formula>
    </cfRule>
    <cfRule type="expression" dxfId="4274" priority="45">
      <formula>AND(V$9&gt;=14/24,V$9&lt;20/24)</formula>
    </cfRule>
    <cfRule type="expression" dxfId="4273" priority="46">
      <formula>AND(V$9&gt;=8/24,V$9&lt;14/24)</formula>
    </cfRule>
    <cfRule type="expression" dxfId="4272" priority="47">
      <formula>V$9&lt;8/24</formula>
    </cfRule>
  </conditionalFormatting>
  <conditionalFormatting sqref="V26:V27 V20:V24">
    <cfRule type="expression" dxfId="4271" priority="40">
      <formula>V$9&gt;=20/24</formula>
    </cfRule>
    <cfRule type="expression" dxfId="4270" priority="41">
      <formula>AND(V$9&gt;=14/24,V$9&lt;20/24)</formula>
    </cfRule>
    <cfRule type="expression" dxfId="4269" priority="42">
      <formula>AND(V$9&gt;=8/24,V$9&lt;14/24)</formula>
    </cfRule>
    <cfRule type="expression" dxfId="4268" priority="43">
      <formula>V$9&lt;8/24</formula>
    </cfRule>
  </conditionalFormatting>
  <conditionalFormatting sqref="V20:V27">
    <cfRule type="expression" dxfId="4267" priority="39">
      <formula>V20&gt;$AG20</formula>
    </cfRule>
  </conditionalFormatting>
  <conditionalFormatting sqref="V25">
    <cfRule type="expression" dxfId="4266" priority="35">
      <formula>V$9&gt;=20/24</formula>
    </cfRule>
    <cfRule type="expression" dxfId="4265" priority="36">
      <formula>AND(V$9&gt;=14/24,V$9&lt;20/24)</formula>
    </cfRule>
    <cfRule type="expression" dxfId="4264" priority="37">
      <formula>AND(V$9&gt;=8/24,V$9&lt;14/24)</formula>
    </cfRule>
    <cfRule type="expression" dxfId="4263" priority="38">
      <formula>V$9&lt;8/24</formula>
    </cfRule>
  </conditionalFormatting>
  <conditionalFormatting sqref="V55:V58">
    <cfRule type="expression" dxfId="4262" priority="31">
      <formula>V$9&gt;=20/24</formula>
    </cfRule>
    <cfRule type="expression" dxfId="4261" priority="32">
      <formula>AND(V$9&gt;=14/24,V$9&lt;20/24)</formula>
    </cfRule>
    <cfRule type="expression" dxfId="4260" priority="33">
      <formula>AND(V$9&gt;=8/24,V$9&lt;14/24)</formula>
    </cfRule>
    <cfRule type="expression" dxfId="4259" priority="34">
      <formula>V$9&lt;8/24</formula>
    </cfRule>
  </conditionalFormatting>
  <conditionalFormatting sqref="V54">
    <cfRule type="expression" dxfId="4258" priority="27">
      <formula>V$9&gt;=20/24</formula>
    </cfRule>
    <cfRule type="expression" dxfId="4257" priority="28">
      <formula>AND(V$9&gt;=14/24,V$9&lt;20/24)</formula>
    </cfRule>
    <cfRule type="expression" dxfId="4256" priority="29">
      <formula>AND(V$9&gt;=8/24,V$9&lt;14/24)</formula>
    </cfRule>
    <cfRule type="expression" dxfId="4255" priority="30">
      <formula>V$9&lt;8/24</formula>
    </cfRule>
  </conditionalFormatting>
  <conditionalFormatting sqref="W22:W24 W26">
    <cfRule type="expression" dxfId="4254" priority="23">
      <formula>W$9&gt;=20/24</formula>
    </cfRule>
    <cfRule type="expression" dxfId="4253" priority="24">
      <formula>AND(W$9&gt;=14/24,W$9&lt;20/24)</formula>
    </cfRule>
    <cfRule type="expression" dxfId="4252" priority="25">
      <formula>AND(W$9&gt;=8/24,W$9&lt;14/24)</formula>
    </cfRule>
    <cfRule type="expression" dxfId="4251" priority="26">
      <formula>W$9&lt;8/24</formula>
    </cfRule>
  </conditionalFormatting>
  <conditionalFormatting sqref="W26:W27 W21:W24">
    <cfRule type="expression" dxfId="4250" priority="19">
      <formula>W$9&gt;=20/24</formula>
    </cfRule>
    <cfRule type="expression" dxfId="4249" priority="20">
      <formula>AND(W$9&gt;=14/24,W$9&lt;20/24)</formula>
    </cfRule>
    <cfRule type="expression" dxfId="4248" priority="21">
      <formula>AND(W$9&gt;=8/24,W$9&lt;14/24)</formula>
    </cfRule>
    <cfRule type="expression" dxfId="4247" priority="22">
      <formula>W$9&lt;8/24</formula>
    </cfRule>
  </conditionalFormatting>
  <conditionalFormatting sqref="W21:W27">
    <cfRule type="expression" dxfId="4246" priority="18">
      <formula>W21&gt;$AG21</formula>
    </cfRule>
  </conditionalFormatting>
  <conditionalFormatting sqref="W25">
    <cfRule type="expression" dxfId="4245" priority="14">
      <formula>W$9&gt;=20/24</formula>
    </cfRule>
    <cfRule type="expression" dxfId="4244" priority="15">
      <formula>AND(W$9&gt;=14/24,W$9&lt;20/24)</formula>
    </cfRule>
    <cfRule type="expression" dxfId="4243" priority="16">
      <formula>AND(W$9&gt;=8/24,W$9&lt;14/24)</formula>
    </cfRule>
    <cfRule type="expression" dxfId="4242" priority="17">
      <formula>W$9&lt;8/24</formula>
    </cfRule>
  </conditionalFormatting>
  <conditionalFormatting sqref="X22:AF24 X26:AF26">
    <cfRule type="expression" dxfId="4241" priority="10">
      <formula>X$9&gt;=20/24</formula>
    </cfRule>
    <cfRule type="expression" dxfId="4240" priority="11">
      <formula>AND(X$9&gt;=14/24,X$9&lt;20/24)</formula>
    </cfRule>
    <cfRule type="expression" dxfId="4239" priority="12">
      <formula>AND(X$9&gt;=8/24,X$9&lt;14/24)</formula>
    </cfRule>
    <cfRule type="expression" dxfId="4238" priority="13">
      <formula>X$9&lt;8/24</formula>
    </cfRule>
  </conditionalFormatting>
  <conditionalFormatting sqref="X21:AF24 X26:AF27">
    <cfRule type="expression" dxfId="4237" priority="6">
      <formula>X$9&gt;=20/24</formula>
    </cfRule>
    <cfRule type="expression" dxfId="4236" priority="7">
      <formula>AND(X$9&gt;=14/24,X$9&lt;20/24)</formula>
    </cfRule>
    <cfRule type="expression" dxfId="4235" priority="8">
      <formula>AND(X$9&gt;=8/24,X$9&lt;14/24)</formula>
    </cfRule>
    <cfRule type="expression" dxfId="4234" priority="9">
      <formula>X$9&lt;8/24</formula>
    </cfRule>
  </conditionalFormatting>
  <conditionalFormatting sqref="X21:AF27">
    <cfRule type="expression" dxfId="4233" priority="5">
      <formula>X21&gt;$AG21</formula>
    </cfRule>
  </conditionalFormatting>
  <conditionalFormatting sqref="X25:AF25">
    <cfRule type="expression" dxfId="4232" priority="1">
      <formula>X$9&gt;=20/24</formula>
    </cfRule>
    <cfRule type="expression" dxfId="4231" priority="2">
      <formula>AND(X$9&gt;=14/24,X$9&lt;20/24)</formula>
    </cfRule>
    <cfRule type="expression" dxfId="4230" priority="3">
      <formula>AND(X$9&gt;=8/24,X$9&lt;14/24)</formula>
    </cfRule>
    <cfRule type="expression" dxfId="4229" priority="4">
      <formula>X$9&lt;8/24</formula>
    </cfRule>
  </conditionalFormatting>
  <pageMargins left="0.7" right="0.7" top="0.75" bottom="0.75" header="0.3" footer="0.3"/>
  <pageSetup scale="50" orientation="landscape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32" sqref="F32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10</v>
      </c>
      <c r="D4" s="324">
        <f ca="1">IFERROR(DATE(2021,5,14)+C4,"")</f>
        <v>44340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453</v>
      </c>
      <c r="C5" s="32">
        <f t="shared" ref="C5:AF5" si="0">C59</f>
        <v>452.5</v>
      </c>
      <c r="D5" s="32">
        <f t="shared" si="0"/>
        <v>448</v>
      </c>
      <c r="E5" s="32">
        <f t="shared" si="0"/>
        <v>428.2</v>
      </c>
      <c r="F5" s="32">
        <f t="shared" si="0"/>
        <v>414.2</v>
      </c>
      <c r="G5" s="32">
        <f t="shared" si="0"/>
        <v>374.90000000000003</v>
      </c>
      <c r="H5" s="32">
        <f t="shared" si="0"/>
        <v>376.49</v>
      </c>
      <c r="I5" s="32">
        <f t="shared" si="0"/>
        <v>412.7</v>
      </c>
      <c r="J5" s="32">
        <f t="shared" si="0"/>
        <v>435</v>
      </c>
      <c r="K5" s="32">
        <f t="shared" si="0"/>
        <v>567.95000000000005</v>
      </c>
      <c r="L5" s="32">
        <f t="shared" si="0"/>
        <v>484.05</v>
      </c>
      <c r="M5" s="32">
        <f t="shared" si="0"/>
        <v>550.29999999999995</v>
      </c>
      <c r="N5" s="32">
        <f t="shared" si="0"/>
        <v>532.70000000000005</v>
      </c>
      <c r="O5" s="32">
        <f t="shared" si="0"/>
        <v>566.70000000000005</v>
      </c>
      <c r="P5" s="32">
        <f t="shared" si="0"/>
        <v>575</v>
      </c>
      <c r="Q5" s="32">
        <f t="shared" si="0"/>
        <v>548.6</v>
      </c>
      <c r="R5" s="32">
        <f t="shared" si="0"/>
        <v>530.1</v>
      </c>
      <c r="S5" s="32">
        <f t="shared" si="0"/>
        <v>540.5</v>
      </c>
      <c r="T5" s="32">
        <f t="shared" si="0"/>
        <v>542</v>
      </c>
      <c r="U5" s="32">
        <f t="shared" si="0"/>
        <v>496.8</v>
      </c>
      <c r="V5" s="32">
        <f t="shared" si="0"/>
        <v>484</v>
      </c>
      <c r="W5" s="32">
        <f t="shared" si="0"/>
        <v>490</v>
      </c>
      <c r="X5" s="32">
        <f t="shared" si="0"/>
        <v>489.6</v>
      </c>
      <c r="Y5" s="32">
        <f t="shared" si="0"/>
        <v>533.79999999999995</v>
      </c>
      <c r="Z5" s="32">
        <f t="shared" si="0"/>
        <v>576</v>
      </c>
      <c r="AA5" s="32">
        <f t="shared" si="0"/>
        <v>572</v>
      </c>
      <c r="AB5" s="32">
        <f t="shared" si="0"/>
        <v>559.12</v>
      </c>
      <c r="AC5" s="32">
        <f t="shared" si="0"/>
        <v>528</v>
      </c>
      <c r="AD5" s="32">
        <f t="shared" si="0"/>
        <v>436.54</v>
      </c>
      <c r="AE5" s="32">
        <f t="shared" si="0"/>
        <v>390.86</v>
      </c>
      <c r="AF5" s="32">
        <f t="shared" si="0"/>
        <v>404.6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1189MW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Load=977</v>
      </c>
      <c r="B7" s="36">
        <f t="shared" ref="B7:AF7" si="1">B65</f>
        <v>1053.6400000000001</v>
      </c>
      <c r="C7" s="36">
        <f t="shared" si="1"/>
        <v>1042.6399999999999</v>
      </c>
      <c r="D7" s="36">
        <f t="shared" si="1"/>
        <v>1014.6399999999999</v>
      </c>
      <c r="E7" s="36">
        <f t="shared" si="1"/>
        <v>994.84</v>
      </c>
      <c r="F7" s="36">
        <f t="shared" si="1"/>
        <v>977.83999999999992</v>
      </c>
      <c r="G7" s="36">
        <f t="shared" si="1"/>
        <v>1009.28</v>
      </c>
      <c r="H7" s="36">
        <f t="shared" si="1"/>
        <v>976.53</v>
      </c>
      <c r="I7" s="36">
        <f t="shared" si="1"/>
        <v>1022.0399999999998</v>
      </c>
      <c r="J7" s="36">
        <f t="shared" si="1"/>
        <v>1047.04</v>
      </c>
      <c r="K7" s="36">
        <f t="shared" si="1"/>
        <v>1178.69</v>
      </c>
      <c r="L7" s="36">
        <f>L65</f>
        <v>1134.5899999999999</v>
      </c>
      <c r="M7" s="36">
        <f t="shared" si="1"/>
        <v>1189.3399999999999</v>
      </c>
      <c r="N7" s="36">
        <f t="shared" si="1"/>
        <v>1168.24</v>
      </c>
      <c r="O7" s="36">
        <f t="shared" si="1"/>
        <v>1160.24</v>
      </c>
      <c r="P7" s="36">
        <f t="shared" si="1"/>
        <v>1180.6399999999999</v>
      </c>
      <c r="Q7" s="36">
        <f t="shared" si="1"/>
        <v>1153.54</v>
      </c>
      <c r="R7" s="36">
        <f t="shared" si="1"/>
        <v>1133.1399999999999</v>
      </c>
      <c r="S7" s="36">
        <f t="shared" si="1"/>
        <v>1143.1399999999999</v>
      </c>
      <c r="T7" s="36">
        <f t="shared" si="1"/>
        <v>1130.44</v>
      </c>
      <c r="U7" s="36">
        <f t="shared" si="1"/>
        <v>1067.8399999999999</v>
      </c>
      <c r="V7" s="36">
        <f t="shared" si="1"/>
        <v>1048.54</v>
      </c>
      <c r="W7" s="36">
        <f t="shared" si="1"/>
        <v>1049.8399999999999</v>
      </c>
      <c r="X7" s="36">
        <f t="shared" si="1"/>
        <v>1081.04</v>
      </c>
      <c r="Y7" s="36">
        <f t="shared" si="1"/>
        <v>1164.6399999999999</v>
      </c>
      <c r="Z7" s="36">
        <f t="shared" si="1"/>
        <v>1300.94</v>
      </c>
      <c r="AA7" s="36">
        <f t="shared" si="1"/>
        <v>1295.94</v>
      </c>
      <c r="AB7" s="36">
        <f t="shared" si="1"/>
        <v>1269.46</v>
      </c>
      <c r="AC7" s="36">
        <f t="shared" si="1"/>
        <v>1253.74</v>
      </c>
      <c r="AD7" s="36">
        <f t="shared" si="1"/>
        <v>1157.28</v>
      </c>
      <c r="AE7" s="36">
        <f t="shared" si="1"/>
        <v>1086.8</v>
      </c>
      <c r="AF7" s="36">
        <f t="shared" si="1"/>
        <v>1080.1400000000001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23</v>
      </c>
      <c r="C11" s="48">
        <v>28</v>
      </c>
      <c r="D11" s="48">
        <v>27</v>
      </c>
      <c r="E11" s="48">
        <v>29.6</v>
      </c>
      <c r="F11" s="48">
        <v>29.3</v>
      </c>
      <c r="G11" s="48">
        <v>29.5</v>
      </c>
      <c r="H11" s="48">
        <v>29.7</v>
      </c>
      <c r="I11" s="48">
        <v>29.5</v>
      </c>
      <c r="J11" s="48">
        <v>30.3</v>
      </c>
      <c r="K11" s="48">
        <v>30.2</v>
      </c>
      <c r="L11" s="49">
        <v>29.4</v>
      </c>
      <c r="M11" s="49">
        <v>29.1</v>
      </c>
      <c r="N11" s="49">
        <v>28.9</v>
      </c>
      <c r="O11" s="49">
        <v>28.9</v>
      </c>
      <c r="P11" s="49">
        <v>29.3</v>
      </c>
      <c r="Q11" s="49">
        <v>29</v>
      </c>
      <c r="R11" s="50">
        <v>29.2</v>
      </c>
      <c r="S11" s="50">
        <v>28.2</v>
      </c>
      <c r="T11" s="50">
        <v>29</v>
      </c>
      <c r="U11" s="50">
        <v>28.1</v>
      </c>
      <c r="V11" s="50">
        <v>30.5</v>
      </c>
      <c r="W11" s="50">
        <v>27.5</v>
      </c>
      <c r="X11" s="50">
        <v>29.5</v>
      </c>
      <c r="Y11" s="50">
        <v>29.8</v>
      </c>
      <c r="Z11" s="50">
        <v>29.2</v>
      </c>
      <c r="AA11" s="48">
        <v>29</v>
      </c>
      <c r="AB11" s="48">
        <v>28.9</v>
      </c>
      <c r="AC11" s="48">
        <v>30.6</v>
      </c>
      <c r="AD11" s="48">
        <v>29.1</v>
      </c>
      <c r="AE11" s="48">
        <v>30.6</v>
      </c>
      <c r="AF11" s="48">
        <v>33.4</v>
      </c>
      <c r="AG11" s="51">
        <v>60</v>
      </c>
      <c r="AH11" s="52">
        <f>MAX(B11:AF11)</f>
        <v>33.4</v>
      </c>
      <c r="AI11" s="53">
        <f>MIN(B11:AF11)</f>
        <v>23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50.5</v>
      </c>
      <c r="C12" s="56">
        <v>50.5</v>
      </c>
      <c r="D12" s="56">
        <v>50.7</v>
      </c>
      <c r="E12" s="56">
        <v>50.6</v>
      </c>
      <c r="F12" s="56">
        <v>50.5</v>
      </c>
      <c r="G12" s="56">
        <v>50.6</v>
      </c>
      <c r="H12" s="56">
        <v>50.7</v>
      </c>
      <c r="I12" s="56">
        <v>50.2</v>
      </c>
      <c r="J12" s="56">
        <v>50.4</v>
      </c>
      <c r="K12" s="56">
        <v>50.3</v>
      </c>
      <c r="L12" s="49">
        <v>50.1</v>
      </c>
      <c r="M12" s="49">
        <v>50.2</v>
      </c>
      <c r="N12" s="49">
        <v>50.4</v>
      </c>
      <c r="O12" s="49">
        <v>50.3</v>
      </c>
      <c r="P12" s="49">
        <v>50.3</v>
      </c>
      <c r="Q12" s="49">
        <v>50</v>
      </c>
      <c r="R12" s="49">
        <v>50.2</v>
      </c>
      <c r="S12" s="49">
        <v>50.5</v>
      </c>
      <c r="T12" s="49">
        <v>50.2</v>
      </c>
      <c r="U12" s="49">
        <v>50.2</v>
      </c>
      <c r="V12" s="49">
        <v>50.5</v>
      </c>
      <c r="W12" s="49">
        <v>50.4</v>
      </c>
      <c r="X12" s="49">
        <v>50.4</v>
      </c>
      <c r="Y12" s="49">
        <v>50.4</v>
      </c>
      <c r="Z12" s="49">
        <v>50.8</v>
      </c>
      <c r="AA12" s="56">
        <v>50.5</v>
      </c>
      <c r="AB12" s="56">
        <v>50.6</v>
      </c>
      <c r="AC12" s="56">
        <v>50.8</v>
      </c>
      <c r="AD12" s="56">
        <v>51</v>
      </c>
      <c r="AE12" s="56">
        <v>50.7</v>
      </c>
      <c r="AF12" s="56">
        <v>50.6</v>
      </c>
      <c r="AG12" s="57">
        <v>50</v>
      </c>
      <c r="AH12" s="52">
        <f t="shared" ref="AH12:AH77" si="2">MAX(B12:AF12)</f>
        <v>51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26.8</v>
      </c>
      <c r="C13" s="56">
        <v>28</v>
      </c>
      <c r="D13" s="56">
        <v>27</v>
      </c>
      <c r="E13" s="56">
        <v>24.4</v>
      </c>
      <c r="F13" s="56">
        <v>24.4</v>
      </c>
      <c r="G13" s="56">
        <v>23.5</v>
      </c>
      <c r="H13" s="56">
        <v>23.8</v>
      </c>
      <c r="I13" s="56">
        <v>23.8</v>
      </c>
      <c r="J13" s="56">
        <v>24.4</v>
      </c>
      <c r="K13" s="56">
        <v>24</v>
      </c>
      <c r="L13" s="49">
        <v>24.2</v>
      </c>
      <c r="M13" s="49">
        <v>22.1</v>
      </c>
      <c r="N13" s="49">
        <v>24.4</v>
      </c>
      <c r="O13" s="49">
        <v>22.3</v>
      </c>
      <c r="P13" s="49">
        <v>21.6</v>
      </c>
      <c r="Q13" s="49">
        <v>21.6</v>
      </c>
      <c r="R13" s="49">
        <v>22.1</v>
      </c>
      <c r="S13" s="49">
        <v>22.6</v>
      </c>
      <c r="T13" s="49">
        <v>22</v>
      </c>
      <c r="U13" s="49">
        <v>22.6</v>
      </c>
      <c r="V13" s="49">
        <v>22.5</v>
      </c>
      <c r="W13" s="49">
        <v>22.6</v>
      </c>
      <c r="X13" s="49">
        <v>24.2</v>
      </c>
      <c r="Y13" s="49">
        <v>24.2</v>
      </c>
      <c r="Z13" s="49">
        <v>24.2</v>
      </c>
      <c r="AA13" s="56">
        <v>30.2</v>
      </c>
      <c r="AB13" s="56">
        <v>31</v>
      </c>
      <c r="AC13" s="56">
        <v>39.200000000000003</v>
      </c>
      <c r="AD13" s="56">
        <v>42.6</v>
      </c>
      <c r="AE13" s="56">
        <v>38.5</v>
      </c>
      <c r="AF13" s="56">
        <v>35.200000000000003</v>
      </c>
      <c r="AG13" s="59">
        <v>45</v>
      </c>
      <c r="AH13" s="52">
        <f t="shared" si="2"/>
        <v>42.6</v>
      </c>
      <c r="AI13" s="53">
        <f t="shared" si="3"/>
        <v>21.6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49">
        <v>13</v>
      </c>
      <c r="M14" s="49">
        <v>13</v>
      </c>
      <c r="N14" s="49">
        <v>13</v>
      </c>
      <c r="O14" s="49">
        <v>13</v>
      </c>
      <c r="P14" s="49">
        <v>13</v>
      </c>
      <c r="Q14" s="49">
        <v>13.2</v>
      </c>
      <c r="R14" s="49">
        <v>13</v>
      </c>
      <c r="S14" s="49">
        <v>13</v>
      </c>
      <c r="T14" s="49">
        <v>13</v>
      </c>
      <c r="U14" s="49">
        <v>13</v>
      </c>
      <c r="V14" s="49">
        <v>13</v>
      </c>
      <c r="W14" s="49">
        <v>13</v>
      </c>
      <c r="X14" s="49">
        <v>13</v>
      </c>
      <c r="Y14" s="49">
        <v>13</v>
      </c>
      <c r="Z14" s="49">
        <v>16</v>
      </c>
      <c r="AA14" s="56">
        <v>16</v>
      </c>
      <c r="AB14" s="56">
        <v>10.5</v>
      </c>
      <c r="AC14" s="56">
        <v>10.5</v>
      </c>
      <c r="AD14" s="56">
        <v>10.5</v>
      </c>
      <c r="AE14" s="56">
        <v>10.5</v>
      </c>
      <c r="AF14" s="56">
        <v>10.5</v>
      </c>
      <c r="AG14" s="59">
        <v>25</v>
      </c>
      <c r="AH14" s="52">
        <f t="shared" si="2"/>
        <v>16</v>
      </c>
      <c r="AI14" s="53">
        <f t="shared" si="3"/>
        <v>10.5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14.2</v>
      </c>
      <c r="C15" s="56">
        <v>14.2</v>
      </c>
      <c r="D15" s="56">
        <v>13.5</v>
      </c>
      <c r="E15" s="56">
        <v>13.5</v>
      </c>
      <c r="F15" s="56">
        <v>13.6</v>
      </c>
      <c r="G15" s="56">
        <v>13.5</v>
      </c>
      <c r="H15" s="56">
        <v>13.6</v>
      </c>
      <c r="I15" s="56">
        <v>13.5</v>
      </c>
      <c r="J15" s="56">
        <v>13.5</v>
      </c>
      <c r="K15" s="56">
        <v>13.5</v>
      </c>
      <c r="L15" s="49">
        <v>13.5</v>
      </c>
      <c r="M15" s="49">
        <v>13.5</v>
      </c>
      <c r="N15" s="49">
        <v>13.5</v>
      </c>
      <c r="O15" s="49">
        <v>13.5</v>
      </c>
      <c r="P15" s="49">
        <v>13.4</v>
      </c>
      <c r="Q15" s="49">
        <v>13.4</v>
      </c>
      <c r="R15" s="49">
        <v>12.5</v>
      </c>
      <c r="S15" s="49">
        <v>13</v>
      </c>
      <c r="T15" s="49">
        <v>6.6</v>
      </c>
      <c r="U15" s="49">
        <v>13.3</v>
      </c>
      <c r="V15" s="49">
        <v>12.7</v>
      </c>
      <c r="W15" s="49">
        <v>13.1</v>
      </c>
      <c r="X15" s="49">
        <v>13.1</v>
      </c>
      <c r="Y15" s="49">
        <v>13.1</v>
      </c>
      <c r="Z15" s="49">
        <v>13.1</v>
      </c>
      <c r="AA15" s="56">
        <v>12.1</v>
      </c>
      <c r="AB15" s="56">
        <v>13.4</v>
      </c>
      <c r="AC15" s="56">
        <v>13.4</v>
      </c>
      <c r="AD15" s="56">
        <v>13.4</v>
      </c>
      <c r="AE15" s="56">
        <v>13.4</v>
      </c>
      <c r="AF15" s="56">
        <v>13.4</v>
      </c>
      <c r="AG15" s="59">
        <v>25</v>
      </c>
      <c r="AH15" s="52">
        <f t="shared" si="2"/>
        <v>14.2</v>
      </c>
      <c r="AI15" s="53">
        <f t="shared" si="3"/>
        <v>6.6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21.4</v>
      </c>
      <c r="C17" s="56">
        <v>21.4</v>
      </c>
      <c r="D17" s="56">
        <v>20.9</v>
      </c>
      <c r="E17" s="56">
        <v>20.8</v>
      </c>
      <c r="F17" s="56">
        <v>20.6</v>
      </c>
      <c r="G17" s="56">
        <v>20.5</v>
      </c>
      <c r="H17" s="56">
        <v>20.7</v>
      </c>
      <c r="I17" s="56">
        <v>20.7</v>
      </c>
      <c r="J17" s="56">
        <v>20.7</v>
      </c>
      <c r="K17" s="56">
        <v>20.9</v>
      </c>
      <c r="L17" s="49">
        <v>9.9</v>
      </c>
      <c r="M17" s="49">
        <v>22</v>
      </c>
      <c r="N17" s="49">
        <v>21.2</v>
      </c>
      <c r="O17" s="49">
        <v>20.5</v>
      </c>
      <c r="P17" s="49">
        <v>20.6</v>
      </c>
      <c r="Q17" s="49">
        <v>20</v>
      </c>
      <c r="R17" s="49">
        <v>20.100000000000001</v>
      </c>
      <c r="S17" s="49">
        <v>20.3</v>
      </c>
      <c r="T17" s="49">
        <v>20.8</v>
      </c>
      <c r="U17" s="49">
        <v>20.7</v>
      </c>
      <c r="V17" s="49">
        <v>0</v>
      </c>
      <c r="W17" s="49">
        <v>0</v>
      </c>
      <c r="X17" s="49">
        <v>0</v>
      </c>
      <c r="Y17" s="49">
        <v>0</v>
      </c>
      <c r="Z17" s="49">
        <v>19</v>
      </c>
      <c r="AA17" s="49">
        <v>21.6</v>
      </c>
      <c r="AB17" s="49">
        <v>21.6</v>
      </c>
      <c r="AC17" s="49">
        <v>21.5</v>
      </c>
      <c r="AD17" s="49">
        <v>22.1</v>
      </c>
      <c r="AE17" s="49">
        <v>22.3</v>
      </c>
      <c r="AF17" s="49">
        <v>22.4</v>
      </c>
      <c r="AG17" s="59">
        <v>22.1</v>
      </c>
      <c r="AH17" s="52">
        <f t="shared" si="2"/>
        <v>22.4</v>
      </c>
      <c r="AI17" s="53">
        <f t="shared" si="3"/>
        <v>0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11.9</v>
      </c>
      <c r="C19" s="56">
        <v>11.9</v>
      </c>
      <c r="D19" s="56">
        <v>9.6</v>
      </c>
      <c r="E19" s="56">
        <v>10.3</v>
      </c>
      <c r="F19" s="56">
        <v>10.199999999999999</v>
      </c>
      <c r="G19" s="56">
        <v>9.8000000000000007</v>
      </c>
      <c r="H19" s="56">
        <v>9.8000000000000007</v>
      </c>
      <c r="I19" s="56">
        <v>9.6</v>
      </c>
      <c r="J19" s="56">
        <v>9.1</v>
      </c>
      <c r="K19" s="56">
        <v>9.1</v>
      </c>
      <c r="L19" s="49">
        <v>8.6999999999999993</v>
      </c>
      <c r="M19" s="49">
        <v>8.6999999999999993</v>
      </c>
      <c r="N19" s="49">
        <v>8.6999999999999993</v>
      </c>
      <c r="O19" s="49">
        <v>8.6999999999999993</v>
      </c>
      <c r="P19" s="49">
        <v>8.6999999999999993</v>
      </c>
      <c r="Q19" s="49">
        <v>8.6999999999999993</v>
      </c>
      <c r="R19" s="49">
        <v>8.6999999999999993</v>
      </c>
      <c r="S19" s="49">
        <v>7.5</v>
      </c>
      <c r="T19" s="49">
        <v>7.5</v>
      </c>
      <c r="U19" s="49">
        <v>7.5</v>
      </c>
      <c r="V19" s="49">
        <v>7.5</v>
      </c>
      <c r="W19" s="49">
        <v>8.1</v>
      </c>
      <c r="X19" s="49">
        <v>9.6999999999999993</v>
      </c>
      <c r="Y19" s="49">
        <v>9.6999999999999993</v>
      </c>
      <c r="Z19" s="49">
        <v>7.7</v>
      </c>
      <c r="AA19" s="49">
        <v>9.5</v>
      </c>
      <c r="AB19" s="49">
        <v>9.8000000000000007</v>
      </c>
      <c r="AC19" s="49">
        <v>10.1</v>
      </c>
      <c r="AD19" s="49">
        <v>10.7</v>
      </c>
      <c r="AE19" s="49">
        <v>10.4</v>
      </c>
      <c r="AF19" s="49">
        <v>18.8</v>
      </c>
      <c r="AG19" s="59">
        <v>22</v>
      </c>
      <c r="AH19" s="52">
        <f t="shared" si="2"/>
        <v>18.8</v>
      </c>
      <c r="AI19" s="53">
        <f t="shared" si="3"/>
        <v>7.5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7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49">
        <v>3.5</v>
      </c>
      <c r="M21" s="49">
        <v>3.5</v>
      </c>
      <c r="N21" s="49">
        <v>3.5</v>
      </c>
      <c r="O21" s="49">
        <v>3.5</v>
      </c>
      <c r="P21" s="49">
        <v>3.5</v>
      </c>
      <c r="Q21" s="49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3.2</v>
      </c>
      <c r="M24" s="56">
        <v>3.2</v>
      </c>
      <c r="N24" s="56">
        <v>3.2</v>
      </c>
      <c r="O24" s="56">
        <v>3.2</v>
      </c>
      <c r="P24" s="56">
        <v>3.2</v>
      </c>
      <c r="Q24" s="56">
        <v>3.2</v>
      </c>
      <c r="R24" s="56">
        <v>3.2</v>
      </c>
      <c r="S24" s="56">
        <v>3.2</v>
      </c>
      <c r="T24" s="56">
        <v>3.2</v>
      </c>
      <c r="U24" s="56">
        <v>3.2</v>
      </c>
      <c r="V24" s="56">
        <v>3.2</v>
      </c>
      <c r="W24" s="56">
        <v>3.2</v>
      </c>
      <c r="X24" s="56">
        <v>3.2</v>
      </c>
      <c r="Y24" s="56">
        <v>3.2</v>
      </c>
      <c r="Z24" s="56">
        <v>3.5</v>
      </c>
      <c r="AA24" s="56">
        <v>3.5</v>
      </c>
      <c r="AB24" s="56">
        <v>3.5</v>
      </c>
      <c r="AC24" s="56">
        <v>3.5</v>
      </c>
      <c r="AD24" s="56">
        <v>3.5</v>
      </c>
      <c r="AE24" s="56">
        <v>3.5</v>
      </c>
      <c r="AF24" s="56">
        <v>3.5</v>
      </c>
      <c r="AG24" s="59">
        <v>12</v>
      </c>
      <c r="AH24" s="52">
        <f t="shared" si="2"/>
        <v>3.5</v>
      </c>
      <c r="AI24" s="53">
        <f t="shared" si="3"/>
        <v>3.2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2.5</v>
      </c>
      <c r="M25" s="56">
        <v>2.5</v>
      </c>
      <c r="N25" s="56">
        <v>2.5</v>
      </c>
      <c r="O25" s="56">
        <v>2.5</v>
      </c>
      <c r="P25" s="56">
        <v>2.5</v>
      </c>
      <c r="Q25" s="56">
        <v>2.5</v>
      </c>
      <c r="R25" s="56">
        <v>2.5</v>
      </c>
      <c r="S25" s="56">
        <v>2.5</v>
      </c>
      <c r="T25" s="56">
        <v>2.5</v>
      </c>
      <c r="U25" s="56">
        <v>2.5</v>
      </c>
      <c r="V25" s="56">
        <v>2.5</v>
      </c>
      <c r="W25" s="56">
        <v>2.5</v>
      </c>
      <c r="X25" s="56">
        <v>2.5</v>
      </c>
      <c r="Y25" s="56">
        <v>2.5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2.5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31.2</v>
      </c>
      <c r="C29" s="56">
        <v>30.7</v>
      </c>
      <c r="D29" s="56">
        <v>31.1</v>
      </c>
      <c r="E29" s="56">
        <v>31.5</v>
      </c>
      <c r="F29" s="56">
        <v>32.799999999999997</v>
      </c>
      <c r="G29" s="56">
        <v>31.3</v>
      </c>
      <c r="H29" s="56">
        <v>32.6</v>
      </c>
      <c r="I29" s="56">
        <v>32.200000000000003</v>
      </c>
      <c r="J29" s="56">
        <v>32.299999999999997</v>
      </c>
      <c r="K29" s="56">
        <v>31.6</v>
      </c>
      <c r="L29" s="67">
        <v>30.5</v>
      </c>
      <c r="M29" s="67">
        <v>31.4</v>
      </c>
      <c r="N29" s="67">
        <v>30.4</v>
      </c>
      <c r="O29" s="67">
        <v>29.1</v>
      </c>
      <c r="P29" s="67">
        <v>30.3</v>
      </c>
      <c r="Q29" s="67">
        <v>32.299999999999997</v>
      </c>
      <c r="R29" s="67">
        <v>30.2</v>
      </c>
      <c r="S29" s="67">
        <v>31.1</v>
      </c>
      <c r="T29" s="67">
        <v>29</v>
      </c>
      <c r="U29" s="67">
        <v>30.3</v>
      </c>
      <c r="V29" s="67">
        <v>31.4</v>
      </c>
      <c r="W29" s="67">
        <v>31.6</v>
      </c>
      <c r="X29" s="67">
        <v>30.9</v>
      </c>
      <c r="Y29" s="67">
        <v>28</v>
      </c>
      <c r="Z29" s="67">
        <v>24.8</v>
      </c>
      <c r="AA29" s="67">
        <v>29.2</v>
      </c>
      <c r="AB29" s="67">
        <v>25.6</v>
      </c>
      <c r="AC29" s="67">
        <v>24.7</v>
      </c>
      <c r="AD29" s="67">
        <v>30.7</v>
      </c>
      <c r="AE29" s="56">
        <v>33</v>
      </c>
      <c r="AF29" s="56">
        <v>37.5</v>
      </c>
      <c r="AG29" s="59">
        <v>240</v>
      </c>
      <c r="AH29" s="52">
        <f t="shared" si="2"/>
        <v>37.5</v>
      </c>
      <c r="AI29" s="53">
        <f t="shared" si="3"/>
        <v>24.7</v>
      </c>
      <c r="AK29" s="54"/>
    </row>
    <row r="30" spans="1:88" ht="15.75" thickBot="1" x14ac:dyDescent="0.3">
      <c r="A30" s="68" t="s">
        <v>37</v>
      </c>
      <c r="B30" s="69">
        <f>SUM(B11:B28)</f>
        <v>303.2</v>
      </c>
      <c r="C30" s="69">
        <f t="shared" ref="C30:AF30" si="4">SUM(C11:C28)</f>
        <v>309.39999999999998</v>
      </c>
      <c r="D30" s="69">
        <f t="shared" si="4"/>
        <v>304.09999999999997</v>
      </c>
      <c r="E30" s="69">
        <f t="shared" si="4"/>
        <v>304.60000000000002</v>
      </c>
      <c r="F30" s="69">
        <f t="shared" si="4"/>
        <v>303.99999999999994</v>
      </c>
      <c r="G30" s="69">
        <f t="shared" si="4"/>
        <v>302.79999999999995</v>
      </c>
      <c r="H30" s="69">
        <f t="shared" si="4"/>
        <v>303.7</v>
      </c>
      <c r="I30" s="69">
        <f t="shared" si="4"/>
        <v>302.69999999999993</v>
      </c>
      <c r="J30" s="69">
        <f t="shared" si="4"/>
        <v>303.79999999999995</v>
      </c>
      <c r="K30" s="69">
        <f t="shared" si="4"/>
        <v>303.39999999999998</v>
      </c>
      <c r="L30" s="69">
        <f t="shared" si="4"/>
        <v>288.19999999999993</v>
      </c>
      <c r="M30" s="69">
        <f t="shared" si="4"/>
        <v>298</v>
      </c>
      <c r="N30" s="69">
        <f t="shared" si="4"/>
        <v>299.49999999999994</v>
      </c>
      <c r="O30" s="69">
        <f t="shared" si="4"/>
        <v>296.59999999999997</v>
      </c>
      <c r="P30" s="69">
        <f t="shared" si="4"/>
        <v>296.29999999999995</v>
      </c>
      <c r="Q30" s="69">
        <f t="shared" si="4"/>
        <v>295.29999999999995</v>
      </c>
      <c r="R30" s="69">
        <f t="shared" si="4"/>
        <v>295.19999999999993</v>
      </c>
      <c r="S30" s="69">
        <f t="shared" si="4"/>
        <v>294.5</v>
      </c>
      <c r="T30" s="69">
        <f t="shared" si="4"/>
        <v>288.5</v>
      </c>
      <c r="U30" s="69">
        <f t="shared" si="4"/>
        <v>294.79999999999995</v>
      </c>
      <c r="V30" s="69">
        <f>SUM(V11:V28)</f>
        <v>276.09999999999997</v>
      </c>
      <c r="W30" s="69">
        <f t="shared" si="4"/>
        <v>274.09999999999997</v>
      </c>
      <c r="X30" s="69">
        <f t="shared" si="4"/>
        <v>279.29999999999995</v>
      </c>
      <c r="Y30" s="69">
        <f t="shared" si="4"/>
        <v>279.59999999999997</v>
      </c>
      <c r="Z30" s="69">
        <f t="shared" si="4"/>
        <v>299.39999999999998</v>
      </c>
      <c r="AA30" s="69">
        <f t="shared" si="4"/>
        <v>308.29999999999995</v>
      </c>
      <c r="AB30" s="69">
        <f t="shared" si="4"/>
        <v>305.2</v>
      </c>
      <c r="AC30" s="69">
        <f t="shared" si="4"/>
        <v>315.5</v>
      </c>
      <c r="AD30" s="69">
        <f t="shared" si="4"/>
        <v>318.79999999999995</v>
      </c>
      <c r="AE30" s="69">
        <f t="shared" si="4"/>
        <v>315.8</v>
      </c>
      <c r="AF30" s="69">
        <f t="shared" si="4"/>
        <v>323.7</v>
      </c>
      <c r="AG30" s="59">
        <f>SUM(AG11:AG29)</f>
        <v>729.2</v>
      </c>
      <c r="AH30" s="52">
        <f t="shared" si="2"/>
        <v>323.7</v>
      </c>
      <c r="AI30" s="53">
        <f t="shared" si="3"/>
        <v>274.09999999999997</v>
      </c>
      <c r="AK30" s="54"/>
    </row>
    <row r="31" spans="1:88" x14ac:dyDescent="0.25">
      <c r="A31" s="55" t="s">
        <v>38</v>
      </c>
      <c r="B31" s="56">
        <v>97</v>
      </c>
      <c r="C31" s="56">
        <v>97</v>
      </c>
      <c r="D31" s="56">
        <v>96.9</v>
      </c>
      <c r="E31" s="56">
        <v>96.9</v>
      </c>
      <c r="F31" s="56">
        <v>97</v>
      </c>
      <c r="G31" s="56">
        <v>134.1</v>
      </c>
      <c r="H31" s="56">
        <v>96.6</v>
      </c>
      <c r="I31" s="56">
        <v>97.7</v>
      </c>
      <c r="J31" s="56">
        <v>99</v>
      </c>
      <c r="K31" s="56">
        <v>97</v>
      </c>
      <c r="L31" s="49">
        <v>97</v>
      </c>
      <c r="M31" s="49">
        <v>97</v>
      </c>
      <c r="N31" s="49">
        <v>97</v>
      </c>
      <c r="O31" s="49">
        <v>97.1</v>
      </c>
      <c r="P31" s="49">
        <v>97</v>
      </c>
      <c r="Q31" s="49">
        <v>97</v>
      </c>
      <c r="R31" s="49">
        <v>97</v>
      </c>
      <c r="S31" s="49">
        <v>96.8</v>
      </c>
      <c r="T31" s="49">
        <v>97</v>
      </c>
      <c r="U31" s="49">
        <v>96.9</v>
      </c>
      <c r="V31" s="49">
        <v>97</v>
      </c>
      <c r="W31" s="49">
        <v>96.8</v>
      </c>
      <c r="X31" s="49">
        <v>97</v>
      </c>
      <c r="Y31" s="49">
        <v>97</v>
      </c>
      <c r="Z31" s="49">
        <v>97</v>
      </c>
      <c r="AA31" s="48">
        <v>97</v>
      </c>
      <c r="AB31" s="48">
        <v>97</v>
      </c>
      <c r="AC31" s="48">
        <v>96.9</v>
      </c>
      <c r="AD31" s="48">
        <v>98.9</v>
      </c>
      <c r="AE31" s="48">
        <v>99</v>
      </c>
      <c r="AF31" s="48">
        <v>97</v>
      </c>
      <c r="AG31" s="57">
        <v>144</v>
      </c>
      <c r="AH31" s="52">
        <f t="shared" si="2"/>
        <v>134.1</v>
      </c>
      <c r="AI31" s="53">
        <f t="shared" si="3"/>
        <v>96.6</v>
      </c>
      <c r="AK31" s="54"/>
    </row>
    <row r="32" spans="1:88" x14ac:dyDescent="0.25">
      <c r="A32" s="58" t="s">
        <v>39</v>
      </c>
      <c r="B32" s="56">
        <v>0</v>
      </c>
      <c r="C32" s="56">
        <v>0</v>
      </c>
      <c r="D32" s="56">
        <v>0</v>
      </c>
      <c r="E32" s="56">
        <v>0</v>
      </c>
      <c r="F32" s="56">
        <v>35.6</v>
      </c>
      <c r="G32" s="56">
        <v>60.5</v>
      </c>
      <c r="H32" s="56">
        <v>61.2</v>
      </c>
      <c r="I32" s="56">
        <v>70.5</v>
      </c>
      <c r="J32" s="56">
        <v>70.400000000000006</v>
      </c>
      <c r="K32" s="56">
        <v>69.8</v>
      </c>
      <c r="L32" s="70">
        <v>69.900000000000006</v>
      </c>
      <c r="M32" s="70">
        <v>69.2</v>
      </c>
      <c r="N32" s="70">
        <v>69.599999999999994</v>
      </c>
      <c r="O32" s="70">
        <v>59.2</v>
      </c>
      <c r="P32" s="70">
        <v>69.5</v>
      </c>
      <c r="Q32" s="70">
        <v>70.3</v>
      </c>
      <c r="R32" s="70">
        <v>70</v>
      </c>
      <c r="S32" s="70">
        <v>71.7</v>
      </c>
      <c r="T32" s="70">
        <v>69.3</v>
      </c>
      <c r="U32" s="70">
        <v>52.6</v>
      </c>
      <c r="V32" s="70">
        <v>62.4</v>
      </c>
      <c r="W32" s="70">
        <v>59.5</v>
      </c>
      <c r="X32" s="70">
        <v>60</v>
      </c>
      <c r="Y32" s="70">
        <v>69.5</v>
      </c>
      <c r="Z32" s="70">
        <v>69</v>
      </c>
      <c r="AA32" s="56">
        <v>69.8</v>
      </c>
      <c r="AB32" s="56">
        <v>69.2</v>
      </c>
      <c r="AC32" s="56">
        <v>69.5</v>
      </c>
      <c r="AD32" s="56">
        <v>70.2</v>
      </c>
      <c r="AE32" s="56">
        <v>45.1</v>
      </c>
      <c r="AF32" s="56">
        <v>29.7</v>
      </c>
      <c r="AG32" s="59">
        <v>70</v>
      </c>
      <c r="AH32" s="52">
        <f t="shared" si="2"/>
        <v>71.7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58</v>
      </c>
      <c r="C33" s="56">
        <v>43</v>
      </c>
      <c r="D33" s="56">
        <v>42.9</v>
      </c>
      <c r="E33" s="56">
        <v>43</v>
      </c>
      <c r="F33" s="56">
        <v>37.200000000000003</v>
      </c>
      <c r="G33" s="56">
        <v>37.4</v>
      </c>
      <c r="H33" s="56">
        <v>37.299999999999997</v>
      </c>
      <c r="I33" s="56">
        <v>37</v>
      </c>
      <c r="J33" s="56">
        <v>37.1</v>
      </c>
      <c r="K33" s="56">
        <v>42.9</v>
      </c>
      <c r="L33" s="70">
        <v>43.3</v>
      </c>
      <c r="M33" s="70">
        <v>42.3</v>
      </c>
      <c r="N33" s="70">
        <v>36.4</v>
      </c>
      <c r="O33" s="70">
        <v>36.6</v>
      </c>
      <c r="P33" s="70">
        <v>39</v>
      </c>
      <c r="Q33" s="70">
        <v>38.299999999999997</v>
      </c>
      <c r="R33" s="70">
        <v>39.1</v>
      </c>
      <c r="S33" s="70">
        <v>38.9</v>
      </c>
      <c r="T33" s="70">
        <v>38.6</v>
      </c>
      <c r="U33" s="70">
        <v>37.1</v>
      </c>
      <c r="V33" s="70">
        <v>41.5</v>
      </c>
      <c r="W33" s="70">
        <v>42</v>
      </c>
      <c r="X33" s="70">
        <v>65.599999999999994</v>
      </c>
      <c r="Y33" s="70">
        <v>67</v>
      </c>
      <c r="Z33" s="70">
        <v>67</v>
      </c>
      <c r="AA33" s="56">
        <v>66.900000000000006</v>
      </c>
      <c r="AB33" s="56">
        <v>67.3</v>
      </c>
      <c r="AC33" s="56">
        <v>67</v>
      </c>
      <c r="AD33" s="56">
        <v>66.900000000000006</v>
      </c>
      <c r="AE33" s="56">
        <v>66.8</v>
      </c>
      <c r="AF33" s="56">
        <v>67.400000000000006</v>
      </c>
      <c r="AG33" s="59">
        <v>69</v>
      </c>
      <c r="AH33" s="52">
        <f t="shared" si="2"/>
        <v>67.400000000000006</v>
      </c>
      <c r="AI33" s="53">
        <f t="shared" si="3"/>
        <v>36.4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28.7</v>
      </c>
      <c r="E34" s="56">
        <v>28.7</v>
      </c>
      <c r="F34" s="56">
        <v>28.7</v>
      </c>
      <c r="G34" s="56">
        <v>28.7</v>
      </c>
      <c r="H34" s="56">
        <v>28.7</v>
      </c>
      <c r="I34" s="56">
        <v>28.5</v>
      </c>
      <c r="J34" s="56">
        <v>28.2</v>
      </c>
      <c r="K34" s="56">
        <v>28.5</v>
      </c>
      <c r="L34" s="70">
        <v>28.2</v>
      </c>
      <c r="M34" s="70">
        <v>28.2</v>
      </c>
      <c r="N34" s="70">
        <v>28.2</v>
      </c>
      <c r="O34" s="70">
        <v>28.2</v>
      </c>
      <c r="P34" s="70">
        <v>28.2</v>
      </c>
      <c r="Q34" s="70">
        <v>28.5</v>
      </c>
      <c r="R34" s="70">
        <v>28.2</v>
      </c>
      <c r="S34" s="70">
        <v>28.2</v>
      </c>
      <c r="T34" s="70">
        <v>28.2</v>
      </c>
      <c r="U34" s="70">
        <v>28.2</v>
      </c>
      <c r="V34" s="70">
        <v>28.2</v>
      </c>
      <c r="W34" s="70">
        <v>28.2</v>
      </c>
      <c r="X34" s="70">
        <v>28.2</v>
      </c>
      <c r="Y34" s="70">
        <v>28.2</v>
      </c>
      <c r="Z34" s="70">
        <v>28.2</v>
      </c>
      <c r="AA34" s="56">
        <v>28</v>
      </c>
      <c r="AB34" s="56">
        <v>28</v>
      </c>
      <c r="AC34" s="56">
        <v>28</v>
      </c>
      <c r="AD34" s="56">
        <v>28.5</v>
      </c>
      <c r="AE34" s="56">
        <v>28.2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28</v>
      </c>
      <c r="AK34" s="54"/>
    </row>
    <row r="35" spans="1:41" x14ac:dyDescent="0.25">
      <c r="A35" s="58" t="s">
        <v>42</v>
      </c>
      <c r="B35" s="56">
        <v>30</v>
      </c>
      <c r="C35" s="56">
        <v>20</v>
      </c>
      <c r="D35" s="56">
        <v>20</v>
      </c>
      <c r="E35" s="56">
        <v>20</v>
      </c>
      <c r="F35" s="56">
        <v>20</v>
      </c>
      <c r="G35" s="56">
        <v>30</v>
      </c>
      <c r="H35" s="56">
        <v>29.6</v>
      </c>
      <c r="I35" s="56">
        <v>30</v>
      </c>
      <c r="J35" s="56">
        <v>29.8</v>
      </c>
      <c r="K35" s="56">
        <v>25.4</v>
      </c>
      <c r="L35" s="49">
        <v>26.5</v>
      </c>
      <c r="M35" s="49">
        <v>26</v>
      </c>
      <c r="N35" s="49">
        <v>26.5</v>
      </c>
      <c r="O35" s="49">
        <v>29.7</v>
      </c>
      <c r="P35" s="49">
        <v>29.6</v>
      </c>
      <c r="Q35" s="49">
        <v>29.4</v>
      </c>
      <c r="R35" s="49">
        <v>29.6</v>
      </c>
      <c r="S35" s="49">
        <v>26.3</v>
      </c>
      <c r="T35" s="49">
        <v>20.6</v>
      </c>
      <c r="U35" s="49">
        <v>15.2</v>
      </c>
      <c r="V35" s="70">
        <v>13.6</v>
      </c>
      <c r="W35" s="70">
        <v>13</v>
      </c>
      <c r="X35" s="70">
        <v>15</v>
      </c>
      <c r="Y35" s="70">
        <v>20.8</v>
      </c>
      <c r="Z35" s="70">
        <v>30</v>
      </c>
      <c r="AA35" s="56">
        <v>29.4</v>
      </c>
      <c r="AB35" s="56">
        <v>29.6</v>
      </c>
      <c r="AC35" s="56">
        <v>29.4</v>
      </c>
      <c r="AD35" s="56">
        <v>29.4</v>
      </c>
      <c r="AE35" s="56">
        <v>29.3</v>
      </c>
      <c r="AF35" s="56">
        <v>26</v>
      </c>
      <c r="AG35" s="59">
        <v>30</v>
      </c>
      <c r="AH35" s="52">
        <f t="shared" si="2"/>
        <v>30</v>
      </c>
      <c r="AI35" s="53">
        <f t="shared" si="3"/>
        <v>13</v>
      </c>
      <c r="AK35" s="54"/>
    </row>
    <row r="36" spans="1:41" x14ac:dyDescent="0.25">
      <c r="A36" s="58" t="s">
        <v>43</v>
      </c>
      <c r="B36" s="71">
        <v>11.4</v>
      </c>
      <c r="C36" s="71">
        <v>11.4</v>
      </c>
      <c r="D36" s="71">
        <v>11.4</v>
      </c>
      <c r="E36" s="71">
        <v>11.4</v>
      </c>
      <c r="F36" s="71">
        <v>11.4</v>
      </c>
      <c r="G36" s="71">
        <v>11.14</v>
      </c>
      <c r="H36" s="71">
        <v>13.2</v>
      </c>
      <c r="I36" s="71">
        <v>13.2</v>
      </c>
      <c r="J36" s="71">
        <v>14</v>
      </c>
      <c r="K36" s="71">
        <v>14</v>
      </c>
      <c r="L36" s="49">
        <v>14</v>
      </c>
      <c r="M36" s="49">
        <v>13.8</v>
      </c>
      <c r="N36" s="49">
        <v>13.9</v>
      </c>
      <c r="O36" s="49">
        <v>14.4</v>
      </c>
      <c r="P36" s="49">
        <v>14.3</v>
      </c>
      <c r="Q36" s="49">
        <v>14.4</v>
      </c>
      <c r="R36" s="49">
        <v>12.2</v>
      </c>
      <c r="S36" s="49">
        <v>14.5</v>
      </c>
      <c r="T36" s="49">
        <v>14.5</v>
      </c>
      <c r="U36" s="49">
        <v>14.5</v>
      </c>
      <c r="V36" s="49">
        <v>14</v>
      </c>
      <c r="W36" s="49">
        <v>14.5</v>
      </c>
      <c r="X36" s="49">
        <v>14.6</v>
      </c>
      <c r="Y36" s="49">
        <v>14.6</v>
      </c>
      <c r="Z36" s="49">
        <v>14.6</v>
      </c>
      <c r="AA36" s="56">
        <v>14.7</v>
      </c>
      <c r="AB36" s="56">
        <v>14.7</v>
      </c>
      <c r="AC36" s="56">
        <v>14.7</v>
      </c>
      <c r="AD36" s="56">
        <v>14.8</v>
      </c>
      <c r="AE36" s="56">
        <v>14.7</v>
      </c>
      <c r="AF36" s="56">
        <v>14.7</v>
      </c>
      <c r="AG36" s="59">
        <v>24</v>
      </c>
      <c r="AH36" s="52">
        <f t="shared" si="2"/>
        <v>14.8</v>
      </c>
      <c r="AI36" s="53">
        <f t="shared" si="3"/>
        <v>11.14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12.5</v>
      </c>
      <c r="AA38" s="56">
        <v>12.5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12.5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8</v>
      </c>
      <c r="C39" s="71">
        <v>8</v>
      </c>
      <c r="D39" s="71">
        <v>8</v>
      </c>
      <c r="E39" s="71">
        <v>8</v>
      </c>
      <c r="F39" s="71">
        <v>8</v>
      </c>
      <c r="G39" s="71">
        <v>8</v>
      </c>
      <c r="H39" s="71">
        <v>8</v>
      </c>
      <c r="I39" s="71">
        <v>8</v>
      </c>
      <c r="J39" s="71">
        <v>8</v>
      </c>
      <c r="K39" s="71">
        <v>8</v>
      </c>
      <c r="L39" s="49">
        <v>10</v>
      </c>
      <c r="M39" s="49">
        <v>10</v>
      </c>
      <c r="N39" s="49">
        <v>10</v>
      </c>
      <c r="O39" s="49">
        <v>10</v>
      </c>
      <c r="P39" s="49">
        <v>10</v>
      </c>
      <c r="Q39" s="49">
        <v>10</v>
      </c>
      <c r="R39" s="49">
        <v>10</v>
      </c>
      <c r="S39" s="49">
        <v>10</v>
      </c>
      <c r="T39" s="49">
        <v>10</v>
      </c>
      <c r="U39" s="49">
        <v>10</v>
      </c>
      <c r="V39" s="49">
        <v>10</v>
      </c>
      <c r="W39" s="49">
        <v>10</v>
      </c>
      <c r="X39" s="49">
        <v>10</v>
      </c>
      <c r="Y39" s="49">
        <v>10</v>
      </c>
      <c r="Z39" s="49">
        <v>8</v>
      </c>
      <c r="AA39" s="56">
        <v>8</v>
      </c>
      <c r="AB39" s="56">
        <v>3.9</v>
      </c>
      <c r="AC39" s="56">
        <v>3.9</v>
      </c>
      <c r="AD39" s="56">
        <v>3.9</v>
      </c>
      <c r="AE39" s="56">
        <v>3.9</v>
      </c>
      <c r="AF39" s="56">
        <v>3.9</v>
      </c>
      <c r="AG39" s="59">
        <v>14</v>
      </c>
      <c r="AH39" s="52">
        <f t="shared" si="2"/>
        <v>10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5</v>
      </c>
      <c r="C40" s="56">
        <v>5</v>
      </c>
      <c r="D40" s="56">
        <v>5</v>
      </c>
      <c r="E40" s="56">
        <v>5</v>
      </c>
      <c r="F40" s="56">
        <v>5</v>
      </c>
      <c r="G40" s="56">
        <v>5</v>
      </c>
      <c r="H40" s="56">
        <v>5</v>
      </c>
      <c r="I40" s="56">
        <v>5</v>
      </c>
      <c r="J40" s="56">
        <v>5</v>
      </c>
      <c r="K40" s="56">
        <v>5</v>
      </c>
      <c r="L40" s="49">
        <v>5</v>
      </c>
      <c r="M40" s="49">
        <v>5</v>
      </c>
      <c r="N40" s="49">
        <v>5</v>
      </c>
      <c r="O40" s="49">
        <v>5</v>
      </c>
      <c r="P40" s="49">
        <v>5</v>
      </c>
      <c r="Q40" s="49">
        <v>5</v>
      </c>
      <c r="R40" s="49">
        <v>5</v>
      </c>
      <c r="S40" s="49">
        <v>5</v>
      </c>
      <c r="T40" s="49">
        <v>5</v>
      </c>
      <c r="U40" s="49">
        <v>5</v>
      </c>
      <c r="V40" s="49">
        <v>5</v>
      </c>
      <c r="W40" s="49">
        <v>5</v>
      </c>
      <c r="X40" s="49">
        <v>5</v>
      </c>
      <c r="Y40" s="49">
        <v>5</v>
      </c>
      <c r="Z40" s="49">
        <v>4.5999999999999996</v>
      </c>
      <c r="AA40" s="56">
        <v>5.5</v>
      </c>
      <c r="AB40" s="56">
        <v>5.5</v>
      </c>
      <c r="AC40" s="56">
        <v>5.5</v>
      </c>
      <c r="AD40" s="56">
        <v>5.4</v>
      </c>
      <c r="AE40" s="56">
        <v>4.5</v>
      </c>
      <c r="AF40" s="56">
        <v>6.3</v>
      </c>
      <c r="AG40" s="59">
        <v>10.050000000000001</v>
      </c>
      <c r="AH40" s="52">
        <f t="shared" si="2"/>
        <v>6.3</v>
      </c>
      <c r="AI40" s="53">
        <f t="shared" si="3"/>
        <v>4.5</v>
      </c>
      <c r="AK40" s="54"/>
    </row>
    <row r="41" spans="1:41" x14ac:dyDescent="0.25">
      <c r="A41" s="58" t="s">
        <v>48</v>
      </c>
      <c r="B41" s="56">
        <v>3.2</v>
      </c>
      <c r="C41" s="56">
        <v>3.2</v>
      </c>
      <c r="D41" s="56">
        <v>3.2</v>
      </c>
      <c r="E41" s="56">
        <v>3.2</v>
      </c>
      <c r="F41" s="56">
        <v>3.2</v>
      </c>
      <c r="G41" s="56">
        <v>3.2</v>
      </c>
      <c r="H41" s="56">
        <v>3.2</v>
      </c>
      <c r="I41" s="56">
        <v>3.2</v>
      </c>
      <c r="J41" s="56">
        <v>3.2</v>
      </c>
      <c r="K41" s="56">
        <v>3.2</v>
      </c>
      <c r="L41" s="49">
        <v>3.2</v>
      </c>
      <c r="M41" s="49">
        <v>3.2</v>
      </c>
      <c r="N41" s="49">
        <v>3.2</v>
      </c>
      <c r="O41" s="49">
        <v>3.2</v>
      </c>
      <c r="P41" s="49">
        <v>3.2</v>
      </c>
      <c r="Q41" s="49">
        <v>3.2</v>
      </c>
      <c r="R41" s="49">
        <v>3.2</v>
      </c>
      <c r="S41" s="49">
        <v>3.2</v>
      </c>
      <c r="T41" s="49">
        <v>3.2</v>
      </c>
      <c r="U41" s="49">
        <v>3.2</v>
      </c>
      <c r="V41" s="49">
        <v>3.2</v>
      </c>
      <c r="W41" s="49">
        <v>3.2</v>
      </c>
      <c r="X41" s="49">
        <v>3.2</v>
      </c>
      <c r="Y41" s="49">
        <v>3.2</v>
      </c>
      <c r="Z41" s="49">
        <v>3.2</v>
      </c>
      <c r="AA41" s="56">
        <v>3.2</v>
      </c>
      <c r="AB41" s="56">
        <v>3.2</v>
      </c>
      <c r="AC41" s="56">
        <v>3.2</v>
      </c>
      <c r="AD41" s="56">
        <v>3.2</v>
      </c>
      <c r="AE41" s="56">
        <v>3.2</v>
      </c>
      <c r="AF41" s="56">
        <v>3.2</v>
      </c>
      <c r="AG41" s="59">
        <v>6.2</v>
      </c>
      <c r="AH41" s="52">
        <f t="shared" si="2"/>
        <v>3.2</v>
      </c>
      <c r="AI41" s="53">
        <f t="shared" si="3"/>
        <v>3.2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254.64</v>
      </c>
      <c r="C43" s="69">
        <f t="shared" si="6"/>
        <v>229.64</v>
      </c>
      <c r="D43" s="69">
        <f t="shared" si="6"/>
        <v>229.64</v>
      </c>
      <c r="E43" s="69">
        <f t="shared" si="6"/>
        <v>229.73999999999998</v>
      </c>
      <c r="F43" s="69">
        <f t="shared" si="6"/>
        <v>259.64000000000004</v>
      </c>
      <c r="G43" s="69">
        <f t="shared" si="6"/>
        <v>331.58</v>
      </c>
      <c r="H43" s="69">
        <f t="shared" si="6"/>
        <v>296.34000000000003</v>
      </c>
      <c r="I43" s="69">
        <f t="shared" si="6"/>
        <v>306.64</v>
      </c>
      <c r="J43" s="69">
        <f t="shared" si="6"/>
        <v>308.24</v>
      </c>
      <c r="K43" s="69">
        <f t="shared" si="6"/>
        <v>307.34000000000003</v>
      </c>
      <c r="L43" s="69">
        <f t="shared" si="6"/>
        <v>310.64</v>
      </c>
      <c r="M43" s="69">
        <f t="shared" si="6"/>
        <v>308.24</v>
      </c>
      <c r="N43" s="69">
        <f t="shared" si="6"/>
        <v>303.33999999999997</v>
      </c>
      <c r="O43" s="69">
        <f t="shared" si="6"/>
        <v>296.94</v>
      </c>
      <c r="P43" s="69">
        <f t="shared" si="6"/>
        <v>309.34000000000003</v>
      </c>
      <c r="Q43" s="69">
        <f t="shared" si="6"/>
        <v>309.64</v>
      </c>
      <c r="R43" s="69">
        <f t="shared" si="6"/>
        <v>307.83999999999997</v>
      </c>
      <c r="S43" s="69">
        <f t="shared" si="6"/>
        <v>308.14</v>
      </c>
      <c r="T43" s="69">
        <f t="shared" si="6"/>
        <v>299.94</v>
      </c>
      <c r="U43" s="69">
        <f t="shared" si="6"/>
        <v>276.24</v>
      </c>
      <c r="V43" s="69">
        <f t="shared" si="6"/>
        <v>288.44</v>
      </c>
      <c r="W43" s="69">
        <f t="shared" si="6"/>
        <v>285.74</v>
      </c>
      <c r="X43" s="69">
        <f t="shared" si="6"/>
        <v>312.14</v>
      </c>
      <c r="Y43" s="69">
        <f t="shared" si="6"/>
        <v>328.84000000000003</v>
      </c>
      <c r="Z43" s="69">
        <f t="shared" si="6"/>
        <v>337.64000000000004</v>
      </c>
      <c r="AA43" s="69">
        <f t="shared" si="6"/>
        <v>338.54</v>
      </c>
      <c r="AB43" s="69">
        <f t="shared" si="6"/>
        <v>331.94</v>
      </c>
      <c r="AC43" s="69">
        <f t="shared" si="6"/>
        <v>331.63999999999993</v>
      </c>
      <c r="AD43" s="69">
        <f t="shared" si="6"/>
        <v>334.73999999999995</v>
      </c>
      <c r="AE43" s="69">
        <f t="shared" si="6"/>
        <v>308.23999999999995</v>
      </c>
      <c r="AF43" s="69">
        <f t="shared" si="6"/>
        <v>290.24</v>
      </c>
      <c r="AG43" s="74">
        <f>SUM(AG31:AG42)</f>
        <v>464.91</v>
      </c>
      <c r="AH43" s="52">
        <f t="shared" si="2"/>
        <v>338.54</v>
      </c>
      <c r="AI43" s="53">
        <f t="shared" si="3"/>
        <v>229.64</v>
      </c>
      <c r="AK43" s="54"/>
    </row>
    <row r="44" spans="1:41" x14ac:dyDescent="0.25">
      <c r="A44" s="55" t="s">
        <v>51</v>
      </c>
      <c r="B44" s="56">
        <v>30</v>
      </c>
      <c r="C44" s="56">
        <v>29.5</v>
      </c>
      <c r="D44" s="56">
        <v>19.399999999999999</v>
      </c>
      <c r="E44" s="56">
        <v>19.3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30.5</v>
      </c>
      <c r="M44" s="75">
        <v>20.100000000000001</v>
      </c>
      <c r="N44" s="75">
        <v>20</v>
      </c>
      <c r="O44" s="75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14.2</v>
      </c>
      <c r="Z44" s="49">
        <v>59.7</v>
      </c>
      <c r="AA44" s="49">
        <v>45</v>
      </c>
      <c r="AB44" s="49">
        <v>44.3</v>
      </c>
      <c r="AC44" s="49">
        <v>49.7</v>
      </c>
      <c r="AD44" s="49">
        <v>39.4</v>
      </c>
      <c r="AE44" s="49">
        <v>38.9</v>
      </c>
      <c r="AF44" s="49">
        <v>38.799999999999997</v>
      </c>
      <c r="AG44" s="57">
        <v>60</v>
      </c>
      <c r="AH44" s="52">
        <f t="shared" si="2"/>
        <v>59.7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9.4</v>
      </c>
      <c r="C45" s="56">
        <v>15.8</v>
      </c>
      <c r="D45" s="56">
        <v>9.9</v>
      </c>
      <c r="E45" s="56">
        <v>9.5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15.5</v>
      </c>
      <c r="M45" s="75">
        <v>9.3000000000000007</v>
      </c>
      <c r="N45" s="75">
        <v>9.3000000000000007</v>
      </c>
      <c r="O45" s="75">
        <v>0</v>
      </c>
      <c r="P45" s="70">
        <v>0</v>
      </c>
      <c r="Q45" s="70">
        <v>0</v>
      </c>
      <c r="R45" s="49">
        <v>0</v>
      </c>
      <c r="S45" s="49">
        <v>0</v>
      </c>
      <c r="T45" s="49">
        <v>0</v>
      </c>
      <c r="U45" s="70">
        <v>0</v>
      </c>
      <c r="V45" s="70">
        <v>0</v>
      </c>
      <c r="W45" s="70">
        <v>0</v>
      </c>
      <c r="X45" s="70">
        <v>0</v>
      </c>
      <c r="Y45" s="70">
        <v>6</v>
      </c>
      <c r="Z45" s="70">
        <v>20.7</v>
      </c>
      <c r="AA45" s="70">
        <v>23.5</v>
      </c>
      <c r="AB45" s="70">
        <v>21.2</v>
      </c>
      <c r="AC45" s="70">
        <v>21.2</v>
      </c>
      <c r="AD45" s="70">
        <v>20.399999999999999</v>
      </c>
      <c r="AE45" s="70">
        <v>24.2</v>
      </c>
      <c r="AF45" s="70">
        <v>16.7</v>
      </c>
      <c r="AG45" s="59">
        <v>32</v>
      </c>
      <c r="AH45" s="52">
        <f t="shared" si="2"/>
        <v>24.2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3.4</v>
      </c>
      <c r="C46" s="71">
        <v>5.8</v>
      </c>
      <c r="D46" s="71">
        <v>3.6</v>
      </c>
      <c r="E46" s="71">
        <v>3.5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6">
        <v>5.7</v>
      </c>
      <c r="M46" s="76">
        <v>3.4</v>
      </c>
      <c r="N46" s="76">
        <v>3.4</v>
      </c>
      <c r="O46" s="76">
        <v>0</v>
      </c>
      <c r="P46" s="77">
        <v>0</v>
      </c>
      <c r="Q46" s="77">
        <v>0</v>
      </c>
      <c r="R46" s="49">
        <v>0</v>
      </c>
      <c r="S46" s="49">
        <v>0</v>
      </c>
      <c r="T46" s="49">
        <v>0</v>
      </c>
      <c r="U46" s="77">
        <v>0</v>
      </c>
      <c r="V46" s="77">
        <v>0</v>
      </c>
      <c r="W46" s="77">
        <v>0</v>
      </c>
      <c r="X46" s="77">
        <v>0</v>
      </c>
      <c r="Y46" s="77">
        <v>2.2000000000000002</v>
      </c>
      <c r="Z46" s="77">
        <v>7.5</v>
      </c>
      <c r="AA46" s="77">
        <v>8.6</v>
      </c>
      <c r="AB46" s="77">
        <v>7.7</v>
      </c>
      <c r="AC46" s="77">
        <v>7.7</v>
      </c>
      <c r="AD46" s="77">
        <v>7.4</v>
      </c>
      <c r="AE46" s="77">
        <v>8.8000000000000007</v>
      </c>
      <c r="AF46" s="77">
        <v>6.1</v>
      </c>
      <c r="AG46" s="78">
        <v>14</v>
      </c>
      <c r="AH46" s="52">
        <f t="shared" si="2"/>
        <v>8.8000000000000007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42.8</v>
      </c>
      <c r="C47" s="69">
        <f t="shared" ref="C47:AF47" si="7">SUM(C44:C46)</f>
        <v>51.099999999999994</v>
      </c>
      <c r="D47" s="69">
        <f t="shared" si="7"/>
        <v>32.9</v>
      </c>
      <c r="E47" s="69">
        <f t="shared" si="7"/>
        <v>32.299999999999997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51.7</v>
      </c>
      <c r="M47" s="69">
        <f t="shared" si="7"/>
        <v>32.800000000000004</v>
      </c>
      <c r="N47" s="69">
        <f t="shared" si="7"/>
        <v>32.700000000000003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22.4</v>
      </c>
      <c r="Z47" s="69">
        <f t="shared" si="7"/>
        <v>87.9</v>
      </c>
      <c r="AA47" s="69">
        <f t="shared" si="7"/>
        <v>77.099999999999994</v>
      </c>
      <c r="AB47" s="69">
        <f t="shared" si="7"/>
        <v>73.2</v>
      </c>
      <c r="AC47" s="69">
        <f t="shared" si="7"/>
        <v>78.600000000000009</v>
      </c>
      <c r="AD47" s="69">
        <f t="shared" si="7"/>
        <v>67.2</v>
      </c>
      <c r="AE47" s="69">
        <f t="shared" si="7"/>
        <v>71.899999999999991</v>
      </c>
      <c r="AF47" s="69">
        <f t="shared" si="7"/>
        <v>61.6</v>
      </c>
      <c r="AG47" s="74">
        <f>SUM(AG44:AG46)</f>
        <v>106</v>
      </c>
      <c r="AH47" s="52">
        <f t="shared" si="2"/>
        <v>87.9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66</v>
      </c>
      <c r="C48" s="49">
        <v>73</v>
      </c>
      <c r="D48" s="49">
        <v>69.400000000000006</v>
      </c>
      <c r="E48" s="49">
        <v>66.2</v>
      </c>
      <c r="F48" s="49">
        <v>64.599999999999994</v>
      </c>
      <c r="G48" s="49">
        <v>61.8</v>
      </c>
      <c r="H48" s="49">
        <v>59.99</v>
      </c>
      <c r="I48" s="49">
        <v>60</v>
      </c>
      <c r="J48" s="49">
        <v>57.6</v>
      </c>
      <c r="K48" s="49">
        <v>65.900000000000006</v>
      </c>
      <c r="L48" s="49">
        <v>66.45</v>
      </c>
      <c r="M48" s="49">
        <v>69</v>
      </c>
      <c r="N48" s="49">
        <v>70</v>
      </c>
      <c r="O48" s="49">
        <v>75.599999999999994</v>
      </c>
      <c r="P48" s="49">
        <v>74.8</v>
      </c>
      <c r="Q48" s="49">
        <v>66</v>
      </c>
      <c r="R48" s="49">
        <v>62.3</v>
      </c>
      <c r="S48" s="49">
        <v>61.5</v>
      </c>
      <c r="T48" s="49">
        <v>65</v>
      </c>
      <c r="U48" s="49">
        <v>63.9</v>
      </c>
      <c r="V48" s="49">
        <v>63</v>
      </c>
      <c r="W48" s="49">
        <v>65</v>
      </c>
      <c r="X48" s="49">
        <v>63.6</v>
      </c>
      <c r="Y48" s="49">
        <v>57.8</v>
      </c>
      <c r="Z48" s="49">
        <v>65</v>
      </c>
      <c r="AA48" s="49">
        <v>71</v>
      </c>
      <c r="AB48" s="49">
        <v>73.12</v>
      </c>
      <c r="AC48" s="49">
        <v>70</v>
      </c>
      <c r="AD48" s="49">
        <v>69.540000000000006</v>
      </c>
      <c r="AE48" s="49">
        <v>65.459999999999994</v>
      </c>
      <c r="AF48" s="49">
        <v>70</v>
      </c>
      <c r="AG48" s="57"/>
      <c r="AH48" s="52">
        <f t="shared" si="2"/>
        <v>75.599999999999994</v>
      </c>
      <c r="AI48" s="53">
        <f t="shared" si="3"/>
        <v>57.6</v>
      </c>
      <c r="AK48" s="54"/>
    </row>
    <row r="49" spans="1:37" x14ac:dyDescent="0.25">
      <c r="A49" s="58" t="s">
        <v>56</v>
      </c>
      <c r="B49" s="70">
        <f>18+83</f>
        <v>101</v>
      </c>
      <c r="C49" s="70">
        <v>99</v>
      </c>
      <c r="D49" s="70">
        <v>96</v>
      </c>
      <c r="E49" s="70">
        <v>90</v>
      </c>
      <c r="F49" s="70">
        <v>82.8</v>
      </c>
      <c r="G49" s="70">
        <v>29.3</v>
      </c>
      <c r="H49" s="70">
        <v>29.1</v>
      </c>
      <c r="I49" s="70">
        <v>32.200000000000003</v>
      </c>
      <c r="J49" s="70">
        <v>35.1</v>
      </c>
      <c r="K49" s="70">
        <v>107.85</v>
      </c>
      <c r="L49" s="49">
        <v>80</v>
      </c>
      <c r="M49" s="49">
        <v>117</v>
      </c>
      <c r="N49" s="49">
        <v>113</v>
      </c>
      <c r="O49" s="49">
        <v>139</v>
      </c>
      <c r="P49" s="49">
        <v>147</v>
      </c>
      <c r="Q49" s="49">
        <v>129</v>
      </c>
      <c r="R49" s="49">
        <v>118</v>
      </c>
      <c r="S49" s="49">
        <v>126</v>
      </c>
      <c r="T49" s="49">
        <v>132</v>
      </c>
      <c r="U49" s="79">
        <f>80.9+52</f>
        <v>132.9</v>
      </c>
      <c r="V49" s="79">
        <v>125</v>
      </c>
      <c r="W49" s="79">
        <v>130</v>
      </c>
      <c r="X49" s="79">
        <v>134</v>
      </c>
      <c r="Y49" s="79">
        <v>161</v>
      </c>
      <c r="Z49" s="79">
        <v>166</v>
      </c>
      <c r="AA49" s="70">
        <v>156</v>
      </c>
      <c r="AB49" s="70">
        <v>144</v>
      </c>
      <c r="AC49" s="70">
        <v>151</v>
      </c>
      <c r="AD49" s="70">
        <v>122</v>
      </c>
      <c r="AE49" s="70">
        <v>97.4</v>
      </c>
      <c r="AF49" s="70">
        <v>91.6</v>
      </c>
      <c r="AG49" s="59"/>
      <c r="AH49" s="52">
        <f t="shared" si="2"/>
        <v>166</v>
      </c>
      <c r="AI49" s="53">
        <f t="shared" si="3"/>
        <v>29.1</v>
      </c>
      <c r="AK49" s="54"/>
    </row>
    <row r="50" spans="1:37" x14ac:dyDescent="0.25">
      <c r="A50" s="58" t="s">
        <v>57</v>
      </c>
      <c r="B50" s="70">
        <v>215</v>
      </c>
      <c r="C50" s="70">
        <v>210</v>
      </c>
      <c r="D50" s="70">
        <v>212</v>
      </c>
      <c r="E50" s="70">
        <v>208</v>
      </c>
      <c r="F50" s="70">
        <v>204</v>
      </c>
      <c r="G50" s="49">
        <f>110+111</f>
        <v>221</v>
      </c>
      <c r="H50" s="49">
        <f>115+115</f>
        <v>230</v>
      </c>
      <c r="I50" s="49">
        <v>262</v>
      </c>
      <c r="J50" s="49">
        <f>142+143</f>
        <v>285</v>
      </c>
      <c r="K50" s="49">
        <v>337</v>
      </c>
      <c r="L50" s="70">
        <v>275</v>
      </c>
      <c r="M50" s="70">
        <v>296</v>
      </c>
      <c r="N50" s="70">
        <v>285</v>
      </c>
      <c r="O50" s="70">
        <v>286</v>
      </c>
      <c r="P50" s="70">
        <v>298</v>
      </c>
      <c r="Q50" s="70">
        <v>296</v>
      </c>
      <c r="R50" s="70">
        <v>292</v>
      </c>
      <c r="S50" s="70">
        <v>300</v>
      </c>
      <c r="T50" s="70">
        <v>290</v>
      </c>
      <c r="U50" s="80">
        <v>300</v>
      </c>
      <c r="V50" s="80">
        <v>296</v>
      </c>
      <c r="W50" s="80">
        <v>295</v>
      </c>
      <c r="X50" s="80">
        <v>292</v>
      </c>
      <c r="Y50" s="80">
        <v>315</v>
      </c>
      <c r="Z50" s="80">
        <v>345</v>
      </c>
      <c r="AA50" s="70">
        <v>333</v>
      </c>
      <c r="AB50" s="70">
        <v>330</v>
      </c>
      <c r="AC50" s="70">
        <v>295</v>
      </c>
      <c r="AD50" s="70">
        <v>233</v>
      </c>
      <c r="AE50" s="70">
        <v>216</v>
      </c>
      <c r="AF50" s="70">
        <v>231</v>
      </c>
      <c r="AG50" s="81"/>
      <c r="AH50" s="52">
        <f t="shared" si="2"/>
        <v>345</v>
      </c>
      <c r="AI50" s="53">
        <f t="shared" si="3"/>
        <v>204</v>
      </c>
      <c r="AK50" s="54"/>
    </row>
    <row r="51" spans="1:37" x14ac:dyDescent="0.25">
      <c r="A51" s="58" t="s">
        <v>58</v>
      </c>
      <c r="B51" s="82">
        <v>14</v>
      </c>
      <c r="C51" s="82">
        <v>14</v>
      </c>
      <c r="D51" s="82">
        <v>14</v>
      </c>
      <c r="E51" s="82">
        <v>14</v>
      </c>
      <c r="F51" s="82">
        <v>14</v>
      </c>
      <c r="G51" s="82">
        <v>14</v>
      </c>
      <c r="H51" s="82">
        <v>14</v>
      </c>
      <c r="I51" s="82">
        <v>14</v>
      </c>
      <c r="J51" s="82">
        <v>13</v>
      </c>
      <c r="K51" s="82">
        <v>13</v>
      </c>
      <c r="L51" s="70">
        <v>14</v>
      </c>
      <c r="M51" s="70">
        <v>15</v>
      </c>
      <c r="N51" s="70">
        <v>12</v>
      </c>
      <c r="O51" s="70">
        <v>12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12</v>
      </c>
      <c r="AB51" s="82">
        <v>12</v>
      </c>
      <c r="AC51" s="82">
        <v>12</v>
      </c>
      <c r="AD51" s="82">
        <v>12</v>
      </c>
      <c r="AE51" s="82">
        <v>12</v>
      </c>
      <c r="AF51" s="82">
        <v>12</v>
      </c>
      <c r="AG51" s="81"/>
      <c r="AH51" s="52">
        <f t="shared" si="2"/>
        <v>15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57</v>
      </c>
      <c r="C52" s="82">
        <v>56.5</v>
      </c>
      <c r="D52" s="82">
        <v>56.6</v>
      </c>
      <c r="E52" s="82">
        <v>50</v>
      </c>
      <c r="F52" s="82">
        <v>48.8</v>
      </c>
      <c r="G52" s="82">
        <v>48.8</v>
      </c>
      <c r="H52" s="82">
        <v>43.4</v>
      </c>
      <c r="I52" s="82">
        <v>44.5</v>
      </c>
      <c r="J52" s="82">
        <v>44.3</v>
      </c>
      <c r="K52" s="82">
        <v>44.2</v>
      </c>
      <c r="L52" s="49">
        <v>48.6</v>
      </c>
      <c r="M52" s="49">
        <v>53.3</v>
      </c>
      <c r="N52" s="49">
        <v>52.7</v>
      </c>
      <c r="O52" s="49">
        <v>54.1</v>
      </c>
      <c r="P52" s="49">
        <v>55.2</v>
      </c>
      <c r="Q52" s="49">
        <v>57.6</v>
      </c>
      <c r="R52" s="49">
        <v>57.8</v>
      </c>
      <c r="S52" s="49">
        <v>53</v>
      </c>
      <c r="T52" s="49">
        <v>55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57.8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453</v>
      </c>
      <c r="C59" s="69">
        <f t="shared" ref="C59:AF59" si="8">SUM(C48:C58)</f>
        <v>452.5</v>
      </c>
      <c r="D59" s="69">
        <f t="shared" si="8"/>
        <v>448</v>
      </c>
      <c r="E59" s="69">
        <f t="shared" si="8"/>
        <v>428.2</v>
      </c>
      <c r="F59" s="69">
        <f t="shared" si="8"/>
        <v>414.2</v>
      </c>
      <c r="G59" s="69">
        <f t="shared" si="8"/>
        <v>374.90000000000003</v>
      </c>
      <c r="H59" s="69">
        <f t="shared" si="8"/>
        <v>376.49</v>
      </c>
      <c r="I59" s="69">
        <f t="shared" si="8"/>
        <v>412.7</v>
      </c>
      <c r="J59" s="69">
        <f t="shared" si="8"/>
        <v>435</v>
      </c>
      <c r="K59" s="69">
        <f t="shared" si="8"/>
        <v>567.95000000000005</v>
      </c>
      <c r="L59" s="69">
        <f t="shared" si="8"/>
        <v>484.05</v>
      </c>
      <c r="M59" s="69">
        <f t="shared" si="8"/>
        <v>550.29999999999995</v>
      </c>
      <c r="N59" s="69">
        <f t="shared" si="8"/>
        <v>532.70000000000005</v>
      </c>
      <c r="O59" s="69">
        <f t="shared" si="8"/>
        <v>566.70000000000005</v>
      </c>
      <c r="P59" s="69">
        <f t="shared" si="8"/>
        <v>575</v>
      </c>
      <c r="Q59" s="69">
        <f t="shared" si="8"/>
        <v>548.6</v>
      </c>
      <c r="R59" s="69">
        <f t="shared" si="8"/>
        <v>530.1</v>
      </c>
      <c r="S59" s="69">
        <f t="shared" si="8"/>
        <v>540.5</v>
      </c>
      <c r="T59" s="69">
        <f t="shared" si="8"/>
        <v>542</v>
      </c>
      <c r="U59" s="69">
        <f t="shared" si="8"/>
        <v>496.8</v>
      </c>
      <c r="V59" s="69">
        <f t="shared" si="8"/>
        <v>484</v>
      </c>
      <c r="W59" s="69">
        <f t="shared" si="8"/>
        <v>490</v>
      </c>
      <c r="X59" s="69">
        <f t="shared" si="8"/>
        <v>489.6</v>
      </c>
      <c r="Y59" s="69">
        <f t="shared" si="8"/>
        <v>533.79999999999995</v>
      </c>
      <c r="Z59" s="69">
        <f t="shared" si="8"/>
        <v>576</v>
      </c>
      <c r="AA59" s="69">
        <f t="shared" si="8"/>
        <v>572</v>
      </c>
      <c r="AB59" s="69">
        <f t="shared" si="8"/>
        <v>559.12</v>
      </c>
      <c r="AC59" s="69">
        <f t="shared" si="8"/>
        <v>528</v>
      </c>
      <c r="AD59" s="69">
        <f t="shared" si="8"/>
        <v>436.54</v>
      </c>
      <c r="AE59" s="69">
        <f t="shared" si="8"/>
        <v>390.86</v>
      </c>
      <c r="AF59" s="69">
        <f t="shared" si="8"/>
        <v>404.6</v>
      </c>
      <c r="AG59" s="74">
        <f>SUM(AG48:AG58)</f>
        <v>0</v>
      </c>
      <c r="AH59" s="52">
        <f t="shared" si="2"/>
        <v>576</v>
      </c>
      <c r="AI59" s="53">
        <f t="shared" si="3"/>
        <v>374.90000000000003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1053.6400000000001</v>
      </c>
      <c r="C65" s="91">
        <f t="shared" ref="C65:AF65" si="10">C63+C59+C47+C43+C30+C64</f>
        <v>1042.6399999999999</v>
      </c>
      <c r="D65" s="91">
        <f t="shared" si="10"/>
        <v>1014.6399999999999</v>
      </c>
      <c r="E65" s="91">
        <f t="shared" si="10"/>
        <v>994.84</v>
      </c>
      <c r="F65" s="91">
        <f t="shared" si="10"/>
        <v>977.83999999999992</v>
      </c>
      <c r="G65" s="91">
        <f t="shared" si="10"/>
        <v>1009.28</v>
      </c>
      <c r="H65" s="91">
        <f t="shared" si="10"/>
        <v>976.53</v>
      </c>
      <c r="I65" s="91">
        <f t="shared" si="10"/>
        <v>1022.0399999999998</v>
      </c>
      <c r="J65" s="91">
        <f t="shared" si="10"/>
        <v>1047.04</v>
      </c>
      <c r="K65" s="91">
        <f t="shared" si="10"/>
        <v>1178.69</v>
      </c>
      <c r="L65" s="91">
        <f t="shared" si="10"/>
        <v>1134.5899999999999</v>
      </c>
      <c r="M65" s="91">
        <f t="shared" si="10"/>
        <v>1189.3399999999999</v>
      </c>
      <c r="N65" s="91">
        <f t="shared" si="10"/>
        <v>1168.24</v>
      </c>
      <c r="O65" s="91">
        <f t="shared" si="10"/>
        <v>1160.24</v>
      </c>
      <c r="P65" s="91">
        <f t="shared" si="10"/>
        <v>1180.6399999999999</v>
      </c>
      <c r="Q65" s="91">
        <f t="shared" si="10"/>
        <v>1153.54</v>
      </c>
      <c r="R65" s="91">
        <f t="shared" si="10"/>
        <v>1133.1399999999999</v>
      </c>
      <c r="S65" s="91">
        <f t="shared" si="10"/>
        <v>1143.1399999999999</v>
      </c>
      <c r="T65" s="91">
        <f t="shared" si="10"/>
        <v>1130.44</v>
      </c>
      <c r="U65" s="91">
        <f t="shared" si="10"/>
        <v>1067.8399999999999</v>
      </c>
      <c r="V65" s="91">
        <f t="shared" si="10"/>
        <v>1048.54</v>
      </c>
      <c r="W65" s="91">
        <f t="shared" si="10"/>
        <v>1049.8399999999999</v>
      </c>
      <c r="X65" s="91">
        <f t="shared" si="10"/>
        <v>1081.04</v>
      </c>
      <c r="Y65" s="91">
        <f t="shared" si="10"/>
        <v>1164.6399999999999</v>
      </c>
      <c r="Z65" s="91">
        <f t="shared" si="10"/>
        <v>1300.94</v>
      </c>
      <c r="AA65" s="91">
        <f t="shared" si="10"/>
        <v>1295.94</v>
      </c>
      <c r="AB65" s="91">
        <f t="shared" si="10"/>
        <v>1269.46</v>
      </c>
      <c r="AC65" s="91">
        <f t="shared" si="10"/>
        <v>1253.74</v>
      </c>
      <c r="AD65" s="91">
        <f t="shared" si="10"/>
        <v>1157.28</v>
      </c>
      <c r="AE65" s="91">
        <f t="shared" si="10"/>
        <v>1086.8</v>
      </c>
      <c r="AF65" s="91">
        <f t="shared" si="10"/>
        <v>1080.1400000000001</v>
      </c>
      <c r="AG65" s="74">
        <f>AG63+AG59+AG47+AG43+AG30+AG64</f>
        <v>1355.5100000000002</v>
      </c>
      <c r="AH65" s="52">
        <f t="shared" si="2"/>
        <v>1300.94</v>
      </c>
      <c r="AI65" s="53">
        <f t="shared" si="3"/>
        <v>976.53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50.026000000000003</v>
      </c>
      <c r="C72" s="94">
        <v>49.96</v>
      </c>
      <c r="D72" s="94">
        <v>50.003999999999998</v>
      </c>
      <c r="E72" s="94">
        <v>49.994999999999997</v>
      </c>
      <c r="F72" s="94">
        <v>49.957000000000001</v>
      </c>
      <c r="G72" s="94">
        <v>50.045000000000002</v>
      </c>
      <c r="H72" s="94">
        <v>49.999000000000002</v>
      </c>
      <c r="I72" s="94">
        <v>50.033000000000001</v>
      </c>
      <c r="J72" s="94">
        <v>50.017000000000003</v>
      </c>
      <c r="K72" s="94">
        <v>49.999000000000002</v>
      </c>
      <c r="L72" s="94">
        <v>50.067999999999998</v>
      </c>
      <c r="M72" s="94">
        <v>50.076000000000001</v>
      </c>
      <c r="N72" s="94">
        <v>50.015999999999998</v>
      </c>
      <c r="O72" s="94">
        <v>50</v>
      </c>
      <c r="P72" s="94">
        <v>50.02</v>
      </c>
      <c r="Q72" s="95">
        <v>49.948</v>
      </c>
      <c r="R72" s="94">
        <v>50.030999999999999</v>
      </c>
      <c r="S72" s="94">
        <v>49.838999999999999</v>
      </c>
      <c r="T72" s="94">
        <v>50.084000000000003</v>
      </c>
      <c r="U72" s="94">
        <v>49.978999999999999</v>
      </c>
      <c r="V72" s="94">
        <v>49.988</v>
      </c>
      <c r="W72" s="94">
        <v>49.957999999999998</v>
      </c>
      <c r="X72" s="94">
        <v>50.000999999999998</v>
      </c>
      <c r="Y72" s="94">
        <v>50.030999999999999</v>
      </c>
      <c r="Z72" s="94">
        <v>49.976999999999997</v>
      </c>
      <c r="AA72" s="94">
        <v>50.042999999999999</v>
      </c>
      <c r="AB72" s="94">
        <v>50.064</v>
      </c>
      <c r="AC72" s="94">
        <v>49.962000000000003</v>
      </c>
      <c r="AD72" s="94">
        <v>49.97</v>
      </c>
      <c r="AE72" s="94">
        <v>50.039000000000001</v>
      </c>
      <c r="AF72" s="96">
        <v>50.055999999999997</v>
      </c>
      <c r="AG72" s="97"/>
      <c r="AH72" s="52">
        <f t="shared" si="2"/>
        <v>50.084000000000003</v>
      </c>
      <c r="AI72" s="53">
        <f t="shared" si="3"/>
        <v>49.838999999999999</v>
      </c>
    </row>
    <row r="73" spans="1:35" x14ac:dyDescent="0.25">
      <c r="A73" s="98" t="s">
        <v>80</v>
      </c>
      <c r="B73" s="70">
        <v>129</v>
      </c>
      <c r="C73" s="70">
        <v>130</v>
      </c>
      <c r="D73" s="70">
        <v>129.69999999999999</v>
      </c>
      <c r="E73" s="70">
        <v>130</v>
      </c>
      <c r="F73" s="70">
        <v>128.30000000000001</v>
      </c>
      <c r="G73" s="70">
        <v>128</v>
      </c>
      <c r="H73" s="70">
        <v>127.8</v>
      </c>
      <c r="I73" s="70">
        <v>127.4</v>
      </c>
      <c r="J73" s="70">
        <v>127.1</v>
      </c>
      <c r="K73" s="70">
        <v>125.8</v>
      </c>
      <c r="L73" s="70">
        <v>126.3</v>
      </c>
      <c r="M73" s="70">
        <v>125.4</v>
      </c>
      <c r="N73" s="70">
        <v>124.9</v>
      </c>
      <c r="O73" s="70">
        <v>125.7</v>
      </c>
      <c r="P73" s="70">
        <v>124.1</v>
      </c>
      <c r="Q73" s="99">
        <v>125.4</v>
      </c>
      <c r="R73" s="99" t="s">
        <v>203</v>
      </c>
      <c r="S73" s="99">
        <v>125.6</v>
      </c>
      <c r="T73" s="99">
        <v>126.2</v>
      </c>
      <c r="U73" s="99">
        <v>123.9</v>
      </c>
      <c r="V73" s="99">
        <v>123.7</v>
      </c>
      <c r="W73" s="99">
        <v>124.8</v>
      </c>
      <c r="X73" s="99">
        <v>124.8</v>
      </c>
      <c r="Y73" s="99">
        <v>126.3</v>
      </c>
      <c r="Z73" s="99">
        <v>125.7</v>
      </c>
      <c r="AA73" s="70">
        <v>126</v>
      </c>
      <c r="AB73" s="70">
        <v>127</v>
      </c>
      <c r="AC73" s="70">
        <v>127.3</v>
      </c>
      <c r="AD73" s="70">
        <v>128.1</v>
      </c>
      <c r="AE73" s="70">
        <v>128.1</v>
      </c>
      <c r="AF73" s="100">
        <v>127.8</v>
      </c>
      <c r="AG73" s="101"/>
      <c r="AH73" s="52">
        <f t="shared" si="2"/>
        <v>130</v>
      </c>
      <c r="AI73" s="53">
        <f t="shared" si="3"/>
        <v>123.7</v>
      </c>
    </row>
    <row r="74" spans="1:35" x14ac:dyDescent="0.25">
      <c r="A74" s="98" t="s">
        <v>81</v>
      </c>
      <c r="B74" s="70">
        <v>132</v>
      </c>
      <c r="C74" s="70">
        <v>132</v>
      </c>
      <c r="D74" s="70">
        <v>132.4</v>
      </c>
      <c r="E74" s="70">
        <v>132.5</v>
      </c>
      <c r="F74" s="70">
        <v>130.6</v>
      </c>
      <c r="G74" s="70">
        <v>130.19999999999999</v>
      </c>
      <c r="H74" s="70">
        <v>129.6</v>
      </c>
      <c r="I74" s="70">
        <v>129.1</v>
      </c>
      <c r="J74" s="70">
        <v>129.30000000000001</v>
      </c>
      <c r="K74" s="70">
        <v>128.19999999999999</v>
      </c>
      <c r="L74" s="70">
        <v>128.80000000000001</v>
      </c>
      <c r="M74" s="70">
        <v>128</v>
      </c>
      <c r="N74" s="70">
        <v>127.5</v>
      </c>
      <c r="O74" s="70">
        <v>128</v>
      </c>
      <c r="P74" s="70">
        <v>126</v>
      </c>
      <c r="Q74" s="99">
        <v>127.7</v>
      </c>
      <c r="R74" s="99">
        <v>128.4</v>
      </c>
      <c r="S74" s="99">
        <v>127.8</v>
      </c>
      <c r="T74" s="99">
        <v>128.6</v>
      </c>
      <c r="U74" s="99">
        <v>126.8</v>
      </c>
      <c r="V74" s="99">
        <v>126.8</v>
      </c>
      <c r="W74" s="99">
        <v>127.8</v>
      </c>
      <c r="X74" s="99">
        <v>127.8</v>
      </c>
      <c r="Y74" s="99">
        <v>129.19999999999999</v>
      </c>
      <c r="Z74" s="99">
        <v>128.9</v>
      </c>
      <c r="AA74" s="70">
        <v>129.19999999999999</v>
      </c>
      <c r="AB74" s="70">
        <v>130.19999999999999</v>
      </c>
      <c r="AC74" s="70">
        <v>130.6</v>
      </c>
      <c r="AD74" s="70">
        <v>131.30000000000001</v>
      </c>
      <c r="AE74" s="70">
        <v>131.6</v>
      </c>
      <c r="AF74" s="100">
        <v>131.30000000000001</v>
      </c>
      <c r="AG74" s="101"/>
      <c r="AH74" s="52">
        <f t="shared" si="2"/>
        <v>132.5</v>
      </c>
      <c r="AI74" s="53">
        <f t="shared" si="3"/>
        <v>126</v>
      </c>
    </row>
    <row r="75" spans="1:35" x14ac:dyDescent="0.25">
      <c r="A75" s="98" t="s">
        <v>82</v>
      </c>
      <c r="B75" s="70">
        <v>128</v>
      </c>
      <c r="C75" s="70">
        <v>127</v>
      </c>
      <c r="D75" s="70">
        <v>127.9</v>
      </c>
      <c r="E75" s="70">
        <v>128.80000000000001</v>
      </c>
      <c r="F75" s="70">
        <v>129.4</v>
      </c>
      <c r="G75" s="70">
        <v>130.19999999999999</v>
      </c>
      <c r="H75" s="70">
        <v>129.1</v>
      </c>
      <c r="I75" s="70">
        <v>128.30000000000001</v>
      </c>
      <c r="J75" s="70">
        <v>125.6</v>
      </c>
      <c r="K75" s="70">
        <v>121.1</v>
      </c>
      <c r="L75" s="70">
        <v>124.2</v>
      </c>
      <c r="M75" s="70">
        <v>122.2</v>
      </c>
      <c r="N75" s="70">
        <v>124.8</v>
      </c>
      <c r="O75" s="70">
        <v>124</v>
      </c>
      <c r="P75" s="70">
        <v>124.9</v>
      </c>
      <c r="Q75" s="70">
        <v>126.1</v>
      </c>
      <c r="R75" s="70">
        <v>126.9</v>
      </c>
      <c r="S75" s="70">
        <v>126.1</v>
      </c>
      <c r="T75" s="99">
        <v>125.1</v>
      </c>
      <c r="U75" s="99">
        <v>123.8</v>
      </c>
      <c r="V75" s="99">
        <v>124.1</v>
      </c>
      <c r="W75" s="99">
        <v>125.1</v>
      </c>
      <c r="X75" s="99">
        <v>125.1</v>
      </c>
      <c r="Y75" s="99">
        <v>124.1</v>
      </c>
      <c r="Z75" s="99">
        <v>118</v>
      </c>
      <c r="AA75" s="70">
        <v>119.6</v>
      </c>
      <c r="AB75" s="70">
        <v>119</v>
      </c>
      <c r="AC75" s="70">
        <v>120.1</v>
      </c>
      <c r="AD75" s="70">
        <v>121.1</v>
      </c>
      <c r="AE75" s="70">
        <v>124.1</v>
      </c>
      <c r="AF75" s="100">
        <v>126.1</v>
      </c>
      <c r="AG75" s="101"/>
      <c r="AH75" s="52">
        <f t="shared" si="2"/>
        <v>130.19999999999999</v>
      </c>
      <c r="AI75" s="53">
        <f t="shared" si="3"/>
        <v>118</v>
      </c>
    </row>
    <row r="76" spans="1:35" x14ac:dyDescent="0.25">
      <c r="A76" s="102" t="s">
        <v>83</v>
      </c>
      <c r="B76" s="70">
        <v>131</v>
      </c>
      <c r="C76" s="70">
        <v>130</v>
      </c>
      <c r="D76" s="70">
        <v>130.6</v>
      </c>
      <c r="E76" s="70">
        <v>130.6</v>
      </c>
      <c r="F76" s="70">
        <v>132</v>
      </c>
      <c r="G76" s="70">
        <v>132.1</v>
      </c>
      <c r="H76" s="70">
        <v>130.9</v>
      </c>
      <c r="I76" s="70">
        <v>131.4</v>
      </c>
      <c r="J76" s="70">
        <v>127.9</v>
      </c>
      <c r="K76" s="70">
        <v>122.6</v>
      </c>
      <c r="L76" s="70">
        <v>124.6</v>
      </c>
      <c r="M76" s="70">
        <v>131.1</v>
      </c>
      <c r="N76" s="70">
        <v>124.6</v>
      </c>
      <c r="O76" s="70">
        <v>122.2</v>
      </c>
      <c r="P76" s="70">
        <v>123.9</v>
      </c>
      <c r="Q76" s="70">
        <v>126.7</v>
      </c>
      <c r="R76" s="70">
        <v>128.5</v>
      </c>
      <c r="S76" s="70">
        <v>125.9</v>
      </c>
      <c r="T76" s="99">
        <v>124.9</v>
      </c>
      <c r="U76" s="99">
        <v>123.9</v>
      </c>
      <c r="V76" s="99">
        <v>123.9</v>
      </c>
      <c r="W76" s="99">
        <v>125.5</v>
      </c>
      <c r="X76" s="99">
        <v>125.5</v>
      </c>
      <c r="Y76" s="99">
        <v>123.8</v>
      </c>
      <c r="Z76" s="99">
        <v>120.7</v>
      </c>
      <c r="AA76" s="70">
        <v>120.2</v>
      </c>
      <c r="AB76" s="70">
        <v>118.8</v>
      </c>
      <c r="AC76" s="70">
        <v>121</v>
      </c>
      <c r="AD76" s="70">
        <v>123.5</v>
      </c>
      <c r="AE76" s="70">
        <v>126.8</v>
      </c>
      <c r="AF76" s="100">
        <v>128.9</v>
      </c>
      <c r="AG76" s="101"/>
      <c r="AH76" s="52">
        <f t="shared" si="2"/>
        <v>132.1</v>
      </c>
      <c r="AI76" s="53">
        <f t="shared" si="3"/>
        <v>118.8</v>
      </c>
    </row>
    <row r="77" spans="1:35" x14ac:dyDescent="0.25">
      <c r="A77" s="102" t="s">
        <v>84</v>
      </c>
      <c r="B77" s="103">
        <v>134</v>
      </c>
      <c r="C77" s="103">
        <v>135</v>
      </c>
      <c r="D77" s="103">
        <v>133</v>
      </c>
      <c r="E77" s="103">
        <v>134.6</v>
      </c>
      <c r="F77" s="103">
        <v>133</v>
      </c>
      <c r="G77" s="103">
        <v>134</v>
      </c>
      <c r="H77" s="103">
        <v>131</v>
      </c>
      <c r="I77" s="103">
        <v>134.1</v>
      </c>
      <c r="J77" s="103">
        <v>131.9</v>
      </c>
      <c r="K77" s="103">
        <v>130.19999999999999</v>
      </c>
      <c r="L77" s="103">
        <v>128.1</v>
      </c>
      <c r="M77" s="103">
        <v>133.1</v>
      </c>
      <c r="N77" s="103">
        <v>134.19999999999999</v>
      </c>
      <c r="O77" s="103">
        <v>133.19999999999999</v>
      </c>
      <c r="P77" s="103">
        <v>129.69999999999999</v>
      </c>
      <c r="Q77" s="103">
        <v>132.1</v>
      </c>
      <c r="R77" s="103">
        <v>132.1</v>
      </c>
      <c r="S77" s="103">
        <v>131.6</v>
      </c>
      <c r="T77" s="99">
        <v>134.5</v>
      </c>
      <c r="U77" s="99">
        <v>133.1</v>
      </c>
      <c r="V77" s="99">
        <v>132.1</v>
      </c>
      <c r="W77" s="99">
        <v>135.19999999999999</v>
      </c>
      <c r="X77" s="99">
        <v>135.19999999999999</v>
      </c>
      <c r="Y77" s="99">
        <v>134.4</v>
      </c>
      <c r="Z77" s="99">
        <v>130.69999999999999</v>
      </c>
      <c r="AA77" s="103">
        <v>132.80000000000001</v>
      </c>
      <c r="AB77" s="103">
        <v>135.5</v>
      </c>
      <c r="AC77" s="103">
        <v>133.5</v>
      </c>
      <c r="AD77" s="103">
        <v>136.5</v>
      </c>
      <c r="AE77" s="103">
        <v>133.30000000000001</v>
      </c>
      <c r="AF77" s="104">
        <v>131.5</v>
      </c>
      <c r="AG77" s="105"/>
      <c r="AH77" s="52">
        <f t="shared" si="2"/>
        <v>136.5</v>
      </c>
      <c r="AI77" s="53">
        <f t="shared" si="3"/>
        <v>128.1</v>
      </c>
    </row>
    <row r="78" spans="1:35" x14ac:dyDescent="0.25">
      <c r="A78" s="98" t="s">
        <v>85</v>
      </c>
      <c r="B78" s="70">
        <v>136</v>
      </c>
      <c r="C78" s="70">
        <v>136</v>
      </c>
      <c r="D78" s="70">
        <v>137.1</v>
      </c>
      <c r="E78" s="70">
        <v>138.1</v>
      </c>
      <c r="F78" s="70">
        <v>137.30000000000001</v>
      </c>
      <c r="G78" s="70">
        <v>131.9</v>
      </c>
      <c r="H78" s="70">
        <v>130.6</v>
      </c>
      <c r="I78" s="103">
        <v>132.6</v>
      </c>
      <c r="J78" s="70">
        <v>130.80000000000001</v>
      </c>
      <c r="K78" s="70">
        <v>130.4</v>
      </c>
      <c r="L78" s="70">
        <v>130</v>
      </c>
      <c r="M78" s="70">
        <v>124.1</v>
      </c>
      <c r="N78" s="70">
        <v>128.19999999999999</v>
      </c>
      <c r="O78" s="70">
        <v>128.4</v>
      </c>
      <c r="P78" s="70">
        <v>129.80000000000001</v>
      </c>
      <c r="Q78" s="70">
        <v>132</v>
      </c>
      <c r="R78" s="70">
        <v>136.6</v>
      </c>
      <c r="S78" s="70">
        <v>131.9</v>
      </c>
      <c r="T78" s="99">
        <v>130.6</v>
      </c>
      <c r="U78" s="99">
        <v>131.30000000000001</v>
      </c>
      <c r="V78" s="99">
        <v>131.6</v>
      </c>
      <c r="W78" s="99">
        <v>131.80000000000001</v>
      </c>
      <c r="X78" s="99">
        <v>131.80000000000001</v>
      </c>
      <c r="Y78" s="99">
        <v>133.5</v>
      </c>
      <c r="Z78" s="99">
        <v>126</v>
      </c>
      <c r="AA78" s="70">
        <v>126.8</v>
      </c>
      <c r="AB78" s="70">
        <v>126.5</v>
      </c>
      <c r="AC78" s="70">
        <v>126.7</v>
      </c>
      <c r="AD78" s="70">
        <v>127.9</v>
      </c>
      <c r="AE78" s="70">
        <v>127.2</v>
      </c>
      <c r="AF78" s="100">
        <v>128.19999999999999</v>
      </c>
      <c r="AG78" s="101"/>
      <c r="AH78" s="52">
        <f>MAX(B78:AF78)</f>
        <v>138.1</v>
      </c>
      <c r="AI78" s="53">
        <f>MIN(B78:AF78)</f>
        <v>124.1</v>
      </c>
    </row>
    <row r="79" spans="1:35" ht="15.75" thickBot="1" x14ac:dyDescent="0.3">
      <c r="A79" s="98" t="s">
        <v>86</v>
      </c>
      <c r="B79" s="106">
        <v>67.3</v>
      </c>
      <c r="C79" s="106">
        <v>67.599999999999994</v>
      </c>
      <c r="D79" s="106">
        <v>67.599999999999994</v>
      </c>
      <c r="E79" s="106">
        <v>67.400000000000006</v>
      </c>
      <c r="F79" s="106">
        <v>66.400000000000006</v>
      </c>
      <c r="G79" s="106">
        <v>66.3</v>
      </c>
      <c r="H79" s="106">
        <v>134.1</v>
      </c>
      <c r="I79" s="106">
        <v>65.599999999999994</v>
      </c>
      <c r="J79" s="106">
        <v>65.900000000000006</v>
      </c>
      <c r="K79" s="106">
        <v>65.400000000000006</v>
      </c>
      <c r="L79" s="106">
        <v>65.400000000000006</v>
      </c>
      <c r="M79" s="106">
        <v>65.5</v>
      </c>
      <c r="N79" s="106">
        <v>65</v>
      </c>
      <c r="O79" s="106"/>
      <c r="P79" s="106"/>
      <c r="Q79" s="106"/>
      <c r="R79" s="106" t="s">
        <v>204</v>
      </c>
      <c r="S79" s="106" t="s">
        <v>204</v>
      </c>
      <c r="T79" s="106" t="s">
        <v>204</v>
      </c>
      <c r="U79" s="106" t="s">
        <v>204</v>
      </c>
      <c r="V79" s="106">
        <v>64.599999999999994</v>
      </c>
      <c r="W79" s="106">
        <v>65.2</v>
      </c>
      <c r="X79" s="106">
        <v>65.2</v>
      </c>
      <c r="Y79" s="106">
        <v>66.099999999999994</v>
      </c>
      <c r="Z79" s="106">
        <v>66</v>
      </c>
      <c r="AA79" s="106">
        <v>66.099999999999994</v>
      </c>
      <c r="AB79" s="106">
        <v>66.599999999999994</v>
      </c>
      <c r="AC79" s="106">
        <v>66.8</v>
      </c>
      <c r="AD79" s="106">
        <v>66.900000000000006</v>
      </c>
      <c r="AE79" s="106">
        <v>67.099999999999994</v>
      </c>
      <c r="AF79" s="107">
        <v>66.900000000000006</v>
      </c>
      <c r="AG79" s="108"/>
      <c r="AH79" s="52">
        <f>MAX(B79:AF79)</f>
        <v>134.1</v>
      </c>
      <c r="AI79" s="53">
        <f>MIN(B79:AF79)</f>
        <v>64.599999999999994</v>
      </c>
    </row>
    <row r="80" spans="1:35" x14ac:dyDescent="0.25">
      <c r="A80" s="109" t="s">
        <v>87</v>
      </c>
      <c r="B80" s="110">
        <f t="shared" ref="B80:AF80" si="19">SUMIF(B48:B57,"&gt;0")</f>
        <v>453</v>
      </c>
      <c r="C80" s="110">
        <f t="shared" si="19"/>
        <v>452.5</v>
      </c>
      <c r="D80" s="110">
        <f t="shared" si="19"/>
        <v>448</v>
      </c>
      <c r="E80" s="110">
        <f t="shared" si="19"/>
        <v>428.2</v>
      </c>
      <c r="F80" s="110">
        <f t="shared" si="19"/>
        <v>414.2</v>
      </c>
      <c r="G80" s="110">
        <f t="shared" si="19"/>
        <v>374.90000000000003</v>
      </c>
      <c r="H80" s="110">
        <f t="shared" si="19"/>
        <v>376.49</v>
      </c>
      <c r="I80" s="110">
        <f t="shared" si="19"/>
        <v>412.7</v>
      </c>
      <c r="J80" s="110">
        <f t="shared" si="19"/>
        <v>435</v>
      </c>
      <c r="K80" s="110">
        <f t="shared" si="19"/>
        <v>567.95000000000005</v>
      </c>
      <c r="L80" s="110">
        <f t="shared" si="19"/>
        <v>484.05</v>
      </c>
      <c r="M80" s="110">
        <f t="shared" si="19"/>
        <v>550.29999999999995</v>
      </c>
      <c r="N80" s="110">
        <f t="shared" si="19"/>
        <v>532.70000000000005</v>
      </c>
      <c r="O80" s="110">
        <f t="shared" si="19"/>
        <v>566.70000000000005</v>
      </c>
      <c r="P80" s="110">
        <f t="shared" si="19"/>
        <v>575</v>
      </c>
      <c r="Q80" s="110">
        <f t="shared" si="19"/>
        <v>548.6</v>
      </c>
      <c r="R80" s="110">
        <f t="shared" si="19"/>
        <v>530.1</v>
      </c>
      <c r="S80" s="110">
        <f t="shared" si="19"/>
        <v>540.5</v>
      </c>
      <c r="T80" s="110">
        <f t="shared" si="19"/>
        <v>542</v>
      </c>
      <c r="U80" s="110">
        <f t="shared" si="19"/>
        <v>496.8</v>
      </c>
      <c r="V80" s="110">
        <f t="shared" si="19"/>
        <v>484</v>
      </c>
      <c r="W80" s="110">
        <f t="shared" si="19"/>
        <v>490</v>
      </c>
      <c r="X80" s="110">
        <f t="shared" si="19"/>
        <v>489.6</v>
      </c>
      <c r="Y80" s="110">
        <f t="shared" si="19"/>
        <v>533.79999999999995</v>
      </c>
      <c r="Z80" s="110">
        <f t="shared" si="19"/>
        <v>576</v>
      </c>
      <c r="AA80" s="110">
        <f t="shared" si="19"/>
        <v>572</v>
      </c>
      <c r="AB80" s="110">
        <f t="shared" si="19"/>
        <v>559.12</v>
      </c>
      <c r="AC80" s="110">
        <f t="shared" si="19"/>
        <v>528</v>
      </c>
      <c r="AD80" s="110">
        <f t="shared" si="19"/>
        <v>436.54</v>
      </c>
      <c r="AE80" s="110">
        <f t="shared" si="19"/>
        <v>390.86</v>
      </c>
      <c r="AF80" s="110">
        <f t="shared" si="19"/>
        <v>404.6</v>
      </c>
      <c r="AG80" s="111"/>
      <c r="AH80" s="52">
        <f>MAX(B80:AF80)</f>
        <v>576</v>
      </c>
      <c r="AI80" s="53">
        <f>MIN(B80:AF80)</f>
        <v>374.90000000000003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140.11999999999998</v>
      </c>
      <c r="C82" s="115">
        <f t="shared" ref="C82:AF82" si="20">C11+C13+C17+C34+C36+C38+C40+C94+C108+C110+C121+C127+C130+C139+C143+C144+C147+C154+C159+C162+C163+C164+C172+C177+C83+C84+C85+C86+C99</f>
        <v>139.72</v>
      </c>
      <c r="D82" s="115">
        <f t="shared" si="20"/>
        <v>134.61999999999998</v>
      </c>
      <c r="E82" s="115">
        <f t="shared" si="20"/>
        <v>140.41999999999999</v>
      </c>
      <c r="F82" s="115">
        <f t="shared" si="20"/>
        <v>151.32000000000002</v>
      </c>
      <c r="G82" s="115">
        <f t="shared" si="20"/>
        <v>172.26</v>
      </c>
      <c r="H82" s="115">
        <f t="shared" si="20"/>
        <v>190.62</v>
      </c>
      <c r="I82" s="115">
        <f t="shared" si="20"/>
        <v>204.92</v>
      </c>
      <c r="J82" s="115">
        <f t="shared" si="20"/>
        <v>222.62000000000003</v>
      </c>
      <c r="K82" s="115">
        <f t="shared" si="20"/>
        <v>241.01999999999995</v>
      </c>
      <c r="L82" s="115">
        <f t="shared" si="20"/>
        <v>226.21999999999997</v>
      </c>
      <c r="M82" s="115">
        <f t="shared" si="20"/>
        <v>242.42</v>
      </c>
      <c r="N82" s="115">
        <f t="shared" si="20"/>
        <v>231.62</v>
      </c>
      <c r="O82" s="115">
        <f t="shared" si="20"/>
        <v>229.02000000000004</v>
      </c>
      <c r="P82" s="115">
        <f t="shared" si="20"/>
        <v>216.92</v>
      </c>
      <c r="Q82" s="115">
        <f t="shared" si="20"/>
        <v>219.71999999999997</v>
      </c>
      <c r="R82" s="115">
        <f t="shared" si="20"/>
        <v>221.22</v>
      </c>
      <c r="S82" s="115">
        <f t="shared" si="20"/>
        <v>213.02</v>
      </c>
      <c r="T82" s="115">
        <f t="shared" si="20"/>
        <v>226.51999999999998</v>
      </c>
      <c r="U82" s="115">
        <f t="shared" si="20"/>
        <v>206.92000000000002</v>
      </c>
      <c r="V82" s="115">
        <f t="shared" si="20"/>
        <v>211.32</v>
      </c>
      <c r="W82" s="115">
        <f t="shared" si="20"/>
        <v>220.52</v>
      </c>
      <c r="X82" s="115">
        <f t="shared" si="20"/>
        <v>238.92</v>
      </c>
      <c r="Y82" s="115">
        <f t="shared" si="20"/>
        <v>264.21999999999997</v>
      </c>
      <c r="Z82" s="115">
        <f t="shared" si="20"/>
        <v>307.71999999999997</v>
      </c>
      <c r="AA82" s="115">
        <f t="shared" si="20"/>
        <v>281.91999999999996</v>
      </c>
      <c r="AB82" s="115">
        <f t="shared" si="20"/>
        <v>264.51999999999992</v>
      </c>
      <c r="AC82" s="115">
        <f t="shared" si="20"/>
        <v>244.22</v>
      </c>
      <c r="AD82" s="115">
        <f t="shared" si="20"/>
        <v>218.52</v>
      </c>
      <c r="AE82" s="115">
        <f t="shared" si="20"/>
        <v>158.01999999999998</v>
      </c>
      <c r="AF82" s="115">
        <f t="shared" si="20"/>
        <v>148.82</v>
      </c>
      <c r="AG82" s="116"/>
      <c r="AH82" s="52">
        <f>MAX(B82:AF82)</f>
        <v>307.71999999999997</v>
      </c>
      <c r="AI82" s="53">
        <f>MIN(B82:AF82)</f>
        <v>134.61999999999998</v>
      </c>
    </row>
    <row r="83" spans="1:37" x14ac:dyDescent="0.25">
      <c r="A83" s="117" t="s">
        <v>89</v>
      </c>
      <c r="B83" s="118">
        <v>8</v>
      </c>
      <c r="C83" s="118">
        <v>3.4</v>
      </c>
      <c r="D83" s="118">
        <v>6.9</v>
      </c>
      <c r="E83" s="118">
        <v>7.4</v>
      </c>
      <c r="F83" s="118">
        <v>24.3</v>
      </c>
      <c r="G83" s="118">
        <v>48.8</v>
      </c>
      <c r="H83" s="118">
        <v>43.1</v>
      </c>
      <c r="I83" s="118">
        <v>42.1</v>
      </c>
      <c r="J83" s="118">
        <v>44.4</v>
      </c>
      <c r="K83" s="118">
        <v>39.1</v>
      </c>
      <c r="L83" s="118">
        <v>37</v>
      </c>
      <c r="M83" s="118">
        <v>34.4</v>
      </c>
      <c r="N83" s="118">
        <v>35.6</v>
      </c>
      <c r="O83" s="118">
        <v>31.8</v>
      </c>
      <c r="P83" s="118">
        <v>21.3</v>
      </c>
      <c r="Q83" s="118">
        <v>25.2</v>
      </c>
      <c r="R83" s="118">
        <v>23.9</v>
      </c>
      <c r="S83" s="118">
        <v>23.3</v>
      </c>
      <c r="T83" s="118">
        <v>20.6</v>
      </c>
      <c r="U83" s="118">
        <v>17</v>
      </c>
      <c r="V83" s="118">
        <v>25.7</v>
      </c>
      <c r="W83" s="118">
        <v>28.3</v>
      </c>
      <c r="X83" s="118">
        <v>39</v>
      </c>
      <c r="Y83" s="118">
        <v>37</v>
      </c>
      <c r="Z83" s="118">
        <v>18</v>
      </c>
      <c r="AA83" s="50">
        <v>18</v>
      </c>
      <c r="AB83" s="50">
        <v>18.899999999999999</v>
      </c>
      <c r="AC83" s="50">
        <v>17.399999999999999</v>
      </c>
      <c r="AD83" s="50">
        <v>26</v>
      </c>
      <c r="AE83" s="50">
        <v>23.5</v>
      </c>
      <c r="AF83" s="119">
        <v>12.3</v>
      </c>
      <c r="AG83" s="120">
        <v>75</v>
      </c>
      <c r="AH83" s="52">
        <f>IF(ABS(MAX(B83:AF83))&gt;ABS(MIN(B83:AF83)),MAX(B83:AF83),MIN(B83:AF83))</f>
        <v>48.8</v>
      </c>
      <c r="AI83" s="121">
        <f>INDEX($B$9:$AF$9,1,MATCH(AH83,B83:AF83,0))</f>
        <v>0.22916666666666666</v>
      </c>
    </row>
    <row r="84" spans="1:37" x14ac:dyDescent="0.25">
      <c r="A84" s="122" t="s">
        <v>90</v>
      </c>
      <c r="B84" s="83">
        <v>-12</v>
      </c>
      <c r="C84" s="83">
        <v>-10</v>
      </c>
      <c r="D84" s="83">
        <v>-10</v>
      </c>
      <c r="E84" s="83">
        <v>-11</v>
      </c>
      <c r="F84" s="83">
        <v>-12</v>
      </c>
      <c r="G84" s="83">
        <f>-(11.9+12.8)</f>
        <v>-24.700000000000003</v>
      </c>
      <c r="H84" s="83">
        <f>-(6.9+8.3)</f>
        <v>-15.200000000000001</v>
      </c>
      <c r="I84" s="83">
        <f>-(3.1+3.5)</f>
        <v>-6.6</v>
      </c>
      <c r="J84" s="83">
        <f>-(5.2+6.5)</f>
        <v>-11.7</v>
      </c>
      <c r="K84" s="83">
        <v>-11</v>
      </c>
      <c r="L84" s="83">
        <v>-20.3</v>
      </c>
      <c r="M84" s="83">
        <v>-11.2</v>
      </c>
      <c r="N84" s="83">
        <v>-10.9</v>
      </c>
      <c r="O84" s="83">
        <v>7.3</v>
      </c>
      <c r="P84" s="83">
        <v>13.5</v>
      </c>
      <c r="Q84" s="83">
        <v>8</v>
      </c>
      <c r="R84" s="83">
        <v>12.6</v>
      </c>
      <c r="S84" s="83">
        <v>4</v>
      </c>
      <c r="T84" s="83">
        <v>5</v>
      </c>
      <c r="U84" s="83">
        <v>3.4</v>
      </c>
      <c r="V84" s="83">
        <v>14</v>
      </c>
      <c r="W84" s="83">
        <v>15</v>
      </c>
      <c r="X84" s="83">
        <v>12</v>
      </c>
      <c r="Y84" s="83">
        <v>17</v>
      </c>
      <c r="Z84" s="83">
        <v>17</v>
      </c>
      <c r="AA84" s="70">
        <v>8</v>
      </c>
      <c r="AB84" s="70">
        <v>5.5</v>
      </c>
      <c r="AC84" s="70">
        <v>-2.2000000000000002</v>
      </c>
      <c r="AD84" s="70">
        <v>-25</v>
      </c>
      <c r="AE84" s="70">
        <v>-35</v>
      </c>
      <c r="AF84" s="123">
        <v>-32</v>
      </c>
      <c r="AG84" s="120">
        <v>240</v>
      </c>
      <c r="AH84" s="52">
        <f>IF(ABS(MAX(B84:AF84))&gt;ABS(MIN(B84:AF84)),MAX(B84:AF84),MIN(B84:AF84))</f>
        <v>-35</v>
      </c>
      <c r="AI84" s="121">
        <f>INDEX($B$9:$AF$9,1,MATCH(AH84,B84:AF84,0))</f>
        <v>0.95833333333333304</v>
      </c>
    </row>
    <row r="85" spans="1:37" x14ac:dyDescent="0.25">
      <c r="A85" s="122" t="s">
        <v>91</v>
      </c>
      <c r="B85" s="83">
        <v>17</v>
      </c>
      <c r="C85" s="83">
        <v>18</v>
      </c>
      <c r="D85" s="83">
        <v>13.6</v>
      </c>
      <c r="E85" s="83">
        <v>14.1</v>
      </c>
      <c r="F85" s="83">
        <v>4.2</v>
      </c>
      <c r="G85" s="83">
        <v>1.9</v>
      </c>
      <c r="H85" s="83">
        <v>5</v>
      </c>
      <c r="I85" s="83">
        <v>7.9</v>
      </c>
      <c r="J85" s="83">
        <v>6.4</v>
      </c>
      <c r="K85" s="83">
        <v>19.600000000000001</v>
      </c>
      <c r="L85" s="83">
        <v>25.4</v>
      </c>
      <c r="M85" s="83">
        <v>19.899999999999999</v>
      </c>
      <c r="N85" s="83">
        <v>15</v>
      </c>
      <c r="O85" s="83">
        <v>8.3000000000000007</v>
      </c>
      <c r="P85" s="83">
        <v>7.7</v>
      </c>
      <c r="Q85" s="83">
        <v>8.4</v>
      </c>
      <c r="R85" s="83">
        <v>9.5</v>
      </c>
      <c r="S85" s="83">
        <v>12.5</v>
      </c>
      <c r="T85" s="83">
        <v>12</v>
      </c>
      <c r="U85" s="83">
        <v>10.7</v>
      </c>
      <c r="V85" s="83">
        <v>13</v>
      </c>
      <c r="W85" s="83">
        <v>14.3</v>
      </c>
      <c r="X85" s="83">
        <v>15</v>
      </c>
      <c r="Y85" s="83">
        <v>23</v>
      </c>
      <c r="Z85" s="83">
        <v>43</v>
      </c>
      <c r="AA85" s="70">
        <v>33</v>
      </c>
      <c r="AB85" s="70">
        <v>32.799999999999997</v>
      </c>
      <c r="AC85" s="70">
        <v>32.799999999999997</v>
      </c>
      <c r="AD85" s="70">
        <v>23.2</v>
      </c>
      <c r="AE85" s="70">
        <v>20.3</v>
      </c>
      <c r="AF85" s="123">
        <v>24.5</v>
      </c>
      <c r="AG85" s="120">
        <v>60</v>
      </c>
      <c r="AH85" s="52">
        <f>IF(ABS(MAX(B85:AF85))&gt;ABS(MIN(B85:AF85)),MAX(B85:AF85),MIN(B85:AF85))</f>
        <v>43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-30</v>
      </c>
      <c r="C86" s="85">
        <v>-35</v>
      </c>
      <c r="D86" s="85">
        <v>-36.9</v>
      </c>
      <c r="E86" s="85">
        <v>-31</v>
      </c>
      <c r="F86" s="85">
        <v>-25.6</v>
      </c>
      <c r="G86" s="85">
        <v>-13.1</v>
      </c>
      <c r="H86" s="85">
        <v>-4.4000000000000004</v>
      </c>
      <c r="I86" s="85">
        <v>2.4</v>
      </c>
      <c r="J86" s="85">
        <v>22.5</v>
      </c>
      <c r="K86" s="85">
        <v>32.299999999999997</v>
      </c>
      <c r="L86" s="85">
        <v>35</v>
      </c>
      <c r="M86" s="85">
        <v>40.700000000000003</v>
      </c>
      <c r="N86" s="85">
        <v>31.9</v>
      </c>
      <c r="O86" s="85">
        <v>23.9</v>
      </c>
      <c r="P86" s="85">
        <v>17</v>
      </c>
      <c r="Q86" s="85">
        <v>21.2</v>
      </c>
      <c r="R86" s="85">
        <v>20</v>
      </c>
      <c r="S86" s="85">
        <v>16</v>
      </c>
      <c r="T86" s="85">
        <v>31</v>
      </c>
      <c r="U86" s="85">
        <v>18.3</v>
      </c>
      <c r="V86" s="85">
        <v>20</v>
      </c>
      <c r="W86" s="85">
        <v>26.7</v>
      </c>
      <c r="X86" s="85">
        <v>33</v>
      </c>
      <c r="Y86" s="85">
        <v>47</v>
      </c>
      <c r="Z86" s="85">
        <v>69</v>
      </c>
      <c r="AA86" s="125">
        <v>53</v>
      </c>
      <c r="AB86" s="125">
        <v>39.200000000000003</v>
      </c>
      <c r="AC86" s="125">
        <v>18.3</v>
      </c>
      <c r="AD86" s="125">
        <v>13.4</v>
      </c>
      <c r="AE86" s="125">
        <v>-28</v>
      </c>
      <c r="AF86" s="126">
        <v>-34.9</v>
      </c>
      <c r="AG86" s="127">
        <v>120</v>
      </c>
      <c r="AH86" s="52">
        <f>IF(ABS(MAX(B86:AF86))&gt;ABS(MIN(B86:AF86)),MAX(B86:AF86),MIN(B86:AF86))</f>
        <v>69</v>
      </c>
      <c r="AI86" s="121">
        <f>INDEX($B$9:$AF$9,1,MATCH(AH86,B86:AF86,0))</f>
        <v>0.8125</v>
      </c>
    </row>
    <row r="87" spans="1:37" ht="15.75" thickBot="1" x14ac:dyDescent="0.3">
      <c r="A87" s="124" t="s">
        <v>93</v>
      </c>
      <c r="B87" s="85">
        <v>48</v>
      </c>
      <c r="C87" s="85">
        <v>47</v>
      </c>
      <c r="D87" s="85">
        <v>48</v>
      </c>
      <c r="E87" s="85">
        <v>44.2</v>
      </c>
      <c r="F87" s="85">
        <v>43</v>
      </c>
      <c r="G87" s="85">
        <v>19.899999999999999</v>
      </c>
      <c r="H87" s="85">
        <v>28.9</v>
      </c>
      <c r="I87" s="85">
        <v>36.799999999999997</v>
      </c>
      <c r="J87" s="85">
        <v>33.700000000000003</v>
      </c>
      <c r="K87" s="85">
        <v>61</v>
      </c>
      <c r="L87" s="85">
        <v>68</v>
      </c>
      <c r="M87" s="85">
        <v>96</v>
      </c>
      <c r="N87" s="85">
        <v>98</v>
      </c>
      <c r="O87" s="85">
        <v>65.400000000000006</v>
      </c>
      <c r="P87" s="85">
        <v>81.8</v>
      </c>
      <c r="Q87" s="85">
        <v>72</v>
      </c>
      <c r="R87" s="85">
        <v>72</v>
      </c>
      <c r="S87" s="85">
        <v>68</v>
      </c>
      <c r="T87" s="85">
        <v>69</v>
      </c>
      <c r="U87" s="85">
        <v>92</v>
      </c>
      <c r="V87" s="85">
        <v>94</v>
      </c>
      <c r="W87" s="85">
        <v>88</v>
      </c>
      <c r="X87" s="85">
        <v>81</v>
      </c>
      <c r="Y87" s="85">
        <v>75</v>
      </c>
      <c r="Z87" s="85">
        <v>77</v>
      </c>
      <c r="AA87" s="125">
        <v>72</v>
      </c>
      <c r="AB87" s="125">
        <v>71.400000000000006</v>
      </c>
      <c r="AC87" s="125">
        <v>66.900000000000006</v>
      </c>
      <c r="AD87" s="125">
        <v>44.8</v>
      </c>
      <c r="AE87" s="125">
        <v>34.700000000000003</v>
      </c>
      <c r="AF87" s="126">
        <v>48.4</v>
      </c>
      <c r="AG87" s="127"/>
      <c r="AH87" s="52">
        <f>IF(ABS(MAX(B87:AF87))&gt;ABS(MIN(B87:AF87)),MAX(B87:AF87),MIN(B87:AF87))</f>
        <v>98</v>
      </c>
      <c r="AI87" s="121">
        <f>INDEX($B$9:$AF$9,1,MATCH(AH87,B87:AF87,0))</f>
        <v>0.41666666666666702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1189.3399999999999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10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10)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10)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1053.6400000000001</v>
      </c>
      <c r="U193" s="173">
        <f t="shared" si="37"/>
        <v>1042.6399999999999</v>
      </c>
      <c r="V193" s="173">
        <f t="shared" si="37"/>
        <v>1014.6399999999999</v>
      </c>
      <c r="W193" s="173">
        <f t="shared" si="37"/>
        <v>994.84</v>
      </c>
      <c r="X193" s="173">
        <f t="shared" si="37"/>
        <v>977.83999999999992</v>
      </c>
      <c r="Y193" s="173">
        <f t="shared" si="37"/>
        <v>1009.28</v>
      </c>
      <c r="Z193" s="173">
        <f t="shared" si="37"/>
        <v>976.53</v>
      </c>
      <c r="AA193" s="173">
        <f t="shared" si="37"/>
        <v>1022.0399999999998</v>
      </c>
      <c r="AB193" s="173">
        <f t="shared" si="37"/>
        <v>1047.04</v>
      </c>
      <c r="AC193" s="173">
        <f t="shared" si="37"/>
        <v>1178.69</v>
      </c>
      <c r="AD193" s="173">
        <f t="shared" si="37"/>
        <v>1134.5899999999999</v>
      </c>
      <c r="AE193" s="173">
        <f t="shared" si="37"/>
        <v>1189.3399999999999</v>
      </c>
      <c r="AF193" s="173">
        <f t="shared" si="37"/>
        <v>1168.24</v>
      </c>
      <c r="AG193" s="173">
        <f t="shared" si="37"/>
        <v>1160.24</v>
      </c>
      <c r="AH193" s="173">
        <f t="shared" si="37"/>
        <v>1180.6399999999999</v>
      </c>
      <c r="AI193" s="173">
        <f t="shared" si="37"/>
        <v>1153.54</v>
      </c>
      <c r="AJ193" s="173">
        <f t="shared" si="37"/>
        <v>1133.1399999999999</v>
      </c>
      <c r="AK193" s="173">
        <f t="shared" si="37"/>
        <v>1143.1399999999999</v>
      </c>
      <c r="AL193" s="173">
        <f t="shared" si="37"/>
        <v>1130.44</v>
      </c>
      <c r="AM193" s="173">
        <f t="shared" si="37"/>
        <v>1067.8399999999999</v>
      </c>
      <c r="AN193" s="173">
        <f t="shared" si="37"/>
        <v>1048.54</v>
      </c>
      <c r="AO193" s="173">
        <f t="shared" si="37"/>
        <v>1049.8399999999999</v>
      </c>
      <c r="AP193" s="173">
        <f t="shared" si="37"/>
        <v>1081.04</v>
      </c>
      <c r="AQ193" s="173">
        <f t="shared" si="37"/>
        <v>1164.6399999999999</v>
      </c>
      <c r="AR193" s="173">
        <f t="shared" si="37"/>
        <v>1300.94</v>
      </c>
      <c r="AS193" s="173">
        <f t="shared" si="37"/>
        <v>1295.94</v>
      </c>
      <c r="AT193" s="173">
        <f t="shared" si="37"/>
        <v>1269.46</v>
      </c>
      <c r="AU193" s="173">
        <f t="shared" si="37"/>
        <v>1253.74</v>
      </c>
      <c r="AV193" s="173">
        <f t="shared" si="37"/>
        <v>1157.28</v>
      </c>
      <c r="AW193" s="173">
        <f t="shared" si="37"/>
        <v>1086.8</v>
      </c>
      <c r="AX193" s="173">
        <f t="shared" si="37"/>
        <v>1080.1400000000001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228" priority="177">
      <formula>S$9&gt;=20/24</formula>
    </cfRule>
    <cfRule type="expression" dxfId="4227" priority="178">
      <formula>AND(S$9&gt;=14/24,S$9&lt;20/24)</formula>
    </cfRule>
    <cfRule type="expression" dxfId="4226" priority="179">
      <formula>AND(S$9&gt;=8/24,S$9&lt;14/24)</formula>
    </cfRule>
    <cfRule type="expression" dxfId="4225" priority="180">
      <formula>S$9&lt;8/24</formula>
    </cfRule>
  </conditionalFormatting>
  <conditionalFormatting sqref="B8:AF10 AA70:AF70 B70:Q70 L32:Z33 L31:Q31 B47:AF47 B71:AF71 B72:Q72 C173:AF179 M36 N35:Q36 L29:Q29 M37:Q39 L34:Q34 L51:Q58 L49:T50 V35:W35 X34:Z35 AA72:AF79 R11:T11 B59:AF69 B48:K58 S34:Z34 R54:Z58 U11:Z12 L44:AF46 B73:Z79 AA56:AA58 AA48:AF51">
    <cfRule type="expression" dxfId="4224" priority="173">
      <formula>B$9&gt;=20/24</formula>
    </cfRule>
    <cfRule type="expression" dxfId="4223" priority="174">
      <formula>AND(B$9&gt;=14/24,B$9&lt;20/24)</formula>
    </cfRule>
    <cfRule type="expression" dxfId="4222" priority="175">
      <formula>AND(B$9&gt;=8/24,B$9&lt;14/24)</formula>
    </cfRule>
    <cfRule type="expression" dxfId="4221" priority="176">
      <formula>B$9&lt;8/24</formula>
    </cfRule>
  </conditionalFormatting>
  <conditionalFormatting sqref="B171:AF171">
    <cfRule type="expression" dxfId="4220" priority="169">
      <formula>B$9&gt;=20/24</formula>
    </cfRule>
    <cfRule type="expression" dxfId="4219" priority="170">
      <formula>AND(B$9&gt;=14/24,B$9&lt;20/24)</formula>
    </cfRule>
    <cfRule type="expression" dxfId="4218" priority="171">
      <formula>AND(B$9&gt;=8/24,B$9&lt;14/24)</formula>
    </cfRule>
    <cfRule type="expression" dxfId="4217" priority="172">
      <formula>B$9&lt;8/24</formula>
    </cfRule>
  </conditionalFormatting>
  <conditionalFormatting sqref="AL4:AL6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216" priority="164">
      <formula>L$9&gt;=20/24</formula>
    </cfRule>
    <cfRule type="expression" dxfId="4215" priority="165">
      <formula>AND(L$9&gt;=14/24,L$9&lt;20/24)</formula>
    </cfRule>
    <cfRule type="expression" dxfId="4214" priority="166">
      <formula>AND(L$9&gt;=8/24,L$9&lt;14/24)</formula>
    </cfRule>
    <cfRule type="expression" dxfId="4213" priority="167">
      <formula>L$9&lt;8/24</formula>
    </cfRule>
  </conditionalFormatting>
  <conditionalFormatting sqref="L35:M35">
    <cfRule type="expression" dxfId="4212" priority="160">
      <formula>L$9&gt;=20/24</formula>
    </cfRule>
    <cfRule type="expression" dxfId="4211" priority="161">
      <formula>AND(L$9&gt;=14/24,L$9&lt;20/24)</formula>
    </cfRule>
    <cfRule type="expression" dxfId="4210" priority="162">
      <formula>AND(L$9&gt;=8/24,L$9&lt;14/24)</formula>
    </cfRule>
    <cfRule type="expression" dxfId="4209" priority="163">
      <formula>L$9&lt;8/24</formula>
    </cfRule>
  </conditionalFormatting>
  <conditionalFormatting sqref="U13:Z13">
    <cfRule type="expression" dxfId="4208" priority="156">
      <formula>U$9&gt;=20/24</formula>
    </cfRule>
    <cfRule type="expression" dxfId="4207" priority="157">
      <formula>AND(U$9&gt;=14/24,U$9&lt;20/24)</formula>
    </cfRule>
    <cfRule type="expression" dxfId="4206" priority="158">
      <formula>AND(U$9&gt;=8/24,U$9&lt;14/24)</formula>
    </cfRule>
    <cfRule type="expression" dxfId="4205" priority="159">
      <formula>U$9&lt;8/24</formula>
    </cfRule>
  </conditionalFormatting>
  <conditionalFormatting sqref="R31:Z31">
    <cfRule type="expression" dxfId="4204" priority="152">
      <formula>R$9&gt;=20/24</formula>
    </cfRule>
    <cfRule type="expression" dxfId="4203" priority="153">
      <formula>AND(R$9&gt;=14/24,R$9&lt;20/24)</formula>
    </cfRule>
    <cfRule type="expression" dxfId="4202" priority="154">
      <formula>AND(R$9&gt;=8/24,R$9&lt;14/24)</formula>
    </cfRule>
    <cfRule type="expression" dxfId="4201" priority="155">
      <formula>R$9&lt;8/24</formula>
    </cfRule>
  </conditionalFormatting>
  <conditionalFormatting sqref="R48:Z48">
    <cfRule type="expression" dxfId="4200" priority="148">
      <formula>R$9&gt;=20/24</formula>
    </cfRule>
    <cfRule type="expression" dxfId="4199" priority="149">
      <formula>AND(R$9&gt;=14/24,R$9&lt;20/24)</formula>
    </cfRule>
    <cfRule type="expression" dxfId="4198" priority="150">
      <formula>AND(R$9&gt;=8/24,R$9&lt;14/24)</formula>
    </cfRule>
    <cfRule type="expression" dxfId="4197" priority="151">
      <formula>R$9&lt;8/24</formula>
    </cfRule>
  </conditionalFormatting>
  <conditionalFormatting sqref="R70:Z70">
    <cfRule type="expression" dxfId="4196" priority="144">
      <formula>R$9&gt;=20/24</formula>
    </cfRule>
    <cfRule type="expression" dxfId="4195" priority="145">
      <formula>AND(R$9&gt;=14/24,R$9&lt;20/24)</formula>
    </cfRule>
    <cfRule type="expression" dxfId="4194" priority="146">
      <formula>AND(R$9&gt;=8/24,R$9&lt;14/24)</formula>
    </cfRule>
    <cfRule type="expression" dxfId="4193" priority="147">
      <formula>R$9&lt;8/24</formula>
    </cfRule>
  </conditionalFormatting>
  <conditionalFormatting sqref="R72:Z72">
    <cfRule type="expression" dxfId="4192" priority="140">
      <formula>R$9&gt;=20/24</formula>
    </cfRule>
    <cfRule type="expression" dxfId="4191" priority="141">
      <formula>AND(R$9&gt;=14/24,R$9&lt;20/24)</formula>
    </cfRule>
    <cfRule type="expression" dxfId="4190" priority="142">
      <formula>AND(R$9&gt;=8/24,R$9&lt;14/24)</formula>
    </cfRule>
    <cfRule type="expression" dxfId="4189" priority="143">
      <formula>R$9&lt;8/24</formula>
    </cfRule>
  </conditionalFormatting>
  <conditionalFormatting sqref="L11:Q27 M18:Z27">
    <cfRule type="expression" dxfId="4188" priority="136">
      <formula>L$9&gt;=20/24</formula>
    </cfRule>
    <cfRule type="expression" dxfId="4187" priority="137">
      <formula>AND(L$9&gt;=14/24,L$9&lt;20/24)</formula>
    </cfRule>
    <cfRule type="expression" dxfId="4186" priority="138">
      <formula>AND(L$9&gt;=8/24,L$9&lt;14/24)</formula>
    </cfRule>
    <cfRule type="expression" dxfId="4185" priority="139">
      <formula>L$9&lt;8/24</formula>
    </cfRule>
  </conditionalFormatting>
  <conditionalFormatting sqref="L40:Q40">
    <cfRule type="expression" dxfId="4184" priority="132">
      <formula>L$9&gt;=20/24</formula>
    </cfRule>
    <cfRule type="expression" dxfId="4183" priority="133">
      <formula>AND(L$9&gt;=14/24,L$9&lt;20/24)</formula>
    </cfRule>
    <cfRule type="expression" dxfId="4182" priority="134">
      <formula>AND(L$9&gt;=8/24,L$9&lt;14/24)</formula>
    </cfRule>
    <cfRule type="expression" dxfId="4181" priority="135">
      <formula>L$9&lt;8/24</formula>
    </cfRule>
  </conditionalFormatting>
  <conditionalFormatting sqref="L41:Q41">
    <cfRule type="expression" dxfId="4180" priority="128">
      <formula>L$9&gt;=20/24</formula>
    </cfRule>
    <cfRule type="expression" dxfId="4179" priority="129">
      <formula>AND(L$9&gt;=14/24,L$9&lt;20/24)</formula>
    </cfRule>
    <cfRule type="expression" dxfId="4178" priority="130">
      <formula>AND(L$9&gt;=8/24,L$9&lt;14/24)</formula>
    </cfRule>
    <cfRule type="expression" dxfId="4177" priority="131">
      <formula>L$9&lt;8/24</formula>
    </cfRule>
  </conditionalFormatting>
  <conditionalFormatting sqref="L36:L39 M39:N39">
    <cfRule type="expression" dxfId="4176" priority="124">
      <formula>L$9&gt;=20/24</formula>
    </cfRule>
    <cfRule type="expression" dxfId="4175" priority="125">
      <formula>AND(L$9&gt;=14/24,L$9&lt;20/24)</formula>
    </cfRule>
    <cfRule type="expression" dxfId="4174" priority="126">
      <formula>AND(L$9&gt;=8/24,L$9&lt;14/24)</formula>
    </cfRule>
    <cfRule type="expression" dxfId="4173" priority="127">
      <formula>L$9&lt;8/24</formula>
    </cfRule>
  </conditionalFormatting>
  <conditionalFormatting sqref="R29:AD29">
    <cfRule type="expression" dxfId="4172" priority="120">
      <formula>R$9&gt;=20/24</formula>
    </cfRule>
    <cfRule type="expression" dxfId="4171" priority="121">
      <formula>AND(R$9&gt;=14/24,R$9&lt;20/24)</formula>
    </cfRule>
    <cfRule type="expression" dxfId="4170" priority="122">
      <formula>AND(R$9&gt;=8/24,R$9&lt;14/24)</formula>
    </cfRule>
    <cfRule type="expression" dxfId="4169" priority="123">
      <formula>R$9&lt;8/24</formula>
    </cfRule>
  </conditionalFormatting>
  <conditionalFormatting sqref="R12:T27 S14:Z27 AA16:AF27">
    <cfRule type="expression" dxfId="4168" priority="116">
      <formula>R$9&gt;=20/24</formula>
    </cfRule>
    <cfRule type="expression" dxfId="4167" priority="117">
      <formula>AND(R$9&gt;=14/24,R$9&lt;20/24)</formula>
    </cfRule>
    <cfRule type="expression" dxfId="4166" priority="118">
      <formula>AND(R$9&gt;=8/24,R$9&lt;14/24)</formula>
    </cfRule>
    <cfRule type="expression" dxfId="4165" priority="119">
      <formula>R$9&lt;8/24</formula>
    </cfRule>
  </conditionalFormatting>
  <conditionalFormatting sqref="R34:R39 S35:U39 V36:Z39 S37:Z39">
    <cfRule type="expression" dxfId="4164" priority="112">
      <formula>R$9&gt;=20/24</formula>
    </cfRule>
    <cfRule type="expression" dxfId="4163" priority="113">
      <formula>AND(R$9&gt;=14/24,R$9&lt;20/24)</formula>
    </cfRule>
    <cfRule type="expression" dxfId="4162" priority="114">
      <formula>AND(R$9&gt;=8/24,R$9&lt;14/24)</formula>
    </cfRule>
    <cfRule type="expression" dxfId="4161" priority="115">
      <formula>R$9&lt;8/24</formula>
    </cfRule>
  </conditionalFormatting>
  <conditionalFormatting sqref="R40:Z40">
    <cfRule type="expression" dxfId="4160" priority="108">
      <formula>R$9&gt;=20/24</formula>
    </cfRule>
    <cfRule type="expression" dxfId="4159" priority="109">
      <formula>AND(R$9&gt;=14/24,R$9&lt;20/24)</formula>
    </cfRule>
    <cfRule type="expression" dxfId="4158" priority="110">
      <formula>AND(R$9&gt;=8/24,R$9&lt;14/24)</formula>
    </cfRule>
    <cfRule type="expression" dxfId="4157" priority="111">
      <formula>R$9&lt;8/24</formula>
    </cfRule>
  </conditionalFormatting>
  <conditionalFormatting sqref="R41:Z41">
    <cfRule type="expression" dxfId="4156" priority="104">
      <formula>R$9&gt;=20/24</formula>
    </cfRule>
    <cfRule type="expression" dxfId="4155" priority="105">
      <formula>AND(R$9&gt;=14/24,R$9&lt;20/24)</formula>
    </cfRule>
    <cfRule type="expression" dxfId="4154" priority="106">
      <formula>AND(R$9&gt;=8/24,R$9&lt;14/24)</formula>
    </cfRule>
    <cfRule type="expression" dxfId="4153" priority="107">
      <formula>R$9&lt;8/24</formula>
    </cfRule>
  </conditionalFormatting>
  <conditionalFormatting sqref="AA52:AF52 R51:Z52 AA54:AA55 AE54:AF58 R53:AF53">
    <cfRule type="expression" dxfId="4152" priority="100">
      <formula>R$9&gt;=20/24</formula>
    </cfRule>
    <cfRule type="expression" dxfId="4151" priority="101">
      <formula>AND(R$9&gt;=14/24,R$9&lt;20/24)</formula>
    </cfRule>
    <cfRule type="expression" dxfId="4150" priority="102">
      <formula>AND(R$9&gt;=8/24,R$9&lt;14/24)</formula>
    </cfRule>
    <cfRule type="expression" dxfId="4149" priority="103">
      <formula>R$9&lt;8/24</formula>
    </cfRule>
  </conditionalFormatting>
  <conditionalFormatting sqref="AA83:AF86">
    <cfRule type="expression" dxfId="4148" priority="96">
      <formula>AA$9&gt;=20/24</formula>
    </cfRule>
    <cfRule type="expression" dxfId="4147" priority="97">
      <formula>AND(AA$9&gt;=14/24,AA$9&lt;20/24)</formula>
    </cfRule>
    <cfRule type="expression" dxfId="4146" priority="98">
      <formula>AND(AA$9&gt;=8/24,AA$9&lt;14/24)</formula>
    </cfRule>
    <cfRule type="expression" dxfId="4145" priority="99">
      <formula>AA$9&lt;8/24</formula>
    </cfRule>
  </conditionalFormatting>
  <conditionalFormatting sqref="B83:K86">
    <cfRule type="expression" dxfId="4144" priority="88">
      <formula>B$9&gt;=20/24</formula>
    </cfRule>
    <cfRule type="expression" dxfId="4143" priority="89">
      <formula>AND(B$9&gt;=14/24,B$9&lt;20/24)</formula>
    </cfRule>
    <cfRule type="expression" dxfId="4142" priority="90">
      <formula>AND(B$9&gt;=8/24,B$9&lt;14/24)</formula>
    </cfRule>
    <cfRule type="expression" dxfId="4141" priority="91">
      <formula>B$9&lt;8/24</formula>
    </cfRule>
  </conditionalFormatting>
  <conditionalFormatting sqref="L83:Q86">
    <cfRule type="expression" dxfId="4140" priority="84">
      <formula>L$9&gt;=20/24</formula>
    </cfRule>
    <cfRule type="expression" dxfId="4139" priority="85">
      <formula>AND(L$9&gt;=14/24,L$9&lt;20/24)</formula>
    </cfRule>
    <cfRule type="expression" dxfId="4138" priority="86">
      <formula>AND(L$9&gt;=8/24,L$9&lt;14/24)</formula>
    </cfRule>
    <cfRule type="expression" dxfId="4137" priority="87">
      <formula>L$9&lt;8/24</formula>
    </cfRule>
  </conditionalFormatting>
  <conditionalFormatting sqref="R83:Z86">
    <cfRule type="expression" dxfId="4136" priority="80">
      <formula>R$9&gt;=20/24</formula>
    </cfRule>
    <cfRule type="expression" dxfId="4135" priority="81">
      <formula>AND(R$9&gt;=14/24,R$9&lt;20/24)</formula>
    </cfRule>
    <cfRule type="expression" dxfId="4134" priority="82">
      <formula>AND(R$9&gt;=8/24,R$9&lt;14/24)</formula>
    </cfRule>
    <cfRule type="expression" dxfId="4133" priority="83">
      <formula>R$9&lt;8/24</formula>
    </cfRule>
  </conditionalFormatting>
  <conditionalFormatting sqref="AG42 B11:AF47">
    <cfRule type="expression" dxfId="4132" priority="79">
      <formula>B11&gt;$AG11</formula>
    </cfRule>
  </conditionalFormatting>
  <conditionalFormatting sqref="T192:AX192">
    <cfRule type="expression" dxfId="4131" priority="75">
      <formula>T$9&gt;=20/24</formula>
    </cfRule>
    <cfRule type="expression" dxfId="4130" priority="76">
      <formula>AND(T$9&gt;=14/24,T$9&lt;20/24)</formula>
    </cfRule>
    <cfRule type="expression" dxfId="4129" priority="77">
      <formula>AND(T$9&gt;=8/24,T$9&lt;14/24)</formula>
    </cfRule>
    <cfRule type="expression" dxfId="4128" priority="78">
      <formula>T$9&lt;8/24</formula>
    </cfRule>
  </conditionalFormatting>
  <conditionalFormatting sqref="A11:A86 A88:A180">
    <cfRule type="expression" dxfId="4127" priority="74">
      <formula>$AH11=0</formula>
    </cfRule>
  </conditionalFormatting>
  <conditionalFormatting sqref="AA87:AF87">
    <cfRule type="expression" dxfId="4126" priority="70">
      <formula>AA$9&gt;=20/24</formula>
    </cfRule>
    <cfRule type="expression" dxfId="4125" priority="71">
      <formula>AND(AA$9&gt;=14/24,AA$9&lt;20/24)</formula>
    </cfRule>
    <cfRule type="expression" dxfId="4124" priority="72">
      <formula>AND(AA$9&gt;=8/24,AA$9&lt;14/24)</formula>
    </cfRule>
    <cfRule type="expression" dxfId="4123" priority="73">
      <formula>AA$9&lt;8/24</formula>
    </cfRule>
  </conditionalFormatting>
  <conditionalFormatting sqref="B87:K87">
    <cfRule type="expression" dxfId="4122" priority="66">
      <formula>B$9&gt;=20/24</formula>
    </cfRule>
    <cfRule type="expression" dxfId="4121" priority="67">
      <formula>AND(B$9&gt;=14/24,B$9&lt;20/24)</formula>
    </cfRule>
    <cfRule type="expression" dxfId="4120" priority="68">
      <formula>AND(B$9&gt;=8/24,B$9&lt;14/24)</formula>
    </cfRule>
    <cfRule type="expression" dxfId="4119" priority="69">
      <formula>B$9&lt;8/24</formula>
    </cfRule>
  </conditionalFormatting>
  <conditionalFormatting sqref="L87:Q87">
    <cfRule type="expression" dxfId="4118" priority="62">
      <formula>L$9&gt;=20/24</formula>
    </cfRule>
    <cfRule type="expression" dxfId="4117" priority="63">
      <formula>AND(L$9&gt;=14/24,L$9&lt;20/24)</formula>
    </cfRule>
    <cfRule type="expression" dxfId="4116" priority="64">
      <formula>AND(L$9&gt;=8/24,L$9&lt;14/24)</formula>
    </cfRule>
    <cfRule type="expression" dxfId="4115" priority="65">
      <formula>L$9&lt;8/24</formula>
    </cfRule>
  </conditionalFormatting>
  <conditionalFormatting sqref="R87:Z87">
    <cfRule type="expression" dxfId="4114" priority="58">
      <formula>R$9&gt;=20/24</formula>
    </cfRule>
    <cfRule type="expression" dxfId="4113" priority="59">
      <formula>AND(R$9&gt;=14/24,R$9&lt;20/24)</formula>
    </cfRule>
    <cfRule type="expression" dxfId="4112" priority="60">
      <formula>AND(R$9&gt;=8/24,R$9&lt;14/24)</formula>
    </cfRule>
    <cfRule type="expression" dxfId="4111" priority="61">
      <formula>R$9&lt;8/24</formula>
    </cfRule>
  </conditionalFormatting>
  <conditionalFormatting sqref="A87">
    <cfRule type="expression" dxfId="4110" priority="57">
      <formula>$AH87=0</formula>
    </cfRule>
  </conditionalFormatting>
  <conditionalFormatting sqref="B28:AF28">
    <cfRule type="expression" dxfId="4109" priority="53">
      <formula>B$9&gt;=20/24</formula>
    </cfRule>
    <cfRule type="expression" dxfId="4108" priority="54">
      <formula>AND(B$9&gt;=14/24,B$9&lt;20/24)</formula>
    </cfRule>
    <cfRule type="expression" dxfId="4107" priority="55">
      <formula>AND(B$9&gt;=8/24,B$9&lt;14/24)</formula>
    </cfRule>
    <cfRule type="expression" dxfId="4106" priority="56">
      <formula>B$9&lt;8/24</formula>
    </cfRule>
  </conditionalFormatting>
  <conditionalFormatting sqref="R28:AA28">
    <cfRule type="expression" dxfId="4105" priority="49">
      <formula>R$9&gt;=20/24</formula>
    </cfRule>
    <cfRule type="expression" dxfId="4104" priority="50">
      <formula>AND(R$9&gt;=14/24,R$9&lt;20/24)</formula>
    </cfRule>
    <cfRule type="expression" dxfId="4103" priority="51">
      <formula>AND(R$9&gt;=8/24,R$9&lt;14/24)</formula>
    </cfRule>
    <cfRule type="expression" dxfId="4102" priority="52">
      <formula>R$9&lt;8/24</formula>
    </cfRule>
  </conditionalFormatting>
  <conditionalFormatting sqref="AA20:AA27">
    <cfRule type="expression" dxfId="4101" priority="45">
      <formula>AA$9&gt;=20/24</formula>
    </cfRule>
    <cfRule type="expression" dxfId="4100" priority="46">
      <formula>AND(AA$9&gt;=14/24,AA$9&lt;20/24)</formula>
    </cfRule>
    <cfRule type="expression" dxfId="4099" priority="47">
      <formula>AND(AA$9&gt;=8/24,AA$9&lt;14/24)</formula>
    </cfRule>
    <cfRule type="expression" dxfId="4098" priority="48">
      <formula>AA$9&lt;8/24</formula>
    </cfRule>
  </conditionalFormatting>
  <conditionalFormatting sqref="AB21:AB27">
    <cfRule type="expression" dxfId="4097" priority="41">
      <formula>AB$9&gt;=20/24</formula>
    </cfRule>
    <cfRule type="expression" dxfId="4096" priority="42">
      <formula>AND(AB$9&gt;=14/24,AB$9&lt;20/24)</formula>
    </cfRule>
    <cfRule type="expression" dxfId="4095" priority="43">
      <formula>AND(AB$9&gt;=8/24,AB$9&lt;14/24)</formula>
    </cfRule>
    <cfRule type="expression" dxfId="4094" priority="44">
      <formula>AB$9&lt;8/24</formula>
    </cfRule>
  </conditionalFormatting>
  <conditionalFormatting sqref="AB56:AB58">
    <cfRule type="expression" dxfId="4093" priority="37">
      <formula>AB$9&gt;=20/24</formula>
    </cfRule>
    <cfRule type="expression" dxfId="4092" priority="38">
      <formula>AND(AB$9&gt;=14/24,AB$9&lt;20/24)</formula>
    </cfRule>
    <cfRule type="expression" dxfId="4091" priority="39">
      <formula>AND(AB$9&gt;=8/24,AB$9&lt;14/24)</formula>
    </cfRule>
    <cfRule type="expression" dxfId="4090" priority="40">
      <formula>AB$9&lt;8/24</formula>
    </cfRule>
  </conditionalFormatting>
  <conditionalFormatting sqref="AB54:AB55">
    <cfRule type="expression" dxfId="4089" priority="33">
      <formula>AB$9&gt;=20/24</formula>
    </cfRule>
    <cfRule type="expression" dxfId="4088" priority="34">
      <formula>AND(AB$9&gt;=14/24,AB$9&lt;20/24)</formula>
    </cfRule>
    <cfRule type="expression" dxfId="4087" priority="35">
      <formula>AND(AB$9&gt;=8/24,AB$9&lt;14/24)</formula>
    </cfRule>
    <cfRule type="expression" dxfId="4086" priority="36">
      <formula>AB$9&lt;8/24</formula>
    </cfRule>
  </conditionalFormatting>
  <conditionalFormatting sqref="AC21:AC27">
    <cfRule type="expression" dxfId="4085" priority="29">
      <formula>AC$9&gt;=20/24</formula>
    </cfRule>
    <cfRule type="expression" dxfId="4084" priority="30">
      <formula>AND(AC$9&gt;=14/24,AC$9&lt;20/24)</formula>
    </cfRule>
    <cfRule type="expression" dxfId="4083" priority="31">
      <formula>AND(AC$9&gt;=8/24,AC$9&lt;14/24)</formula>
    </cfRule>
    <cfRule type="expression" dxfId="4082" priority="32">
      <formula>AC$9&lt;8/24</formula>
    </cfRule>
  </conditionalFormatting>
  <conditionalFormatting sqref="AC56:AC58">
    <cfRule type="expression" dxfId="4081" priority="25">
      <formula>AC$9&gt;=20/24</formula>
    </cfRule>
    <cfRule type="expression" dxfId="4080" priority="26">
      <formula>AND(AC$9&gt;=14/24,AC$9&lt;20/24)</formula>
    </cfRule>
    <cfRule type="expression" dxfId="4079" priority="27">
      <formula>AND(AC$9&gt;=8/24,AC$9&lt;14/24)</formula>
    </cfRule>
    <cfRule type="expression" dxfId="4078" priority="28">
      <formula>AC$9&lt;8/24</formula>
    </cfRule>
  </conditionalFormatting>
  <conditionalFormatting sqref="AC54:AC55">
    <cfRule type="expression" dxfId="4077" priority="21">
      <formula>AC$9&gt;=20/24</formula>
    </cfRule>
    <cfRule type="expression" dxfId="4076" priority="22">
      <formula>AND(AC$9&gt;=14/24,AC$9&lt;20/24)</formula>
    </cfRule>
    <cfRule type="expression" dxfId="4075" priority="23">
      <formula>AND(AC$9&gt;=8/24,AC$9&lt;14/24)</formula>
    </cfRule>
    <cfRule type="expression" dxfId="4074" priority="24">
      <formula>AC$9&lt;8/24</formula>
    </cfRule>
  </conditionalFormatting>
  <conditionalFormatting sqref="AD21:AD27">
    <cfRule type="expression" dxfId="4073" priority="17">
      <formula>AD$9&gt;=20/24</formula>
    </cfRule>
    <cfRule type="expression" dxfId="4072" priority="18">
      <formula>AND(AD$9&gt;=14/24,AD$9&lt;20/24)</formula>
    </cfRule>
    <cfRule type="expression" dxfId="4071" priority="19">
      <formula>AND(AD$9&gt;=8/24,AD$9&lt;14/24)</formula>
    </cfRule>
    <cfRule type="expression" dxfId="4070" priority="20">
      <formula>AD$9&lt;8/24</formula>
    </cfRule>
  </conditionalFormatting>
  <conditionalFormatting sqref="AD56:AD58">
    <cfRule type="expression" dxfId="4069" priority="13">
      <formula>AD$9&gt;=20/24</formula>
    </cfRule>
    <cfRule type="expression" dxfId="4068" priority="14">
      <formula>AND(AD$9&gt;=14/24,AD$9&lt;20/24)</formula>
    </cfRule>
    <cfRule type="expression" dxfId="4067" priority="15">
      <formula>AND(AD$9&gt;=8/24,AD$9&lt;14/24)</formula>
    </cfRule>
    <cfRule type="expression" dxfId="4066" priority="16">
      <formula>AD$9&lt;8/24</formula>
    </cfRule>
  </conditionalFormatting>
  <conditionalFormatting sqref="AD54:AD55">
    <cfRule type="expression" dxfId="4065" priority="9">
      <formula>AD$9&gt;=20/24</formula>
    </cfRule>
    <cfRule type="expression" dxfId="4064" priority="10">
      <formula>AND(AD$9&gt;=14/24,AD$9&lt;20/24)</formula>
    </cfRule>
    <cfRule type="expression" dxfId="4063" priority="11">
      <formula>AND(AD$9&gt;=8/24,AD$9&lt;14/24)</formula>
    </cfRule>
    <cfRule type="expression" dxfId="4062" priority="12">
      <formula>AD$9&lt;8/24</formula>
    </cfRule>
  </conditionalFormatting>
  <conditionalFormatting sqref="AE21:AE27">
    <cfRule type="expression" dxfId="4061" priority="5">
      <formula>AE$9&gt;=20/24</formula>
    </cfRule>
    <cfRule type="expression" dxfId="4060" priority="6">
      <formula>AND(AE$9&gt;=14/24,AE$9&lt;20/24)</formula>
    </cfRule>
    <cfRule type="expression" dxfId="4059" priority="7">
      <formula>AND(AE$9&gt;=8/24,AE$9&lt;14/24)</formula>
    </cfRule>
    <cfRule type="expression" dxfId="4058" priority="8">
      <formula>AE$9&lt;8/24</formula>
    </cfRule>
  </conditionalFormatting>
  <conditionalFormatting sqref="AF21:AF27">
    <cfRule type="expression" dxfId="4057" priority="1">
      <formula>AF$9&gt;=20/24</formula>
    </cfRule>
    <cfRule type="expression" dxfId="4056" priority="2">
      <formula>AND(AF$9&gt;=14/24,AF$9&lt;20/24)</formula>
    </cfRule>
    <cfRule type="expression" dxfId="4055" priority="3">
      <formula>AND(AF$9&gt;=8/24,AF$9&lt;14/24)</formula>
    </cfRule>
    <cfRule type="expression" dxfId="4054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F49" sqref="AF49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6" bestFit="1" customWidth="1"/>
    <col min="12" max="12" width="8.7109375" bestFit="1" customWidth="1"/>
    <col min="13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11</v>
      </c>
      <c r="D4" s="324">
        <f ca="1">IFERROR(DATE(2021,5,14)+C4,"")</f>
        <v>44341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411.4</v>
      </c>
      <c r="C5" s="32">
        <f t="shared" ref="C5:AF5" si="0">C59</f>
        <v>408.01</v>
      </c>
      <c r="D5" s="32">
        <f t="shared" si="0"/>
        <v>363.08000000000004</v>
      </c>
      <c r="E5" s="32">
        <f t="shared" si="0"/>
        <v>366.21000000000004</v>
      </c>
      <c r="F5" s="32">
        <f t="shared" si="0"/>
        <v>354.6</v>
      </c>
      <c r="G5" s="32">
        <f t="shared" si="0"/>
        <v>359.4</v>
      </c>
      <c r="H5" s="32">
        <f t="shared" si="0"/>
        <v>342.7</v>
      </c>
      <c r="I5" s="32">
        <f t="shared" si="0"/>
        <v>304.64</v>
      </c>
      <c r="J5" s="32">
        <f t="shared" si="0"/>
        <v>356.2</v>
      </c>
      <c r="K5" s="32">
        <f t="shared" si="0"/>
        <v>350.82</v>
      </c>
      <c r="L5" s="32">
        <f t="shared" si="0"/>
        <v>353.8</v>
      </c>
      <c r="M5" s="32">
        <f t="shared" si="0"/>
        <v>346.08</v>
      </c>
      <c r="N5" s="32">
        <f t="shared" si="0"/>
        <v>328.27</v>
      </c>
      <c r="O5" s="32">
        <f t="shared" si="0"/>
        <v>286.2</v>
      </c>
      <c r="P5" s="32">
        <f t="shared" si="0"/>
        <v>322.55</v>
      </c>
      <c r="Q5" s="32">
        <f t="shared" si="0"/>
        <v>272.2</v>
      </c>
      <c r="R5" s="32">
        <f t="shared" si="0"/>
        <v>323.3</v>
      </c>
      <c r="S5" s="32">
        <f t="shared" si="0"/>
        <v>334.4</v>
      </c>
      <c r="T5" s="32">
        <f t="shared" si="0"/>
        <v>320.5</v>
      </c>
      <c r="U5" s="32">
        <f t="shared" si="0"/>
        <v>314.7</v>
      </c>
      <c r="V5" s="32">
        <f t="shared" si="0"/>
        <v>340</v>
      </c>
      <c r="W5" s="32">
        <f t="shared" si="0"/>
        <v>366</v>
      </c>
      <c r="X5" s="32">
        <f t="shared" si="0"/>
        <v>400.3</v>
      </c>
      <c r="Y5" s="32">
        <f t="shared" si="0"/>
        <v>421</v>
      </c>
      <c r="Z5" s="32">
        <f t="shared" si="0"/>
        <v>480</v>
      </c>
      <c r="AA5" s="32">
        <f t="shared" si="0"/>
        <v>460</v>
      </c>
      <c r="AB5" s="32">
        <f t="shared" si="0"/>
        <v>445.82</v>
      </c>
      <c r="AC5" s="32">
        <f t="shared" si="0"/>
        <v>426.2</v>
      </c>
      <c r="AD5" s="32">
        <f t="shared" si="0"/>
        <v>421.8</v>
      </c>
      <c r="AE5" s="32">
        <f t="shared" si="0"/>
        <v>410.59999999999997</v>
      </c>
      <c r="AF5" s="32">
        <f t="shared" si="0"/>
        <v>435.5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1133MW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Load=883</v>
      </c>
      <c r="B7" s="36">
        <f t="shared" ref="B7:AF7" si="1">B65</f>
        <v>1056.04</v>
      </c>
      <c r="C7" s="36">
        <f t="shared" si="1"/>
        <v>1049.5500000000002</v>
      </c>
      <c r="D7" s="36">
        <f t="shared" si="1"/>
        <v>1015.52</v>
      </c>
      <c r="E7" s="36">
        <f t="shared" si="1"/>
        <v>1011.75</v>
      </c>
      <c r="F7" s="36">
        <f t="shared" si="1"/>
        <v>964.33999999999992</v>
      </c>
      <c r="G7" s="36">
        <f t="shared" si="1"/>
        <v>961.64</v>
      </c>
      <c r="H7" s="36">
        <f t="shared" si="1"/>
        <v>938.7399999999999</v>
      </c>
      <c r="I7" s="36">
        <f t="shared" si="1"/>
        <v>929.48</v>
      </c>
      <c r="J7" s="36">
        <f t="shared" si="1"/>
        <v>987.33999999999992</v>
      </c>
      <c r="K7" s="36">
        <f t="shared" si="1"/>
        <v>1045.06</v>
      </c>
      <c r="L7" s="36">
        <f>L65</f>
        <v>1133.3399999999999</v>
      </c>
      <c r="M7" s="36">
        <f t="shared" si="1"/>
        <v>1106.1200000000001</v>
      </c>
      <c r="N7" s="36">
        <f t="shared" si="1"/>
        <v>1013.41</v>
      </c>
      <c r="O7" s="36">
        <f t="shared" si="1"/>
        <v>988.6400000000001</v>
      </c>
      <c r="P7" s="36">
        <f t="shared" si="1"/>
        <v>977.3900000000001</v>
      </c>
      <c r="Q7" s="36">
        <f t="shared" si="1"/>
        <v>905.94</v>
      </c>
      <c r="R7" s="36">
        <f t="shared" si="1"/>
        <v>882.74</v>
      </c>
      <c r="S7" s="36">
        <f t="shared" si="1"/>
        <v>932.94</v>
      </c>
      <c r="T7" s="36">
        <f t="shared" si="1"/>
        <v>929.33999999999992</v>
      </c>
      <c r="U7" s="36">
        <f t="shared" si="1"/>
        <v>919.34</v>
      </c>
      <c r="V7" s="36">
        <f t="shared" si="1"/>
        <v>932.84</v>
      </c>
      <c r="W7" s="36">
        <f t="shared" si="1"/>
        <v>980.93999999999994</v>
      </c>
      <c r="X7" s="36">
        <f t="shared" si="1"/>
        <v>1072.04</v>
      </c>
      <c r="Y7" s="36">
        <f t="shared" si="1"/>
        <v>1077.8400000000001</v>
      </c>
      <c r="Z7" s="36">
        <f t="shared" si="1"/>
        <v>1215.24</v>
      </c>
      <c r="AA7" s="36">
        <f t="shared" si="1"/>
        <v>1211.04</v>
      </c>
      <c r="AB7" s="36">
        <f t="shared" si="1"/>
        <v>1200.3599999999999</v>
      </c>
      <c r="AC7" s="36">
        <f t="shared" si="1"/>
        <v>1180.74</v>
      </c>
      <c r="AD7" s="36">
        <f t="shared" si="1"/>
        <v>1108.1400000000001</v>
      </c>
      <c r="AE7" s="36">
        <f t="shared" si="1"/>
        <v>1033.94</v>
      </c>
      <c r="AF7" s="36">
        <f t="shared" si="1"/>
        <v>1007.4399999999999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32.799999999999997</v>
      </c>
      <c r="C11" s="48">
        <v>34.200000000000003</v>
      </c>
      <c r="D11" s="48">
        <v>36.200000000000003</v>
      </c>
      <c r="E11" s="48">
        <v>35.6</v>
      </c>
      <c r="F11" s="48">
        <v>33.6</v>
      </c>
      <c r="G11" s="48">
        <v>33.799999999999997</v>
      </c>
      <c r="H11" s="48">
        <v>35.299999999999997</v>
      </c>
      <c r="I11" s="48">
        <v>34.5</v>
      </c>
      <c r="J11" s="48">
        <v>33.9</v>
      </c>
      <c r="K11" s="48">
        <v>34.299999999999997</v>
      </c>
      <c r="L11" s="49">
        <v>33</v>
      </c>
      <c r="M11" s="49">
        <v>33.5</v>
      </c>
      <c r="N11" s="49">
        <v>32.299999999999997</v>
      </c>
      <c r="O11" s="49">
        <v>32.700000000000003</v>
      </c>
      <c r="P11" s="49">
        <v>32.200000000000003</v>
      </c>
      <c r="Q11" s="49">
        <v>31</v>
      </c>
      <c r="R11" s="49">
        <v>30.5</v>
      </c>
      <c r="S11" s="49">
        <v>28.9</v>
      </c>
      <c r="T11" s="49">
        <v>29.9</v>
      </c>
      <c r="U11" s="49">
        <v>31.1</v>
      </c>
      <c r="V11" s="49">
        <v>30.8</v>
      </c>
      <c r="W11" s="49">
        <v>30.4</v>
      </c>
      <c r="X11" s="49">
        <v>29.7</v>
      </c>
      <c r="Y11" s="49">
        <v>29.7</v>
      </c>
      <c r="Z11" s="49">
        <v>28</v>
      </c>
      <c r="AA11" s="48">
        <v>28.6</v>
      </c>
      <c r="AB11" s="48">
        <v>29.1</v>
      </c>
      <c r="AC11" s="48">
        <v>28.2</v>
      </c>
      <c r="AD11" s="48">
        <v>28.6</v>
      </c>
      <c r="AE11" s="48">
        <v>27.4</v>
      </c>
      <c r="AF11" s="48">
        <v>26.8</v>
      </c>
      <c r="AG11" s="51">
        <v>60</v>
      </c>
      <c r="AH11" s="52">
        <f>MAX(B11:AF11)</f>
        <v>36.200000000000003</v>
      </c>
      <c r="AI11" s="53">
        <f>MIN(B11:AF11)</f>
        <v>26.8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50.9</v>
      </c>
      <c r="C12" s="56">
        <v>50.7</v>
      </c>
      <c r="D12" s="56">
        <v>50.7</v>
      </c>
      <c r="E12" s="56">
        <v>50.9</v>
      </c>
      <c r="F12" s="56">
        <v>50.8</v>
      </c>
      <c r="G12" s="56">
        <v>50.8</v>
      </c>
      <c r="H12" s="56">
        <v>50.9</v>
      </c>
      <c r="I12" s="56">
        <v>50.9</v>
      </c>
      <c r="J12" s="56">
        <v>50.4</v>
      </c>
      <c r="K12" s="56">
        <v>50.4</v>
      </c>
      <c r="L12" s="49">
        <v>50.1</v>
      </c>
      <c r="M12" s="49">
        <v>50.5</v>
      </c>
      <c r="N12" s="49">
        <v>50.5</v>
      </c>
      <c r="O12" s="49">
        <v>50.2</v>
      </c>
      <c r="P12" s="49">
        <v>50.4</v>
      </c>
      <c r="Q12" s="49">
        <v>50</v>
      </c>
      <c r="R12" s="49">
        <v>50.1</v>
      </c>
      <c r="S12" s="49">
        <v>50.4</v>
      </c>
      <c r="T12" s="49">
        <v>50.5</v>
      </c>
      <c r="U12" s="49">
        <v>50.4</v>
      </c>
      <c r="V12" s="49">
        <v>50.5</v>
      </c>
      <c r="W12" s="49">
        <v>50.5</v>
      </c>
      <c r="X12" s="49">
        <v>50.6</v>
      </c>
      <c r="Y12" s="49">
        <v>50.6</v>
      </c>
      <c r="Z12" s="49">
        <v>50.2</v>
      </c>
      <c r="AA12" s="56">
        <v>50.2</v>
      </c>
      <c r="AB12" s="56">
        <v>50.5</v>
      </c>
      <c r="AC12" s="56">
        <v>50.5</v>
      </c>
      <c r="AD12" s="56">
        <v>50.8</v>
      </c>
      <c r="AE12" s="56">
        <v>50.5</v>
      </c>
      <c r="AF12" s="56">
        <v>50.8</v>
      </c>
      <c r="AG12" s="57">
        <v>50</v>
      </c>
      <c r="AH12" s="52">
        <f t="shared" ref="AH12:AH77" si="2">MAX(B12:AF12)</f>
        <v>50.9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32</v>
      </c>
      <c r="C13" s="56">
        <v>32.1</v>
      </c>
      <c r="D13" s="56">
        <v>29.2</v>
      </c>
      <c r="E13" s="56">
        <v>28.5</v>
      </c>
      <c r="F13" s="56">
        <v>26.8</v>
      </c>
      <c r="G13" s="56">
        <v>25.6</v>
      </c>
      <c r="H13" s="56">
        <v>25.7</v>
      </c>
      <c r="I13" s="56">
        <v>25.7</v>
      </c>
      <c r="J13" s="56">
        <v>25.6</v>
      </c>
      <c r="K13" s="56">
        <v>24.7</v>
      </c>
      <c r="L13" s="49">
        <v>24.2</v>
      </c>
      <c r="M13" s="49">
        <v>24.5</v>
      </c>
      <c r="N13" s="49">
        <v>24.1</v>
      </c>
      <c r="O13" s="49">
        <v>24.2</v>
      </c>
      <c r="P13" s="49">
        <v>24.2</v>
      </c>
      <c r="Q13" s="49">
        <v>24.2</v>
      </c>
      <c r="R13" s="49">
        <v>23.3</v>
      </c>
      <c r="S13" s="49">
        <v>23.5</v>
      </c>
      <c r="T13" s="49">
        <v>23.4</v>
      </c>
      <c r="U13" s="49">
        <v>23.8</v>
      </c>
      <c r="V13" s="49">
        <v>23.7</v>
      </c>
      <c r="W13" s="49">
        <v>23.6</v>
      </c>
      <c r="X13" s="49">
        <v>24.1</v>
      </c>
      <c r="Y13" s="49">
        <v>24.1</v>
      </c>
      <c r="Z13" s="49">
        <v>23.7</v>
      </c>
      <c r="AA13" s="56">
        <v>23.8</v>
      </c>
      <c r="AB13" s="56">
        <v>23.9</v>
      </c>
      <c r="AC13" s="56">
        <v>23.9</v>
      </c>
      <c r="AD13" s="56">
        <v>24</v>
      </c>
      <c r="AE13" s="56">
        <v>30.3</v>
      </c>
      <c r="AF13" s="56">
        <v>30.6</v>
      </c>
      <c r="AG13" s="59">
        <v>45</v>
      </c>
      <c r="AH13" s="52">
        <f t="shared" si="2"/>
        <v>32.1</v>
      </c>
      <c r="AI13" s="53">
        <f t="shared" si="3"/>
        <v>23.3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49">
        <v>16</v>
      </c>
      <c r="M14" s="49">
        <v>16</v>
      </c>
      <c r="N14" s="49">
        <v>16</v>
      </c>
      <c r="O14" s="49">
        <v>16</v>
      </c>
      <c r="P14" s="49">
        <v>16</v>
      </c>
      <c r="Q14" s="49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16</v>
      </c>
      <c r="AA14" s="49">
        <v>16</v>
      </c>
      <c r="AB14" s="56">
        <v>16</v>
      </c>
      <c r="AC14" s="56">
        <v>16</v>
      </c>
      <c r="AD14" s="56">
        <v>16</v>
      </c>
      <c r="AE14" s="56">
        <v>16</v>
      </c>
      <c r="AF14" s="56">
        <v>16</v>
      </c>
      <c r="AG14" s="59">
        <v>25</v>
      </c>
      <c r="AH14" s="52">
        <f t="shared" si="2"/>
        <v>16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13.4</v>
      </c>
      <c r="C15" s="56">
        <v>13.4</v>
      </c>
      <c r="D15" s="56">
        <v>13.4</v>
      </c>
      <c r="E15" s="56">
        <v>13.5</v>
      </c>
      <c r="F15" s="56">
        <v>13.4</v>
      </c>
      <c r="G15" s="56">
        <v>13.4</v>
      </c>
      <c r="H15" s="56">
        <v>13.4</v>
      </c>
      <c r="I15" s="56">
        <v>13.5</v>
      </c>
      <c r="J15" s="56">
        <v>13.5</v>
      </c>
      <c r="K15" s="56">
        <v>13.4</v>
      </c>
      <c r="L15" s="49">
        <v>13.4</v>
      </c>
      <c r="M15" s="49">
        <v>13.5</v>
      </c>
      <c r="N15" s="49">
        <v>13.5</v>
      </c>
      <c r="O15" s="49">
        <v>13.6</v>
      </c>
      <c r="P15" s="49">
        <v>13.6</v>
      </c>
      <c r="Q15" s="49">
        <v>12.7</v>
      </c>
      <c r="R15" s="49">
        <v>13</v>
      </c>
      <c r="S15" s="49">
        <v>13.5</v>
      </c>
      <c r="T15" s="49">
        <v>13</v>
      </c>
      <c r="U15" s="49">
        <v>13.5</v>
      </c>
      <c r="V15" s="49">
        <v>13.4</v>
      </c>
      <c r="W15" s="49">
        <v>18.600000000000001</v>
      </c>
      <c r="X15" s="49">
        <v>22.4</v>
      </c>
      <c r="Y15" s="49">
        <v>22.4</v>
      </c>
      <c r="Z15" s="49">
        <v>23</v>
      </c>
      <c r="AA15" s="56">
        <v>23</v>
      </c>
      <c r="AB15" s="56">
        <v>23</v>
      </c>
      <c r="AC15" s="56">
        <v>22.6</v>
      </c>
      <c r="AD15" s="56">
        <v>19.899999999999999</v>
      </c>
      <c r="AE15" s="56">
        <v>19.8</v>
      </c>
      <c r="AF15" s="56">
        <v>18.600000000000001</v>
      </c>
      <c r="AG15" s="59">
        <v>25</v>
      </c>
      <c r="AH15" s="52">
        <f t="shared" si="2"/>
        <v>23</v>
      </c>
      <c r="AI15" s="53">
        <f t="shared" si="3"/>
        <v>12.7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</v>
      </c>
      <c r="C17" s="56">
        <v>22</v>
      </c>
      <c r="D17" s="56">
        <v>21.6</v>
      </c>
      <c r="E17" s="56">
        <v>21.6</v>
      </c>
      <c r="F17" s="56">
        <v>21.4</v>
      </c>
      <c r="G17" s="56">
        <v>21.2</v>
      </c>
      <c r="H17" s="56">
        <v>21.2</v>
      </c>
      <c r="I17" s="56">
        <v>21.3</v>
      </c>
      <c r="J17" s="56">
        <v>21.4</v>
      </c>
      <c r="K17" s="56">
        <v>29.4</v>
      </c>
      <c r="L17" s="49">
        <v>20.7</v>
      </c>
      <c r="M17" s="49">
        <v>20.7</v>
      </c>
      <c r="N17" s="49">
        <v>20.2</v>
      </c>
      <c r="O17" s="49">
        <v>19.7</v>
      </c>
      <c r="P17" s="49">
        <v>20.2</v>
      </c>
      <c r="Q17" s="49">
        <v>19.899999999999999</v>
      </c>
      <c r="R17" s="49">
        <v>19.5</v>
      </c>
      <c r="S17" s="49">
        <v>19.399999999999999</v>
      </c>
      <c r="T17" s="49">
        <v>19.2</v>
      </c>
      <c r="U17" s="49">
        <v>19.5</v>
      </c>
      <c r="V17" s="49">
        <v>19.8</v>
      </c>
      <c r="W17" s="49">
        <v>19.7</v>
      </c>
      <c r="X17" s="49">
        <v>19.600000000000001</v>
      </c>
      <c r="Y17" s="49">
        <v>19.600000000000001</v>
      </c>
      <c r="Z17" s="49">
        <v>20.9</v>
      </c>
      <c r="AA17" s="49">
        <v>21</v>
      </c>
      <c r="AB17" s="49">
        <v>21.9</v>
      </c>
      <c r="AC17" s="49">
        <v>21.9</v>
      </c>
      <c r="AD17" s="49">
        <v>21.9</v>
      </c>
      <c r="AE17" s="49">
        <v>21.9</v>
      </c>
      <c r="AF17" s="49">
        <v>22</v>
      </c>
      <c r="AG17" s="59">
        <v>22.1</v>
      </c>
      <c r="AH17" s="52">
        <f t="shared" si="2"/>
        <v>29.4</v>
      </c>
      <c r="AI17" s="53">
        <f t="shared" si="3"/>
        <v>19.2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16.899999999999999</v>
      </c>
      <c r="C19" s="56">
        <v>14.5</v>
      </c>
      <c r="D19" s="56">
        <v>12.9</v>
      </c>
      <c r="E19" s="56">
        <v>10.199999999999999</v>
      </c>
      <c r="F19" s="56">
        <v>12</v>
      </c>
      <c r="G19" s="56">
        <v>12</v>
      </c>
      <c r="H19" s="56">
        <v>12</v>
      </c>
      <c r="I19" s="56">
        <v>12</v>
      </c>
      <c r="J19" s="56">
        <v>11.5</v>
      </c>
      <c r="K19" s="56">
        <v>10.7</v>
      </c>
      <c r="L19" s="49">
        <v>10.199999999999999</v>
      </c>
      <c r="M19" s="49">
        <v>9.8000000000000007</v>
      </c>
      <c r="N19" s="49">
        <v>8.8000000000000007</v>
      </c>
      <c r="O19" s="49">
        <v>10.6</v>
      </c>
      <c r="P19" s="49">
        <v>7.9</v>
      </c>
      <c r="Q19" s="49">
        <v>7.2</v>
      </c>
      <c r="R19" s="49">
        <v>6.8</v>
      </c>
      <c r="S19" s="49">
        <v>9.4</v>
      </c>
      <c r="T19" s="49">
        <v>9.1</v>
      </c>
      <c r="U19" s="49">
        <v>10</v>
      </c>
      <c r="V19" s="49">
        <v>10</v>
      </c>
      <c r="W19" s="49">
        <v>9.3000000000000007</v>
      </c>
      <c r="X19" s="49">
        <v>11.1</v>
      </c>
      <c r="Y19" s="49">
        <v>11.1</v>
      </c>
      <c r="Z19" s="49">
        <v>10.8</v>
      </c>
      <c r="AA19" s="49">
        <v>12.2</v>
      </c>
      <c r="AB19" s="49">
        <v>13.9</v>
      </c>
      <c r="AC19" s="49">
        <v>20.6</v>
      </c>
      <c r="AD19" s="49">
        <v>22</v>
      </c>
      <c r="AE19" s="49">
        <v>20.6</v>
      </c>
      <c r="AF19" s="49">
        <v>20.3</v>
      </c>
      <c r="AG19" s="59">
        <v>22</v>
      </c>
      <c r="AH19" s="52">
        <f t="shared" si="2"/>
        <v>22</v>
      </c>
      <c r="AI19" s="53">
        <f t="shared" si="3"/>
        <v>6.8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49">
        <v>7</v>
      </c>
      <c r="M20" s="49">
        <v>7</v>
      </c>
      <c r="N20" s="49">
        <v>7</v>
      </c>
      <c r="O20" s="49">
        <v>7</v>
      </c>
      <c r="P20" s="49">
        <v>7</v>
      </c>
      <c r="Q20" s="49">
        <v>7</v>
      </c>
      <c r="R20" s="49">
        <v>7</v>
      </c>
      <c r="S20" s="49">
        <v>7</v>
      </c>
      <c r="T20" s="49">
        <v>7</v>
      </c>
      <c r="U20" s="49">
        <v>7</v>
      </c>
      <c r="V20" s="49">
        <v>7</v>
      </c>
      <c r="W20" s="49">
        <v>7</v>
      </c>
      <c r="X20" s="49">
        <v>7</v>
      </c>
      <c r="Y20" s="49">
        <v>7</v>
      </c>
      <c r="Z20" s="49">
        <v>7</v>
      </c>
      <c r="AA20" s="49">
        <v>7</v>
      </c>
      <c r="AB20" s="49">
        <v>7</v>
      </c>
      <c r="AC20" s="49">
        <v>7</v>
      </c>
      <c r="AD20" s="49">
        <v>7</v>
      </c>
      <c r="AE20" s="49">
        <v>7</v>
      </c>
      <c r="AF20" s="49">
        <v>7</v>
      </c>
      <c r="AG20" s="59">
        <v>22</v>
      </c>
      <c r="AH20" s="52">
        <f t="shared" si="2"/>
        <v>7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49">
        <v>3.5</v>
      </c>
      <c r="M21" s="49">
        <v>3.5</v>
      </c>
      <c r="N21" s="49">
        <v>3.5</v>
      </c>
      <c r="O21" s="49">
        <v>3.5</v>
      </c>
      <c r="P21" s="49">
        <v>3.5</v>
      </c>
      <c r="Q21" s="49">
        <v>3.5</v>
      </c>
      <c r="R21" s="49">
        <v>3.5</v>
      </c>
      <c r="S21" s="49">
        <v>3.5</v>
      </c>
      <c r="T21" s="49">
        <v>3.5</v>
      </c>
      <c r="U21" s="49">
        <v>3.5</v>
      </c>
      <c r="V21" s="49">
        <v>3.5</v>
      </c>
      <c r="W21" s="49">
        <v>3.5</v>
      </c>
      <c r="X21" s="49">
        <v>3.5</v>
      </c>
      <c r="Y21" s="49">
        <v>3.5</v>
      </c>
      <c r="Z21" s="49">
        <v>3.5</v>
      </c>
      <c r="AA21" s="49">
        <v>3.5</v>
      </c>
      <c r="AB21" s="49">
        <v>3.5</v>
      </c>
      <c r="AC21" s="49">
        <v>3.5</v>
      </c>
      <c r="AD21" s="49">
        <v>3.5</v>
      </c>
      <c r="AE21" s="49">
        <v>3.5</v>
      </c>
      <c r="AF21" s="49">
        <v>3.5</v>
      </c>
      <c r="AG21" s="59">
        <v>14.9</v>
      </c>
      <c r="AH21" s="52">
        <f t="shared" si="2"/>
        <v>3.5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8</v>
      </c>
      <c r="S24" s="56">
        <v>8</v>
      </c>
      <c r="T24" s="56">
        <v>8</v>
      </c>
      <c r="U24" s="56">
        <v>8</v>
      </c>
      <c r="V24" s="56">
        <v>8</v>
      </c>
      <c r="W24" s="56">
        <v>8</v>
      </c>
      <c r="X24" s="56">
        <v>8</v>
      </c>
      <c r="Y24" s="56">
        <v>8</v>
      </c>
      <c r="Z24" s="56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59">
        <v>12</v>
      </c>
      <c r="AH24" s="52">
        <f t="shared" si="2"/>
        <v>8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36.799999999999997</v>
      </c>
      <c r="C29" s="56">
        <v>39.4</v>
      </c>
      <c r="D29" s="56">
        <v>40.4</v>
      </c>
      <c r="E29" s="56">
        <v>41.6</v>
      </c>
      <c r="F29" s="56">
        <v>39.700000000000003</v>
      </c>
      <c r="G29" s="56">
        <v>33.5</v>
      </c>
      <c r="H29" s="56">
        <v>37.4</v>
      </c>
      <c r="I29" s="56">
        <v>35.299999999999997</v>
      </c>
      <c r="J29" s="56">
        <v>35.4</v>
      </c>
      <c r="K29" s="56">
        <v>35.299999999999997</v>
      </c>
      <c r="L29" s="67">
        <v>36.9</v>
      </c>
      <c r="M29" s="67">
        <v>37.799999999999997</v>
      </c>
      <c r="N29" s="67">
        <v>38</v>
      </c>
      <c r="O29" s="67">
        <v>35.1</v>
      </c>
      <c r="P29" s="67">
        <v>31.5</v>
      </c>
      <c r="Q29" s="67">
        <v>35.299999999999997</v>
      </c>
      <c r="R29" s="67">
        <v>38.6</v>
      </c>
      <c r="S29" s="67">
        <v>39.200000000000003</v>
      </c>
      <c r="T29" s="67">
        <v>39.299999999999997</v>
      </c>
      <c r="U29" s="67">
        <v>45.5</v>
      </c>
      <c r="V29" s="67">
        <v>45.8</v>
      </c>
      <c r="W29" s="67">
        <v>42.7</v>
      </c>
      <c r="X29" s="67">
        <v>38.299999999999997</v>
      </c>
      <c r="Y29" s="67">
        <v>37.5</v>
      </c>
      <c r="Z29" s="67">
        <v>36.299999999999997</v>
      </c>
      <c r="AA29" s="67">
        <v>37</v>
      </c>
      <c r="AB29" s="67">
        <v>37.299999999999997</v>
      </c>
      <c r="AC29" s="67">
        <v>38.200000000000003</v>
      </c>
      <c r="AD29" s="67">
        <v>39.6</v>
      </c>
      <c r="AE29" s="56">
        <v>40.799999999999997</v>
      </c>
      <c r="AF29" s="56">
        <v>41.7</v>
      </c>
      <c r="AG29" s="59">
        <v>240</v>
      </c>
      <c r="AH29" s="52">
        <f t="shared" si="2"/>
        <v>45.8</v>
      </c>
      <c r="AI29" s="53">
        <f t="shared" si="3"/>
        <v>31.5</v>
      </c>
      <c r="AK29" s="54"/>
    </row>
    <row r="30" spans="1:88" ht="15.75" thickBot="1" x14ac:dyDescent="0.3">
      <c r="A30" s="68" t="s">
        <v>37</v>
      </c>
      <c r="B30" s="69">
        <f>SUM(B11:B28)</f>
        <v>321.2</v>
      </c>
      <c r="C30" s="69">
        <f t="shared" ref="C30:AF30" si="4">SUM(C11:C28)</f>
        <v>320.10000000000002</v>
      </c>
      <c r="D30" s="69">
        <f t="shared" si="4"/>
        <v>317.20000000000005</v>
      </c>
      <c r="E30" s="69">
        <f t="shared" si="4"/>
        <v>310</v>
      </c>
      <c r="F30" s="69">
        <f t="shared" si="4"/>
        <v>307.7</v>
      </c>
      <c r="G30" s="69">
        <f t="shared" si="4"/>
        <v>306.5</v>
      </c>
      <c r="H30" s="69">
        <f t="shared" si="4"/>
        <v>308.19999999999993</v>
      </c>
      <c r="I30" s="69">
        <f t="shared" si="4"/>
        <v>307.60000000000002</v>
      </c>
      <c r="J30" s="69">
        <f t="shared" si="4"/>
        <v>306</v>
      </c>
      <c r="K30" s="69">
        <f t="shared" si="4"/>
        <v>312.59999999999997</v>
      </c>
      <c r="L30" s="69">
        <f t="shared" si="4"/>
        <v>301.29999999999995</v>
      </c>
      <c r="M30" s="69">
        <f t="shared" si="4"/>
        <v>302.2</v>
      </c>
      <c r="N30" s="69">
        <f t="shared" si="4"/>
        <v>299.10000000000002</v>
      </c>
      <c r="O30" s="69">
        <f t="shared" si="4"/>
        <v>300.7</v>
      </c>
      <c r="P30" s="69">
        <f t="shared" si="4"/>
        <v>298.2</v>
      </c>
      <c r="Q30" s="69">
        <f t="shared" si="4"/>
        <v>294.7</v>
      </c>
      <c r="R30" s="69">
        <f t="shared" si="4"/>
        <v>300.89999999999998</v>
      </c>
      <c r="S30" s="69">
        <f t="shared" si="4"/>
        <v>302.8</v>
      </c>
      <c r="T30" s="69">
        <f t="shared" si="4"/>
        <v>302.79999999999995</v>
      </c>
      <c r="U30" s="69">
        <f t="shared" si="4"/>
        <v>306</v>
      </c>
      <c r="V30" s="69">
        <f>SUM(V11:V28)</f>
        <v>305.89999999999998</v>
      </c>
      <c r="W30" s="69">
        <f t="shared" si="4"/>
        <v>309.79999999999995</v>
      </c>
      <c r="X30" s="69">
        <f t="shared" si="4"/>
        <v>315.2</v>
      </c>
      <c r="Y30" s="69">
        <f t="shared" si="4"/>
        <v>315.2</v>
      </c>
      <c r="Z30" s="69">
        <f t="shared" si="4"/>
        <v>308.5</v>
      </c>
      <c r="AA30" s="69">
        <f t="shared" si="4"/>
        <v>310.7</v>
      </c>
      <c r="AB30" s="69">
        <f t="shared" si="4"/>
        <v>314.2</v>
      </c>
      <c r="AC30" s="69">
        <f t="shared" si="4"/>
        <v>319.59999999999997</v>
      </c>
      <c r="AD30" s="69">
        <f t="shared" si="4"/>
        <v>319.10000000000002</v>
      </c>
      <c r="AE30" s="69">
        <f t="shared" si="4"/>
        <v>322.39999999999998</v>
      </c>
      <c r="AF30" s="69">
        <f t="shared" si="4"/>
        <v>321</v>
      </c>
      <c r="AG30" s="59">
        <f>SUM(AG11:AG29)</f>
        <v>729.2</v>
      </c>
      <c r="AH30" s="52">
        <f t="shared" si="2"/>
        <v>322.39999999999998</v>
      </c>
      <c r="AI30" s="53">
        <f t="shared" si="3"/>
        <v>294.7</v>
      </c>
      <c r="AK30" s="54"/>
    </row>
    <row r="31" spans="1:88" x14ac:dyDescent="0.25">
      <c r="A31" s="55" t="s">
        <v>38</v>
      </c>
      <c r="B31" s="56">
        <v>97.3</v>
      </c>
      <c r="C31" s="56">
        <v>97.1</v>
      </c>
      <c r="D31" s="56">
        <v>97</v>
      </c>
      <c r="E31" s="56">
        <v>96.9</v>
      </c>
      <c r="F31" s="56">
        <v>96.9</v>
      </c>
      <c r="G31" s="56">
        <v>97</v>
      </c>
      <c r="H31" s="56">
        <v>96.9</v>
      </c>
      <c r="I31" s="56">
        <v>97</v>
      </c>
      <c r="J31" s="56">
        <v>97</v>
      </c>
      <c r="K31" s="56">
        <v>97</v>
      </c>
      <c r="L31" s="49">
        <v>96.9</v>
      </c>
      <c r="M31" s="49">
        <v>97</v>
      </c>
      <c r="N31" s="49">
        <v>97</v>
      </c>
      <c r="O31" s="49">
        <v>96.9</v>
      </c>
      <c r="P31" s="49">
        <v>96.8</v>
      </c>
      <c r="Q31" s="49">
        <v>97</v>
      </c>
      <c r="R31" s="49">
        <v>96.7</v>
      </c>
      <c r="S31" s="49">
        <v>96.3</v>
      </c>
      <c r="T31" s="49">
        <v>97</v>
      </c>
      <c r="U31" s="49">
        <v>97</v>
      </c>
      <c r="V31" s="49">
        <v>97</v>
      </c>
      <c r="W31" s="49">
        <v>97</v>
      </c>
      <c r="X31" s="49">
        <v>97</v>
      </c>
      <c r="Y31" s="49">
        <v>97</v>
      </c>
      <c r="Z31" s="49">
        <v>97</v>
      </c>
      <c r="AA31" s="49">
        <v>97</v>
      </c>
      <c r="AB31" s="48">
        <v>97</v>
      </c>
      <c r="AC31" s="48">
        <v>97</v>
      </c>
      <c r="AD31" s="48">
        <v>97</v>
      </c>
      <c r="AE31" s="48">
        <v>97</v>
      </c>
      <c r="AF31" s="48">
        <v>97</v>
      </c>
      <c r="AG31" s="57">
        <v>144</v>
      </c>
      <c r="AH31" s="52">
        <f t="shared" si="2"/>
        <v>97.3</v>
      </c>
      <c r="AI31" s="53">
        <f t="shared" si="3"/>
        <v>96.3</v>
      </c>
      <c r="AK31" s="54"/>
    </row>
    <row r="32" spans="1:88" x14ac:dyDescent="0.25">
      <c r="A32" s="58" t="s">
        <v>39</v>
      </c>
      <c r="B32" s="56">
        <v>0</v>
      </c>
      <c r="C32" s="56">
        <v>0</v>
      </c>
      <c r="D32" s="56">
        <v>34.700000000000003</v>
      </c>
      <c r="E32" s="56">
        <v>34.700000000000003</v>
      </c>
      <c r="F32" s="56">
        <v>34.799999999999997</v>
      </c>
      <c r="G32" s="56">
        <v>35.299999999999997</v>
      </c>
      <c r="H32" s="56">
        <v>35.299999999999997</v>
      </c>
      <c r="I32" s="56">
        <v>67</v>
      </c>
      <c r="J32" s="56">
        <v>69.900000000000006</v>
      </c>
      <c r="K32" s="56">
        <v>69.7</v>
      </c>
      <c r="L32" s="70">
        <v>69.099999999999994</v>
      </c>
      <c r="M32" s="70">
        <v>70</v>
      </c>
      <c r="N32" s="70">
        <v>49.9</v>
      </c>
      <c r="O32" s="70">
        <v>59.4</v>
      </c>
      <c r="P32" s="70">
        <v>49.3</v>
      </c>
      <c r="Q32" s="70">
        <v>46.1</v>
      </c>
      <c r="R32" s="70">
        <v>61</v>
      </c>
      <c r="S32" s="70">
        <v>56</v>
      </c>
      <c r="T32" s="70">
        <v>51.9</v>
      </c>
      <c r="U32" s="70">
        <v>44.5</v>
      </c>
      <c r="V32" s="70">
        <v>45</v>
      </c>
      <c r="W32" s="70">
        <v>54.7</v>
      </c>
      <c r="X32" s="70">
        <v>69.3</v>
      </c>
      <c r="Y32" s="70">
        <v>69.2</v>
      </c>
      <c r="Z32" s="70">
        <v>70.8</v>
      </c>
      <c r="AA32" s="70">
        <v>70.8</v>
      </c>
      <c r="AB32" s="56">
        <v>69.5</v>
      </c>
      <c r="AC32" s="56">
        <v>69.8</v>
      </c>
      <c r="AD32" s="56">
        <v>50</v>
      </c>
      <c r="AE32" s="56">
        <v>19.399999999999999</v>
      </c>
      <c r="AF32" s="56">
        <v>0</v>
      </c>
      <c r="AG32" s="59">
        <v>70</v>
      </c>
      <c r="AH32" s="52">
        <f t="shared" si="2"/>
        <v>70.8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67</v>
      </c>
      <c r="C33" s="56">
        <v>67</v>
      </c>
      <c r="D33" s="56">
        <v>61.6</v>
      </c>
      <c r="E33" s="56">
        <v>62.2</v>
      </c>
      <c r="F33" s="56">
        <v>62.2</v>
      </c>
      <c r="G33" s="56">
        <v>63.8</v>
      </c>
      <c r="H33" s="56">
        <v>63.4</v>
      </c>
      <c r="I33" s="56">
        <v>63.3</v>
      </c>
      <c r="J33" s="56">
        <v>63.3</v>
      </c>
      <c r="K33" s="56">
        <v>66</v>
      </c>
      <c r="L33" s="70">
        <v>66.599999999999994</v>
      </c>
      <c r="M33" s="70">
        <v>66</v>
      </c>
      <c r="N33" s="70">
        <v>16</v>
      </c>
      <c r="O33" s="70">
        <v>17.8</v>
      </c>
      <c r="P33" s="70">
        <v>16</v>
      </c>
      <c r="Q33" s="70">
        <v>0</v>
      </c>
      <c r="R33" s="70">
        <v>0</v>
      </c>
      <c r="S33" s="70">
        <v>43</v>
      </c>
      <c r="T33" s="70">
        <v>60.6</v>
      </c>
      <c r="U33" s="70">
        <v>66.8</v>
      </c>
      <c r="V33" s="70">
        <v>59.5</v>
      </c>
      <c r="W33" s="70">
        <v>67</v>
      </c>
      <c r="X33" s="70">
        <v>66.7</v>
      </c>
      <c r="Y33" s="70">
        <v>66.599999999999994</v>
      </c>
      <c r="Z33" s="70">
        <v>66.5</v>
      </c>
      <c r="AA33" s="70">
        <v>66.5</v>
      </c>
      <c r="AB33" s="56">
        <v>66.7</v>
      </c>
      <c r="AC33" s="56">
        <v>66.2</v>
      </c>
      <c r="AD33" s="56">
        <v>65.900000000000006</v>
      </c>
      <c r="AE33" s="56">
        <v>66</v>
      </c>
      <c r="AF33" s="56">
        <v>58</v>
      </c>
      <c r="AG33" s="59">
        <v>69</v>
      </c>
      <c r="AH33" s="52">
        <f t="shared" si="2"/>
        <v>67</v>
      </c>
      <c r="AI33" s="53">
        <f t="shared" si="3"/>
        <v>0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28.5</v>
      </c>
      <c r="E34" s="56">
        <v>28.2</v>
      </c>
      <c r="F34" s="56">
        <v>28.2</v>
      </c>
      <c r="G34" s="56">
        <v>28.2</v>
      </c>
      <c r="H34" s="56">
        <v>28.2</v>
      </c>
      <c r="I34" s="56">
        <v>28.5</v>
      </c>
      <c r="J34" s="56">
        <v>28.5</v>
      </c>
      <c r="K34" s="56">
        <v>28.2</v>
      </c>
      <c r="L34" s="70">
        <v>28.2</v>
      </c>
      <c r="M34" s="70">
        <v>28.2</v>
      </c>
      <c r="N34" s="70">
        <v>28.2</v>
      </c>
      <c r="O34" s="70">
        <v>27.2</v>
      </c>
      <c r="P34" s="70">
        <v>28.2</v>
      </c>
      <c r="Q34" s="70">
        <v>29</v>
      </c>
      <c r="R34" s="70">
        <v>29</v>
      </c>
      <c r="S34" s="70">
        <v>28.7</v>
      </c>
      <c r="T34" s="70">
        <v>28.7</v>
      </c>
      <c r="U34" s="70">
        <v>28.7</v>
      </c>
      <c r="V34" s="70">
        <v>28.7</v>
      </c>
      <c r="W34" s="70">
        <v>28.7</v>
      </c>
      <c r="X34" s="70">
        <v>28.7</v>
      </c>
      <c r="Y34" s="70">
        <v>28.7</v>
      </c>
      <c r="Z34" s="70">
        <v>28.7</v>
      </c>
      <c r="AA34" s="70">
        <v>28.7</v>
      </c>
      <c r="AB34" s="56">
        <v>29.7</v>
      </c>
      <c r="AC34" s="56">
        <v>29</v>
      </c>
      <c r="AD34" s="56">
        <v>29</v>
      </c>
      <c r="AE34" s="56">
        <v>29</v>
      </c>
      <c r="AF34" s="56">
        <v>29</v>
      </c>
      <c r="AG34" s="59">
        <v>60</v>
      </c>
      <c r="AH34" s="52">
        <f t="shared" si="2"/>
        <v>29.7</v>
      </c>
      <c r="AI34" s="53">
        <f t="shared" si="3"/>
        <v>27.2</v>
      </c>
      <c r="AK34" s="54"/>
    </row>
    <row r="35" spans="1:41" x14ac:dyDescent="0.25">
      <c r="A35" s="58" t="s">
        <v>42</v>
      </c>
      <c r="B35" s="56">
        <v>23</v>
      </c>
      <c r="C35" s="56">
        <v>20</v>
      </c>
      <c r="D35" s="56">
        <v>20</v>
      </c>
      <c r="E35" s="56">
        <v>20.2</v>
      </c>
      <c r="F35" s="56">
        <v>20.3</v>
      </c>
      <c r="G35" s="56">
        <v>20.9</v>
      </c>
      <c r="H35" s="56">
        <v>20.5</v>
      </c>
      <c r="I35" s="56">
        <v>20.5</v>
      </c>
      <c r="J35" s="56">
        <v>25.4</v>
      </c>
      <c r="K35" s="56">
        <v>29.4</v>
      </c>
      <c r="L35" s="49">
        <v>28.2</v>
      </c>
      <c r="M35" s="49">
        <v>28.1</v>
      </c>
      <c r="N35" s="49">
        <v>25</v>
      </c>
      <c r="O35" s="49">
        <v>21.2</v>
      </c>
      <c r="P35" s="49">
        <v>22</v>
      </c>
      <c r="Q35" s="49">
        <v>20</v>
      </c>
      <c r="R35" s="49">
        <v>25</v>
      </c>
      <c r="S35" s="49">
        <v>25</v>
      </c>
      <c r="T35" s="49">
        <v>21.1</v>
      </c>
      <c r="U35" s="49">
        <v>14.9</v>
      </c>
      <c r="V35" s="70">
        <v>10</v>
      </c>
      <c r="W35" s="70">
        <v>11</v>
      </c>
      <c r="X35" s="70">
        <v>10</v>
      </c>
      <c r="Y35" s="70">
        <v>10</v>
      </c>
      <c r="Z35" s="70">
        <v>25</v>
      </c>
      <c r="AA35" s="70">
        <v>30</v>
      </c>
      <c r="AB35" s="56">
        <v>30</v>
      </c>
      <c r="AC35" s="56">
        <v>25</v>
      </c>
      <c r="AD35" s="56">
        <v>28.7</v>
      </c>
      <c r="AE35" s="56">
        <v>20</v>
      </c>
      <c r="AF35" s="56">
        <v>20</v>
      </c>
      <c r="AG35" s="59">
        <v>30</v>
      </c>
      <c r="AH35" s="52">
        <f t="shared" si="2"/>
        <v>30</v>
      </c>
      <c r="AI35" s="53">
        <f t="shared" si="3"/>
        <v>10</v>
      </c>
      <c r="AK35" s="54"/>
    </row>
    <row r="36" spans="1:41" x14ac:dyDescent="0.25">
      <c r="A36" s="58" t="s">
        <v>43</v>
      </c>
      <c r="B36" s="71">
        <v>14.7</v>
      </c>
      <c r="C36" s="71">
        <v>14.7</v>
      </c>
      <c r="D36" s="71">
        <v>14.7</v>
      </c>
      <c r="E36" s="71">
        <v>14.7</v>
      </c>
      <c r="F36" s="71">
        <v>14.8</v>
      </c>
      <c r="G36" s="71">
        <v>14.7</v>
      </c>
      <c r="H36" s="71">
        <v>14.7</v>
      </c>
      <c r="I36" s="71">
        <v>14.7</v>
      </c>
      <c r="J36" s="71">
        <v>14.7</v>
      </c>
      <c r="K36" s="71">
        <v>14.9</v>
      </c>
      <c r="L36" s="49">
        <v>14.9</v>
      </c>
      <c r="M36" s="49">
        <v>14.8</v>
      </c>
      <c r="N36" s="49">
        <v>14.8</v>
      </c>
      <c r="O36" s="49">
        <v>12.2</v>
      </c>
      <c r="P36" s="49">
        <v>12</v>
      </c>
      <c r="Q36" s="49">
        <v>14.6</v>
      </c>
      <c r="R36" s="49">
        <v>14.5</v>
      </c>
      <c r="S36" s="49">
        <v>14.4</v>
      </c>
      <c r="T36" s="49">
        <v>14.4</v>
      </c>
      <c r="U36" s="49">
        <v>14.4</v>
      </c>
      <c r="V36" s="49">
        <v>14.4</v>
      </c>
      <c r="W36" s="49">
        <v>14.4</v>
      </c>
      <c r="X36" s="49">
        <v>14.6</v>
      </c>
      <c r="Y36" s="49">
        <v>14.6</v>
      </c>
      <c r="Z36" s="49">
        <v>14.5</v>
      </c>
      <c r="AA36" s="49">
        <v>14.5</v>
      </c>
      <c r="AB36" s="56">
        <v>14.5</v>
      </c>
      <c r="AC36" s="56">
        <v>14.5</v>
      </c>
      <c r="AD36" s="56">
        <v>14.5</v>
      </c>
      <c r="AE36" s="56">
        <v>14.6</v>
      </c>
      <c r="AF36" s="56">
        <v>14.6</v>
      </c>
      <c r="AG36" s="59">
        <v>24</v>
      </c>
      <c r="AH36" s="52">
        <f t="shared" si="2"/>
        <v>14.9</v>
      </c>
      <c r="AI36" s="53">
        <f t="shared" si="3"/>
        <v>12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56">
        <v>10</v>
      </c>
      <c r="O38" s="56">
        <v>10</v>
      </c>
      <c r="P38" s="56">
        <v>10</v>
      </c>
      <c r="Q38" s="56">
        <v>10</v>
      </c>
      <c r="R38" s="56">
        <v>10</v>
      </c>
      <c r="S38" s="56">
        <v>10</v>
      </c>
      <c r="T38" s="56">
        <v>10</v>
      </c>
      <c r="U38" s="56">
        <v>10</v>
      </c>
      <c r="V38" s="56">
        <v>10</v>
      </c>
      <c r="W38" s="56">
        <v>10</v>
      </c>
      <c r="X38" s="56">
        <v>10</v>
      </c>
      <c r="Y38" s="56">
        <v>10</v>
      </c>
      <c r="Z38" s="56">
        <v>12.5</v>
      </c>
      <c r="AA38" s="56">
        <v>12.5</v>
      </c>
      <c r="AB38" s="56">
        <v>12.6</v>
      </c>
      <c r="AC38" s="56">
        <v>13</v>
      </c>
      <c r="AD38" s="56">
        <v>13</v>
      </c>
      <c r="AE38" s="56">
        <v>13</v>
      </c>
      <c r="AF38" s="56">
        <v>13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8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71">
        <v>9.3000000000000007</v>
      </c>
      <c r="M39" s="71">
        <v>9.3000000000000007</v>
      </c>
      <c r="N39" s="71">
        <v>9.3000000000000007</v>
      </c>
      <c r="O39" s="71">
        <v>9.3000000000000007</v>
      </c>
      <c r="P39" s="71">
        <v>9.3000000000000007</v>
      </c>
      <c r="Q39" s="71">
        <v>9.3000000000000007</v>
      </c>
      <c r="R39" s="71">
        <v>9.3000000000000007</v>
      </c>
      <c r="S39" s="71">
        <v>9.3000000000000007</v>
      </c>
      <c r="T39" s="71">
        <v>9.3000000000000007</v>
      </c>
      <c r="U39" s="71">
        <v>9.3000000000000007</v>
      </c>
      <c r="V39" s="71">
        <v>9.3000000000000007</v>
      </c>
      <c r="W39" s="71">
        <v>9.3000000000000007</v>
      </c>
      <c r="X39" s="71">
        <v>9.3000000000000007</v>
      </c>
      <c r="Y39" s="71">
        <v>9.3000000000000007</v>
      </c>
      <c r="Z39" s="71">
        <v>8</v>
      </c>
      <c r="AA39" s="71">
        <v>8</v>
      </c>
      <c r="AB39" s="56">
        <v>8</v>
      </c>
      <c r="AC39" s="56">
        <v>8</v>
      </c>
      <c r="AD39" s="56">
        <v>8</v>
      </c>
      <c r="AE39" s="56">
        <v>8</v>
      </c>
      <c r="AF39" s="56">
        <v>8</v>
      </c>
      <c r="AG39" s="59">
        <v>14</v>
      </c>
      <c r="AH39" s="52">
        <f t="shared" si="2"/>
        <v>9.3000000000000007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5</v>
      </c>
      <c r="C40" s="56">
        <v>8.5</v>
      </c>
      <c r="D40" s="56">
        <v>8.4</v>
      </c>
      <c r="E40" s="56">
        <v>8.1999999999999993</v>
      </c>
      <c r="F40" s="56">
        <v>8.1999999999999993</v>
      </c>
      <c r="G40" s="56">
        <v>8.1999999999999993</v>
      </c>
      <c r="H40" s="56">
        <v>8.1999999999999993</v>
      </c>
      <c r="I40" s="56">
        <v>5.6</v>
      </c>
      <c r="J40" s="56">
        <v>5.7</v>
      </c>
      <c r="K40" s="56">
        <v>6.3</v>
      </c>
      <c r="L40" s="56">
        <v>6.3</v>
      </c>
      <c r="M40" s="56">
        <v>6.3</v>
      </c>
      <c r="N40" s="56">
        <v>6.3</v>
      </c>
      <c r="O40" s="56">
        <v>6.3</v>
      </c>
      <c r="P40" s="56">
        <v>6.3</v>
      </c>
      <c r="Q40" s="56">
        <v>6.3</v>
      </c>
      <c r="R40" s="56">
        <v>6.3</v>
      </c>
      <c r="S40" s="56">
        <v>6.3</v>
      </c>
      <c r="T40" s="56">
        <v>6.3</v>
      </c>
      <c r="U40" s="56">
        <v>6.3</v>
      </c>
      <c r="V40" s="56">
        <v>6.3</v>
      </c>
      <c r="W40" s="56">
        <v>6.3</v>
      </c>
      <c r="X40" s="56">
        <v>6.3</v>
      </c>
      <c r="Y40" s="56">
        <v>6.3</v>
      </c>
      <c r="Z40" s="56">
        <v>4.5999999999999996</v>
      </c>
      <c r="AA40" s="56">
        <v>4.5999999999999996</v>
      </c>
      <c r="AB40" s="56">
        <v>4.5999999999999996</v>
      </c>
      <c r="AC40" s="56">
        <v>4.5999999999999996</v>
      </c>
      <c r="AD40" s="56">
        <v>4.5999999999999996</v>
      </c>
      <c r="AE40" s="56">
        <v>4.5999999999999996</v>
      </c>
      <c r="AF40" s="56">
        <v>4.5999999999999996</v>
      </c>
      <c r="AG40" s="59">
        <v>10.050000000000001</v>
      </c>
      <c r="AH40" s="52">
        <f t="shared" si="2"/>
        <v>8.5</v>
      </c>
      <c r="AI40" s="53">
        <f t="shared" si="3"/>
        <v>4.5999999999999996</v>
      </c>
      <c r="AK40" s="54"/>
    </row>
    <row r="41" spans="1:41" x14ac:dyDescent="0.25">
      <c r="A41" s="58" t="s">
        <v>48</v>
      </c>
      <c r="B41" s="56">
        <v>3.2</v>
      </c>
      <c r="C41" s="56">
        <v>3.2</v>
      </c>
      <c r="D41" s="56">
        <v>3.2</v>
      </c>
      <c r="E41" s="56">
        <v>3.2</v>
      </c>
      <c r="F41" s="56">
        <v>3.2</v>
      </c>
      <c r="G41" s="56">
        <v>3.2</v>
      </c>
      <c r="H41" s="56">
        <v>3.2</v>
      </c>
      <c r="I41" s="56">
        <v>3.2</v>
      </c>
      <c r="J41" s="56">
        <v>3.2</v>
      </c>
      <c r="K41" s="56">
        <v>3.2</v>
      </c>
      <c r="L41" s="56">
        <v>3.2</v>
      </c>
      <c r="M41" s="56">
        <v>3.2</v>
      </c>
      <c r="N41" s="56">
        <v>3.2</v>
      </c>
      <c r="O41" s="56">
        <v>3.2</v>
      </c>
      <c r="P41" s="56">
        <v>3.2</v>
      </c>
      <c r="Q41" s="56">
        <v>3.2</v>
      </c>
      <c r="R41" s="56">
        <v>3.2</v>
      </c>
      <c r="S41" s="56">
        <v>3.2</v>
      </c>
      <c r="T41" s="56">
        <v>3.2</v>
      </c>
      <c r="U41" s="56">
        <v>3.2</v>
      </c>
      <c r="V41" s="56">
        <v>3.2</v>
      </c>
      <c r="W41" s="56">
        <v>3.2</v>
      </c>
      <c r="X41" s="56">
        <v>3.2</v>
      </c>
      <c r="Y41" s="56">
        <v>3.2</v>
      </c>
      <c r="Z41" s="56">
        <v>3.2</v>
      </c>
      <c r="AA41" s="56">
        <v>3.2</v>
      </c>
      <c r="AB41" s="56">
        <v>3.2</v>
      </c>
      <c r="AC41" s="56">
        <v>3.2</v>
      </c>
      <c r="AD41" s="56">
        <v>3.2</v>
      </c>
      <c r="AE41" s="56">
        <v>3.2</v>
      </c>
      <c r="AF41" s="56">
        <v>3.2</v>
      </c>
      <c r="AG41" s="59">
        <v>6.2</v>
      </c>
      <c r="AH41" s="52">
        <f t="shared" si="2"/>
        <v>3.2</v>
      </c>
      <c r="AI41" s="53">
        <f t="shared" si="3"/>
        <v>3.2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260.24</v>
      </c>
      <c r="C43" s="69">
        <f t="shared" si="6"/>
        <v>256.44</v>
      </c>
      <c r="D43" s="69">
        <f t="shared" si="6"/>
        <v>285.53999999999996</v>
      </c>
      <c r="E43" s="69">
        <f t="shared" si="6"/>
        <v>285.73999999999995</v>
      </c>
      <c r="F43" s="69">
        <f t="shared" si="6"/>
        <v>286.03999999999996</v>
      </c>
      <c r="G43" s="69">
        <f t="shared" si="6"/>
        <v>288.74</v>
      </c>
      <c r="H43" s="69">
        <f t="shared" si="6"/>
        <v>287.83999999999997</v>
      </c>
      <c r="I43" s="69">
        <f t="shared" si="6"/>
        <v>317.24</v>
      </c>
      <c r="J43" s="69">
        <f t="shared" si="6"/>
        <v>325.13999999999993</v>
      </c>
      <c r="K43" s="69">
        <f t="shared" si="6"/>
        <v>332.13999999999993</v>
      </c>
      <c r="L43" s="69">
        <f t="shared" si="6"/>
        <v>336.24</v>
      </c>
      <c r="M43" s="69">
        <f t="shared" si="6"/>
        <v>336.44000000000005</v>
      </c>
      <c r="N43" s="69">
        <f t="shared" si="6"/>
        <v>263.24</v>
      </c>
      <c r="O43" s="69">
        <f t="shared" si="6"/>
        <v>267.04000000000002</v>
      </c>
      <c r="P43" s="69">
        <f t="shared" si="6"/>
        <v>256.64</v>
      </c>
      <c r="Q43" s="69">
        <f t="shared" si="6"/>
        <v>239.04</v>
      </c>
      <c r="R43" s="69">
        <f t="shared" si="6"/>
        <v>258.54000000000002</v>
      </c>
      <c r="S43" s="69">
        <f t="shared" si="6"/>
        <v>295.74</v>
      </c>
      <c r="T43" s="69">
        <f t="shared" si="6"/>
        <v>306.04000000000002</v>
      </c>
      <c r="U43" s="69">
        <f t="shared" si="6"/>
        <v>298.64000000000004</v>
      </c>
      <c r="V43" s="69">
        <f t="shared" si="6"/>
        <v>286.94000000000005</v>
      </c>
      <c r="W43" s="69">
        <f t="shared" si="6"/>
        <v>305.14</v>
      </c>
      <c r="X43" s="69">
        <f t="shared" si="6"/>
        <v>318.64000000000004</v>
      </c>
      <c r="Y43" s="69">
        <f t="shared" si="6"/>
        <v>318.44000000000005</v>
      </c>
      <c r="Z43" s="69">
        <f t="shared" si="6"/>
        <v>334.34000000000003</v>
      </c>
      <c r="AA43" s="69">
        <f t="shared" si="6"/>
        <v>339.34000000000003</v>
      </c>
      <c r="AB43" s="69">
        <f t="shared" si="6"/>
        <v>339.34000000000003</v>
      </c>
      <c r="AC43" s="69">
        <f t="shared" si="6"/>
        <v>333.84000000000003</v>
      </c>
      <c r="AD43" s="69">
        <f t="shared" si="6"/>
        <v>317.44000000000005</v>
      </c>
      <c r="AE43" s="69">
        <f t="shared" si="6"/>
        <v>278.34000000000003</v>
      </c>
      <c r="AF43" s="69">
        <f t="shared" si="6"/>
        <v>250.93999999999997</v>
      </c>
      <c r="AG43" s="74">
        <f>SUM(AG31:AG42)</f>
        <v>464.91</v>
      </c>
      <c r="AH43" s="52">
        <f t="shared" si="2"/>
        <v>339.34000000000003</v>
      </c>
      <c r="AI43" s="53">
        <f t="shared" si="3"/>
        <v>239.04</v>
      </c>
      <c r="AK43" s="54"/>
    </row>
    <row r="44" spans="1:41" x14ac:dyDescent="0.25">
      <c r="A44" s="55" t="s">
        <v>51</v>
      </c>
      <c r="B44" s="56">
        <v>39.6</v>
      </c>
      <c r="C44" s="56">
        <v>40</v>
      </c>
      <c r="D44" s="56">
        <v>28.9</v>
      </c>
      <c r="E44" s="56">
        <v>28.9</v>
      </c>
      <c r="F44" s="56">
        <v>9.8000000000000007</v>
      </c>
      <c r="G44" s="56">
        <v>0</v>
      </c>
      <c r="H44" s="56">
        <v>0</v>
      </c>
      <c r="I44" s="56">
        <v>0</v>
      </c>
      <c r="J44" s="56">
        <v>0</v>
      </c>
      <c r="K44" s="56">
        <v>29</v>
      </c>
      <c r="L44" s="75">
        <v>13.8</v>
      </c>
      <c r="M44" s="75">
        <v>13.1</v>
      </c>
      <c r="N44" s="75">
        <v>13.7</v>
      </c>
      <c r="O44" s="75">
        <v>13.4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25</v>
      </c>
      <c r="Y44" s="49">
        <v>14</v>
      </c>
      <c r="Z44" s="49">
        <v>59.4</v>
      </c>
      <c r="AA44" s="49">
        <v>60</v>
      </c>
      <c r="AB44" s="49">
        <v>59.9</v>
      </c>
      <c r="AC44" s="49">
        <v>59.9</v>
      </c>
      <c r="AD44" s="49">
        <v>29.7</v>
      </c>
      <c r="AE44" s="49">
        <v>10</v>
      </c>
      <c r="AF44" s="49">
        <v>0</v>
      </c>
      <c r="AG44" s="57">
        <v>60</v>
      </c>
      <c r="AH44" s="52">
        <f t="shared" si="2"/>
        <v>60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17.3</v>
      </c>
      <c r="C45" s="56">
        <v>18.3</v>
      </c>
      <c r="D45" s="56">
        <v>15.2</v>
      </c>
      <c r="E45" s="56">
        <v>15.3</v>
      </c>
      <c r="F45" s="56">
        <v>4.5</v>
      </c>
      <c r="G45" s="56">
        <v>5.0999999999999996</v>
      </c>
      <c r="H45" s="56">
        <v>0</v>
      </c>
      <c r="I45" s="56">
        <v>0</v>
      </c>
      <c r="J45" s="56">
        <v>0</v>
      </c>
      <c r="K45" s="56">
        <v>15</v>
      </c>
      <c r="L45" s="75">
        <v>6</v>
      </c>
      <c r="M45" s="75">
        <v>6.1</v>
      </c>
      <c r="N45" s="75">
        <v>6.7</v>
      </c>
      <c r="O45" s="75">
        <v>15.6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10</v>
      </c>
      <c r="Y45" s="70">
        <v>6.7</v>
      </c>
      <c r="Z45" s="70">
        <v>24</v>
      </c>
      <c r="AA45" s="70">
        <v>30</v>
      </c>
      <c r="AB45" s="70">
        <v>30.1</v>
      </c>
      <c r="AC45" s="70">
        <v>30.2</v>
      </c>
      <c r="AD45" s="70">
        <v>14.7</v>
      </c>
      <c r="AE45" s="70">
        <v>9.1999999999999993</v>
      </c>
      <c r="AF45" s="70">
        <v>0</v>
      </c>
      <c r="AG45" s="59">
        <v>32</v>
      </c>
      <c r="AH45" s="52">
        <f t="shared" si="2"/>
        <v>30.2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6.3</v>
      </c>
      <c r="C46" s="71">
        <v>6.7</v>
      </c>
      <c r="D46" s="71">
        <v>5.6</v>
      </c>
      <c r="E46" s="71">
        <v>5.6</v>
      </c>
      <c r="F46" s="71">
        <v>1.7</v>
      </c>
      <c r="G46" s="71">
        <v>1.9</v>
      </c>
      <c r="H46" s="71">
        <v>0</v>
      </c>
      <c r="I46" s="71">
        <v>0</v>
      </c>
      <c r="J46" s="71">
        <v>0</v>
      </c>
      <c r="K46" s="71">
        <v>5.5</v>
      </c>
      <c r="L46" s="76">
        <v>2.2000000000000002</v>
      </c>
      <c r="M46" s="76">
        <v>2.2000000000000002</v>
      </c>
      <c r="N46" s="76">
        <v>2.4</v>
      </c>
      <c r="O46" s="76">
        <v>5.7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2.9</v>
      </c>
      <c r="Y46" s="77">
        <v>2.5</v>
      </c>
      <c r="Z46" s="77">
        <v>9</v>
      </c>
      <c r="AA46" s="77">
        <v>11</v>
      </c>
      <c r="AB46" s="77">
        <v>11</v>
      </c>
      <c r="AC46" s="77">
        <v>11</v>
      </c>
      <c r="AD46" s="77">
        <v>5.4</v>
      </c>
      <c r="AE46" s="77">
        <v>3.4</v>
      </c>
      <c r="AF46" s="77">
        <v>0</v>
      </c>
      <c r="AG46" s="78">
        <v>14</v>
      </c>
      <c r="AH46" s="52">
        <f t="shared" si="2"/>
        <v>11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63.2</v>
      </c>
      <c r="C47" s="69">
        <f t="shared" ref="C47:AF47" si="7">SUM(C44:C46)</f>
        <v>65</v>
      </c>
      <c r="D47" s="69">
        <f t="shared" si="7"/>
        <v>49.699999999999996</v>
      </c>
      <c r="E47" s="69">
        <f t="shared" si="7"/>
        <v>49.800000000000004</v>
      </c>
      <c r="F47" s="69">
        <f t="shared" si="7"/>
        <v>16</v>
      </c>
      <c r="G47" s="69">
        <f t="shared" si="7"/>
        <v>7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49.5</v>
      </c>
      <c r="L47" s="69">
        <f t="shared" si="7"/>
        <v>22</v>
      </c>
      <c r="M47" s="69">
        <f t="shared" si="7"/>
        <v>21.4</v>
      </c>
      <c r="N47" s="69">
        <f t="shared" si="7"/>
        <v>22.799999999999997</v>
      </c>
      <c r="O47" s="69">
        <f t="shared" si="7"/>
        <v>34.700000000000003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37.9</v>
      </c>
      <c r="Y47" s="69">
        <f t="shared" si="7"/>
        <v>23.2</v>
      </c>
      <c r="Z47" s="69">
        <f t="shared" si="7"/>
        <v>92.4</v>
      </c>
      <c r="AA47" s="69">
        <f t="shared" si="7"/>
        <v>101</v>
      </c>
      <c r="AB47" s="69">
        <f t="shared" si="7"/>
        <v>101</v>
      </c>
      <c r="AC47" s="69">
        <f t="shared" si="7"/>
        <v>101.1</v>
      </c>
      <c r="AD47" s="69">
        <f t="shared" si="7"/>
        <v>49.8</v>
      </c>
      <c r="AE47" s="69">
        <f t="shared" si="7"/>
        <v>22.599999999999998</v>
      </c>
      <c r="AF47" s="69">
        <f t="shared" si="7"/>
        <v>0</v>
      </c>
      <c r="AG47" s="74">
        <f>SUM(AG44:AG46)</f>
        <v>106</v>
      </c>
      <c r="AH47" s="52">
        <f t="shared" si="2"/>
        <v>101.1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68.900000000000006</v>
      </c>
      <c r="C48" s="49">
        <v>68.91</v>
      </c>
      <c r="D48" s="49">
        <v>66.180000000000007</v>
      </c>
      <c r="E48" s="49">
        <v>63.31</v>
      </c>
      <c r="F48" s="49">
        <v>60.1</v>
      </c>
      <c r="G48" s="49">
        <v>53.8</v>
      </c>
      <c r="H48" s="49">
        <v>61.9</v>
      </c>
      <c r="I48" s="49">
        <v>69.64</v>
      </c>
      <c r="J48" s="49">
        <v>69</v>
      </c>
      <c r="K48" s="49">
        <v>69.12</v>
      </c>
      <c r="L48" s="49">
        <v>68.8</v>
      </c>
      <c r="M48" s="49">
        <v>65.78</v>
      </c>
      <c r="N48" s="49">
        <v>61.57</v>
      </c>
      <c r="O48" s="49">
        <v>75.400000000000006</v>
      </c>
      <c r="P48" s="49">
        <v>76.150000000000006</v>
      </c>
      <c r="Q48" s="49">
        <v>75.599999999999994</v>
      </c>
      <c r="R48" s="49">
        <v>75</v>
      </c>
      <c r="S48" s="49">
        <v>67.400000000000006</v>
      </c>
      <c r="T48" s="49">
        <v>65.5</v>
      </c>
      <c r="U48" s="49">
        <v>65.2</v>
      </c>
      <c r="V48" s="49">
        <v>57</v>
      </c>
      <c r="W48" s="49">
        <v>64</v>
      </c>
      <c r="X48" s="49">
        <v>53.3</v>
      </c>
      <c r="Y48" s="49">
        <v>56</v>
      </c>
      <c r="Z48" s="49">
        <v>59</v>
      </c>
      <c r="AA48" s="49">
        <v>66</v>
      </c>
      <c r="AB48" s="49">
        <v>63.02</v>
      </c>
      <c r="AC48" s="49">
        <v>70</v>
      </c>
      <c r="AD48" s="49">
        <v>71</v>
      </c>
      <c r="AE48" s="49">
        <v>70.400000000000006</v>
      </c>
      <c r="AF48" s="49">
        <v>68</v>
      </c>
      <c r="AG48" s="57"/>
      <c r="AH48" s="52">
        <f t="shared" si="2"/>
        <v>76.150000000000006</v>
      </c>
      <c r="AI48" s="53">
        <f t="shared" si="3"/>
        <v>53.3</v>
      </c>
      <c r="AK48" s="54"/>
    </row>
    <row r="49" spans="1:37" x14ac:dyDescent="0.25">
      <c r="A49" s="58" t="s">
        <v>56</v>
      </c>
      <c r="B49" s="70">
        <v>90.5</v>
      </c>
      <c r="C49" s="70">
        <v>87.1</v>
      </c>
      <c r="D49" s="70">
        <v>82.9</v>
      </c>
      <c r="E49" s="70">
        <v>84.9</v>
      </c>
      <c r="F49" s="70">
        <v>82.5</v>
      </c>
      <c r="G49" s="70">
        <v>80.599999999999994</v>
      </c>
      <c r="H49" s="70">
        <v>68.8</v>
      </c>
      <c r="I49" s="70">
        <v>0</v>
      </c>
      <c r="J49" s="70">
        <v>53.2</v>
      </c>
      <c r="K49" s="70">
        <v>51.7</v>
      </c>
      <c r="L49" s="49">
        <v>62</v>
      </c>
      <c r="M49" s="49">
        <v>64.3</v>
      </c>
      <c r="N49" s="49">
        <v>73.7</v>
      </c>
      <c r="O49" s="49">
        <v>76.8</v>
      </c>
      <c r="P49" s="49">
        <v>66.400000000000006</v>
      </c>
      <c r="Q49" s="49">
        <v>68.599999999999994</v>
      </c>
      <c r="R49" s="49">
        <v>78.3</v>
      </c>
      <c r="S49" s="49">
        <v>79</v>
      </c>
      <c r="T49" s="49">
        <v>105</v>
      </c>
      <c r="U49" s="79">
        <f>70.5+32</f>
        <v>102.5</v>
      </c>
      <c r="V49" s="79">
        <v>110</v>
      </c>
      <c r="W49" s="79">
        <v>120</v>
      </c>
      <c r="X49" s="79">
        <v>106</v>
      </c>
      <c r="Y49" s="79">
        <v>115</v>
      </c>
      <c r="Z49" s="79">
        <v>129</v>
      </c>
      <c r="AA49" s="70">
        <v>124</v>
      </c>
      <c r="AB49" s="70">
        <v>120</v>
      </c>
      <c r="AC49" s="70">
        <v>162</v>
      </c>
      <c r="AD49" s="70">
        <v>156</v>
      </c>
      <c r="AE49" s="70">
        <v>148</v>
      </c>
      <c r="AF49" s="70">
        <v>171</v>
      </c>
      <c r="AG49" s="59"/>
      <c r="AH49" s="52">
        <f t="shared" si="2"/>
        <v>171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240</v>
      </c>
      <c r="C50" s="70">
        <v>240</v>
      </c>
      <c r="D50" s="70">
        <v>202</v>
      </c>
      <c r="E50" s="70">
        <v>206</v>
      </c>
      <c r="F50" s="70">
        <v>200</v>
      </c>
      <c r="G50" s="49">
        <v>213</v>
      </c>
      <c r="H50" s="49">
        <v>200</v>
      </c>
      <c r="I50" s="49">
        <v>223</v>
      </c>
      <c r="J50" s="49">
        <v>222</v>
      </c>
      <c r="K50" s="49">
        <v>218</v>
      </c>
      <c r="L50" s="70">
        <v>211</v>
      </c>
      <c r="M50" s="70">
        <v>204</v>
      </c>
      <c r="N50" s="70">
        <v>181</v>
      </c>
      <c r="O50" s="70">
        <v>122</v>
      </c>
      <c r="P50" s="70">
        <v>168</v>
      </c>
      <c r="Q50" s="70">
        <v>128</v>
      </c>
      <c r="R50" s="70">
        <v>170</v>
      </c>
      <c r="S50" s="70">
        <v>188</v>
      </c>
      <c r="T50" s="70">
        <v>150</v>
      </c>
      <c r="U50" s="80">
        <v>147</v>
      </c>
      <c r="V50" s="80">
        <v>173</v>
      </c>
      <c r="W50" s="80">
        <v>182</v>
      </c>
      <c r="X50" s="80">
        <v>190</v>
      </c>
      <c r="Y50" s="80">
        <v>200</v>
      </c>
      <c r="Z50" s="80">
        <v>233</v>
      </c>
      <c r="AA50" s="70">
        <v>215</v>
      </c>
      <c r="AB50" s="70">
        <v>205</v>
      </c>
      <c r="AC50" s="70">
        <v>130</v>
      </c>
      <c r="AD50" s="70">
        <v>125</v>
      </c>
      <c r="AE50" s="70">
        <v>124</v>
      </c>
      <c r="AF50" s="70">
        <v>129</v>
      </c>
      <c r="AG50" s="81"/>
      <c r="AH50" s="52">
        <f t="shared" si="2"/>
        <v>240</v>
      </c>
      <c r="AI50" s="53">
        <f t="shared" si="3"/>
        <v>122</v>
      </c>
      <c r="AK50" s="54"/>
    </row>
    <row r="51" spans="1:37" x14ac:dyDescent="0.25">
      <c r="A51" s="58" t="s">
        <v>58</v>
      </c>
      <c r="B51" s="82">
        <v>12</v>
      </c>
      <c r="C51" s="82">
        <v>12</v>
      </c>
      <c r="D51" s="82">
        <v>12</v>
      </c>
      <c r="E51" s="82">
        <v>12</v>
      </c>
      <c r="F51" s="82">
        <v>12</v>
      </c>
      <c r="G51" s="82">
        <v>12</v>
      </c>
      <c r="H51" s="82">
        <v>12</v>
      </c>
      <c r="I51" s="82">
        <v>12</v>
      </c>
      <c r="J51" s="82">
        <v>12</v>
      </c>
      <c r="K51" s="82">
        <v>12</v>
      </c>
      <c r="L51" s="82">
        <v>12</v>
      </c>
      <c r="M51" s="70">
        <v>12</v>
      </c>
      <c r="N51" s="70">
        <v>12</v>
      </c>
      <c r="O51" s="70">
        <v>12</v>
      </c>
      <c r="P51" s="70">
        <v>12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10</v>
      </c>
      <c r="Y51" s="70">
        <v>10</v>
      </c>
      <c r="Z51" s="70">
        <v>13</v>
      </c>
      <c r="AA51" s="82">
        <v>13</v>
      </c>
      <c r="AB51" s="82">
        <v>15</v>
      </c>
      <c r="AC51" s="82">
        <v>15</v>
      </c>
      <c r="AD51" s="82">
        <v>15</v>
      </c>
      <c r="AE51" s="82">
        <v>15</v>
      </c>
      <c r="AF51" s="82">
        <v>15</v>
      </c>
      <c r="AG51" s="81"/>
      <c r="AH51" s="52">
        <f t="shared" si="2"/>
        <v>15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2">
        <v>41</v>
      </c>
      <c r="Y52" s="82">
        <v>40</v>
      </c>
      <c r="Z52" s="82">
        <v>46</v>
      </c>
      <c r="AA52" s="49">
        <v>42</v>
      </c>
      <c r="AB52" s="49">
        <v>42.8</v>
      </c>
      <c r="AC52" s="49">
        <v>49.2</v>
      </c>
      <c r="AD52" s="49">
        <v>54.8</v>
      </c>
      <c r="AE52" s="49">
        <v>53.2</v>
      </c>
      <c r="AF52" s="49">
        <v>52.5</v>
      </c>
      <c r="AG52" s="81"/>
      <c r="AH52" s="52">
        <f t="shared" si="2"/>
        <v>54.8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70">
        <v>0</v>
      </c>
      <c r="AC53" s="70">
        <v>0</v>
      </c>
      <c r="AD53" s="70">
        <v>0</v>
      </c>
      <c r="AE53" s="70">
        <v>0</v>
      </c>
      <c r="AF53" s="70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49">
        <v>0</v>
      </c>
      <c r="AC54" s="49">
        <v>0</v>
      </c>
      <c r="AD54" s="49">
        <v>0</v>
      </c>
      <c r="AE54" s="49">
        <v>0</v>
      </c>
      <c r="AF54" s="49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70">
        <v>0</v>
      </c>
      <c r="AD57" s="70">
        <v>0</v>
      </c>
      <c r="AE57" s="70">
        <v>0</v>
      </c>
      <c r="AF57" s="70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411.4</v>
      </c>
      <c r="C59" s="69">
        <f t="shared" ref="C59:AF59" si="8">SUM(C48:C58)</f>
        <v>408.01</v>
      </c>
      <c r="D59" s="69">
        <f t="shared" si="8"/>
        <v>363.08000000000004</v>
      </c>
      <c r="E59" s="69">
        <f t="shared" si="8"/>
        <v>366.21000000000004</v>
      </c>
      <c r="F59" s="69">
        <f t="shared" si="8"/>
        <v>354.6</v>
      </c>
      <c r="G59" s="69">
        <f t="shared" si="8"/>
        <v>359.4</v>
      </c>
      <c r="H59" s="69">
        <f t="shared" si="8"/>
        <v>342.7</v>
      </c>
      <c r="I59" s="69">
        <f t="shared" si="8"/>
        <v>304.64</v>
      </c>
      <c r="J59" s="69">
        <f t="shared" si="8"/>
        <v>356.2</v>
      </c>
      <c r="K59" s="69">
        <f t="shared" si="8"/>
        <v>350.82</v>
      </c>
      <c r="L59" s="69">
        <f t="shared" si="8"/>
        <v>353.8</v>
      </c>
      <c r="M59" s="69">
        <f t="shared" si="8"/>
        <v>346.08</v>
      </c>
      <c r="N59" s="69">
        <f t="shared" si="8"/>
        <v>328.27</v>
      </c>
      <c r="O59" s="69">
        <f t="shared" si="8"/>
        <v>286.2</v>
      </c>
      <c r="P59" s="69">
        <f t="shared" si="8"/>
        <v>322.55</v>
      </c>
      <c r="Q59" s="69">
        <f t="shared" si="8"/>
        <v>272.2</v>
      </c>
      <c r="R59" s="69">
        <f t="shared" si="8"/>
        <v>323.3</v>
      </c>
      <c r="S59" s="69">
        <f t="shared" si="8"/>
        <v>334.4</v>
      </c>
      <c r="T59" s="69">
        <f t="shared" si="8"/>
        <v>320.5</v>
      </c>
      <c r="U59" s="69">
        <f t="shared" si="8"/>
        <v>314.7</v>
      </c>
      <c r="V59" s="69">
        <f t="shared" si="8"/>
        <v>340</v>
      </c>
      <c r="W59" s="69">
        <f t="shared" si="8"/>
        <v>366</v>
      </c>
      <c r="X59" s="69">
        <f t="shared" si="8"/>
        <v>400.3</v>
      </c>
      <c r="Y59" s="69">
        <f t="shared" si="8"/>
        <v>421</v>
      </c>
      <c r="Z59" s="69">
        <f t="shared" si="8"/>
        <v>480</v>
      </c>
      <c r="AA59" s="69">
        <f t="shared" si="8"/>
        <v>460</v>
      </c>
      <c r="AB59" s="69">
        <f t="shared" si="8"/>
        <v>445.82</v>
      </c>
      <c r="AC59" s="69">
        <f t="shared" si="8"/>
        <v>426.2</v>
      </c>
      <c r="AD59" s="69">
        <f t="shared" si="8"/>
        <v>421.8</v>
      </c>
      <c r="AE59" s="69">
        <f t="shared" si="8"/>
        <v>410.59999999999997</v>
      </c>
      <c r="AF59" s="69">
        <f t="shared" si="8"/>
        <v>435.5</v>
      </c>
      <c r="AG59" s="74">
        <f>SUM(AG48:AG58)</f>
        <v>0</v>
      </c>
      <c r="AH59" s="52">
        <f t="shared" si="2"/>
        <v>480</v>
      </c>
      <c r="AI59" s="53">
        <f t="shared" si="3"/>
        <v>272.2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>
        <v>120</v>
      </c>
      <c r="M64" s="89">
        <v>100</v>
      </c>
      <c r="N64" s="89">
        <v>100</v>
      </c>
      <c r="O64" s="89">
        <v>100</v>
      </c>
      <c r="P64" s="89">
        <v>100</v>
      </c>
      <c r="Q64" s="89">
        <v>100</v>
      </c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120</v>
      </c>
      <c r="AI64" s="53">
        <f t="shared" si="3"/>
        <v>100</v>
      </c>
    </row>
    <row r="65" spans="1:35" ht="15.75" thickBot="1" x14ac:dyDescent="0.3">
      <c r="A65" s="90" t="s">
        <v>72</v>
      </c>
      <c r="B65" s="91">
        <f>B63+B59+B47+B43+B30+B64</f>
        <v>1056.04</v>
      </c>
      <c r="C65" s="91">
        <f t="shared" ref="C65:AF65" si="10">C63+C59+C47+C43+C30+C64</f>
        <v>1049.5500000000002</v>
      </c>
      <c r="D65" s="91">
        <f t="shared" si="10"/>
        <v>1015.52</v>
      </c>
      <c r="E65" s="91">
        <f t="shared" si="10"/>
        <v>1011.75</v>
      </c>
      <c r="F65" s="91">
        <f t="shared" si="10"/>
        <v>964.33999999999992</v>
      </c>
      <c r="G65" s="91">
        <f t="shared" si="10"/>
        <v>961.64</v>
      </c>
      <c r="H65" s="91">
        <f t="shared" si="10"/>
        <v>938.7399999999999</v>
      </c>
      <c r="I65" s="91">
        <f t="shared" si="10"/>
        <v>929.48</v>
      </c>
      <c r="J65" s="91">
        <f t="shared" si="10"/>
        <v>987.33999999999992</v>
      </c>
      <c r="K65" s="91">
        <f t="shared" si="10"/>
        <v>1045.06</v>
      </c>
      <c r="L65" s="91">
        <f t="shared" si="10"/>
        <v>1133.3399999999999</v>
      </c>
      <c r="M65" s="91">
        <f t="shared" si="10"/>
        <v>1106.1200000000001</v>
      </c>
      <c r="N65" s="91">
        <f t="shared" si="10"/>
        <v>1013.41</v>
      </c>
      <c r="O65" s="91">
        <f t="shared" si="10"/>
        <v>988.6400000000001</v>
      </c>
      <c r="P65" s="91">
        <f t="shared" si="10"/>
        <v>977.3900000000001</v>
      </c>
      <c r="Q65" s="91">
        <f t="shared" si="10"/>
        <v>905.94</v>
      </c>
      <c r="R65" s="91">
        <f t="shared" si="10"/>
        <v>882.74</v>
      </c>
      <c r="S65" s="91">
        <f t="shared" si="10"/>
        <v>932.94</v>
      </c>
      <c r="T65" s="91">
        <f t="shared" si="10"/>
        <v>929.33999999999992</v>
      </c>
      <c r="U65" s="91">
        <f t="shared" si="10"/>
        <v>919.34</v>
      </c>
      <c r="V65" s="91">
        <f t="shared" si="10"/>
        <v>932.84</v>
      </c>
      <c r="W65" s="91">
        <f t="shared" si="10"/>
        <v>980.93999999999994</v>
      </c>
      <c r="X65" s="91">
        <f t="shared" si="10"/>
        <v>1072.04</v>
      </c>
      <c r="Y65" s="91">
        <f t="shared" si="10"/>
        <v>1077.8400000000001</v>
      </c>
      <c r="Z65" s="91">
        <f t="shared" si="10"/>
        <v>1215.24</v>
      </c>
      <c r="AA65" s="91">
        <f t="shared" si="10"/>
        <v>1211.04</v>
      </c>
      <c r="AB65" s="91">
        <f t="shared" si="10"/>
        <v>1200.3599999999999</v>
      </c>
      <c r="AC65" s="91">
        <f t="shared" si="10"/>
        <v>1180.74</v>
      </c>
      <c r="AD65" s="91">
        <f t="shared" si="10"/>
        <v>1108.1400000000001</v>
      </c>
      <c r="AE65" s="91">
        <f t="shared" si="10"/>
        <v>1033.94</v>
      </c>
      <c r="AF65" s="91">
        <f t="shared" si="10"/>
        <v>1007.4399999999999</v>
      </c>
      <c r="AG65" s="74">
        <f>AG63+AG59+AG47+AG43+AG30+AG64</f>
        <v>1355.5100000000002</v>
      </c>
      <c r="AH65" s="52">
        <f t="shared" si="2"/>
        <v>1215.24</v>
      </c>
      <c r="AI65" s="53">
        <f t="shared" si="3"/>
        <v>882.74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49.975000000000001</v>
      </c>
      <c r="C72" s="94">
        <v>50.015000000000001</v>
      </c>
      <c r="D72" s="94">
        <v>49.960999999999999</v>
      </c>
      <c r="E72" s="94">
        <v>49.988999999999997</v>
      </c>
      <c r="F72" s="94">
        <v>49.85</v>
      </c>
      <c r="G72" s="94">
        <v>49.936999999999998</v>
      </c>
      <c r="H72" s="94">
        <v>49.923999999999999</v>
      </c>
      <c r="I72" s="94">
        <v>49.969000000000001</v>
      </c>
      <c r="J72" s="94">
        <v>50.045000000000002</v>
      </c>
      <c r="K72" s="94">
        <v>50.040999999999997</v>
      </c>
      <c r="L72" s="94">
        <v>50.07</v>
      </c>
      <c r="M72" s="94">
        <v>50.02</v>
      </c>
      <c r="N72" s="94">
        <v>50.04</v>
      </c>
      <c r="O72" s="94">
        <v>50.05</v>
      </c>
      <c r="P72" s="94">
        <v>50.03</v>
      </c>
      <c r="Q72" s="95">
        <v>50.03</v>
      </c>
      <c r="R72" s="94">
        <v>49.896000000000001</v>
      </c>
      <c r="S72" s="94">
        <v>49.905999999999999</v>
      </c>
      <c r="T72" s="94">
        <v>49.896999999999998</v>
      </c>
      <c r="U72" s="94">
        <v>50.064</v>
      </c>
      <c r="V72" s="94">
        <v>49.985999999999997</v>
      </c>
      <c r="W72" s="94">
        <v>49.951000000000001</v>
      </c>
      <c r="X72" s="94">
        <v>50.052999999999997</v>
      </c>
      <c r="Y72" s="94">
        <v>50.015000000000001</v>
      </c>
      <c r="Z72" s="94">
        <v>49.838999999999999</v>
      </c>
      <c r="AA72" s="94">
        <v>49.923000000000002</v>
      </c>
      <c r="AB72" s="94">
        <v>50.012</v>
      </c>
      <c r="AC72" s="94">
        <v>50.03</v>
      </c>
      <c r="AD72" s="94">
        <v>49.89</v>
      </c>
      <c r="AE72" s="94">
        <v>49.99</v>
      </c>
      <c r="AF72" s="96">
        <v>50.03</v>
      </c>
      <c r="AG72" s="97"/>
      <c r="AH72" s="52">
        <f t="shared" si="2"/>
        <v>50.07</v>
      </c>
      <c r="AI72" s="53">
        <f t="shared" si="3"/>
        <v>49.838999999999999</v>
      </c>
    </row>
    <row r="73" spans="1:35" x14ac:dyDescent="0.25">
      <c r="A73" s="98" t="s">
        <v>80</v>
      </c>
      <c r="B73" s="70">
        <v>128</v>
      </c>
      <c r="C73" s="70">
        <v>128.5</v>
      </c>
      <c r="D73" s="70">
        <v>129</v>
      </c>
      <c r="E73" s="70">
        <v>129</v>
      </c>
      <c r="F73" s="70">
        <v>128.69999999999999</v>
      </c>
      <c r="G73" s="70">
        <v>128</v>
      </c>
      <c r="H73" s="70">
        <v>127</v>
      </c>
      <c r="I73" s="70">
        <v>126.9</v>
      </c>
      <c r="J73" s="70">
        <v>125.8</v>
      </c>
      <c r="K73" s="70">
        <v>126.2</v>
      </c>
      <c r="L73" s="70">
        <v>126.3</v>
      </c>
      <c r="M73" s="70">
        <v>126</v>
      </c>
      <c r="N73" s="70">
        <v>130.1</v>
      </c>
      <c r="O73" s="70">
        <v>126.8</v>
      </c>
      <c r="P73" s="70">
        <v>125.8</v>
      </c>
      <c r="Q73" s="99">
        <v>125.4</v>
      </c>
      <c r="R73" s="99">
        <v>124.9</v>
      </c>
      <c r="S73" s="99">
        <v>124.9</v>
      </c>
      <c r="T73" s="99">
        <v>125.3</v>
      </c>
      <c r="U73" s="99">
        <v>125.4</v>
      </c>
      <c r="V73" s="99">
        <v>126</v>
      </c>
      <c r="W73" s="99">
        <v>125.1</v>
      </c>
      <c r="X73" s="99">
        <v>125.1</v>
      </c>
      <c r="Y73" s="99">
        <v>126.7</v>
      </c>
      <c r="Z73" s="99">
        <v>127.4</v>
      </c>
      <c r="AA73" s="99">
        <v>127.4</v>
      </c>
      <c r="AB73" s="70">
        <v>128.19999999999999</v>
      </c>
      <c r="AC73" s="70">
        <v>128.19999999999999</v>
      </c>
      <c r="AD73" s="70">
        <v>128.4</v>
      </c>
      <c r="AE73" s="70">
        <v>129</v>
      </c>
      <c r="AF73" s="100">
        <v>128.69999999999999</v>
      </c>
      <c r="AG73" s="101"/>
      <c r="AH73" s="52">
        <f t="shared" si="2"/>
        <v>130.1</v>
      </c>
      <c r="AI73" s="53">
        <f t="shared" si="3"/>
        <v>124.9</v>
      </c>
    </row>
    <row r="74" spans="1:35" x14ac:dyDescent="0.25">
      <c r="A74" s="98" t="s">
        <v>81</v>
      </c>
      <c r="B74" s="70">
        <v>131</v>
      </c>
      <c r="C74" s="70">
        <v>132</v>
      </c>
      <c r="D74" s="70">
        <v>132.4</v>
      </c>
      <c r="E74" s="70">
        <v>132.30000000000001</v>
      </c>
      <c r="F74" s="70">
        <v>131.69999999999999</v>
      </c>
      <c r="G74" s="70">
        <v>130.69999999999999</v>
      </c>
      <c r="H74" s="70">
        <v>129.6</v>
      </c>
      <c r="I74" s="70">
        <v>129.5</v>
      </c>
      <c r="J74" s="70">
        <v>128.80000000000001</v>
      </c>
      <c r="K74" s="70">
        <v>129</v>
      </c>
      <c r="L74" s="70">
        <v>128.5</v>
      </c>
      <c r="M74" s="70">
        <v>128.6</v>
      </c>
      <c r="N74" s="70">
        <v>131.1</v>
      </c>
      <c r="O74" s="70">
        <v>128.69999999999999</v>
      </c>
      <c r="P74" s="70">
        <v>127.4</v>
      </c>
      <c r="Q74" s="99">
        <v>127.2</v>
      </c>
      <c r="R74" s="99">
        <v>126.3</v>
      </c>
      <c r="S74" s="99">
        <v>126.3</v>
      </c>
      <c r="T74" s="99">
        <v>127</v>
      </c>
      <c r="U74" s="99">
        <v>127.6</v>
      </c>
      <c r="V74" s="99">
        <v>128</v>
      </c>
      <c r="W74" s="99">
        <v>127.4</v>
      </c>
      <c r="X74" s="99">
        <v>127.4</v>
      </c>
      <c r="Y74" s="99">
        <v>128.80000000000001</v>
      </c>
      <c r="Z74" s="99">
        <v>129.5</v>
      </c>
      <c r="AA74" s="99">
        <v>129.5</v>
      </c>
      <c r="AB74" s="70">
        <v>120.3</v>
      </c>
      <c r="AC74" s="70">
        <v>130.6</v>
      </c>
      <c r="AD74" s="70">
        <v>131.1</v>
      </c>
      <c r="AE74" s="70">
        <v>131.69999999999999</v>
      </c>
      <c r="AF74" s="100">
        <v>131.19999999999999</v>
      </c>
      <c r="AG74" s="101"/>
      <c r="AH74" s="52">
        <f t="shared" si="2"/>
        <v>132.4</v>
      </c>
      <c r="AI74" s="53">
        <f t="shared" si="3"/>
        <v>120.3</v>
      </c>
    </row>
    <row r="75" spans="1:35" x14ac:dyDescent="0.25">
      <c r="A75" s="98" t="s">
        <v>82</v>
      </c>
      <c r="B75" s="70">
        <v>125</v>
      </c>
      <c r="C75" s="70">
        <v>127.1</v>
      </c>
      <c r="D75" s="70">
        <v>129.1</v>
      </c>
      <c r="E75" s="70">
        <v>128.6</v>
      </c>
      <c r="F75" s="70">
        <v>129.69999999999999</v>
      </c>
      <c r="G75" s="70">
        <v>131.6</v>
      </c>
      <c r="H75" s="70">
        <v>133.30000000000001</v>
      </c>
      <c r="I75" s="70">
        <v>130.19999999999999</v>
      </c>
      <c r="J75" s="70">
        <v>131.30000000000001</v>
      </c>
      <c r="K75" s="70">
        <v>130.6</v>
      </c>
      <c r="L75" s="70">
        <v>130.6</v>
      </c>
      <c r="M75" s="70">
        <v>134.1</v>
      </c>
      <c r="N75" s="70">
        <v>131.30000000000001</v>
      </c>
      <c r="O75" s="70">
        <v>132.9</v>
      </c>
      <c r="P75" s="70">
        <v>132</v>
      </c>
      <c r="Q75" s="70">
        <v>128.6</v>
      </c>
      <c r="R75" s="70">
        <v>126.3</v>
      </c>
      <c r="S75" s="70">
        <v>126.3</v>
      </c>
      <c r="T75" s="99">
        <v>130.30000000000001</v>
      </c>
      <c r="U75" s="99">
        <v>130.4</v>
      </c>
      <c r="V75" s="99">
        <v>130.19999999999999</v>
      </c>
      <c r="W75" s="99">
        <v>129.6</v>
      </c>
      <c r="X75" s="99">
        <v>129.6</v>
      </c>
      <c r="Y75" s="99">
        <v>125.5</v>
      </c>
      <c r="Z75" s="99">
        <v>126.7</v>
      </c>
      <c r="AA75" s="99">
        <v>126.7</v>
      </c>
      <c r="AB75" s="70">
        <v>126.6</v>
      </c>
      <c r="AC75" s="70">
        <v>124.1</v>
      </c>
      <c r="AD75" s="70">
        <v>126.6</v>
      </c>
      <c r="AE75" s="70">
        <v>136.19999999999999</v>
      </c>
      <c r="AF75" s="100">
        <v>128</v>
      </c>
      <c r="AG75" s="101"/>
      <c r="AH75" s="52">
        <f t="shared" si="2"/>
        <v>136.19999999999999</v>
      </c>
      <c r="AI75" s="53">
        <f t="shared" si="3"/>
        <v>124.1</v>
      </c>
    </row>
    <row r="76" spans="1:35" x14ac:dyDescent="0.25">
      <c r="A76" s="102" t="s">
        <v>83</v>
      </c>
      <c r="B76" s="70">
        <v>129</v>
      </c>
      <c r="C76" s="70">
        <v>130.69999999999999</v>
      </c>
      <c r="D76" s="70">
        <v>132.9</v>
      </c>
      <c r="E76" s="70">
        <v>132.6</v>
      </c>
      <c r="F76" s="70">
        <v>133.5</v>
      </c>
      <c r="G76" s="70">
        <v>133.9</v>
      </c>
      <c r="H76" s="70">
        <v>136</v>
      </c>
      <c r="I76" s="70">
        <v>132.9</v>
      </c>
      <c r="J76" s="70">
        <v>132.1</v>
      </c>
      <c r="K76" s="70">
        <v>130.1</v>
      </c>
      <c r="L76" s="70">
        <v>133.30000000000001</v>
      </c>
      <c r="M76" s="70">
        <v>129.80000000000001</v>
      </c>
      <c r="N76" s="70">
        <v>129.6</v>
      </c>
      <c r="O76" s="70">
        <v>129.5</v>
      </c>
      <c r="P76" s="70">
        <v>130.30000000000001</v>
      </c>
      <c r="Q76" s="70">
        <v>130.69999999999999</v>
      </c>
      <c r="R76" s="70">
        <v>128.1</v>
      </c>
      <c r="S76" s="70">
        <v>128.1</v>
      </c>
      <c r="T76" s="99">
        <v>131.5</v>
      </c>
      <c r="U76" s="99">
        <v>131.4</v>
      </c>
      <c r="V76" s="99">
        <v>131.19999999999999</v>
      </c>
      <c r="W76" s="99">
        <v>130.4</v>
      </c>
      <c r="X76" s="99">
        <v>130.4</v>
      </c>
      <c r="Y76" s="99">
        <v>126.3</v>
      </c>
      <c r="Z76" s="99">
        <v>128.9</v>
      </c>
      <c r="AA76" s="99">
        <v>128.9</v>
      </c>
      <c r="AB76" s="70">
        <v>129.1</v>
      </c>
      <c r="AC76" s="70">
        <v>126.7</v>
      </c>
      <c r="AD76" s="70">
        <v>129.9</v>
      </c>
      <c r="AE76" s="70">
        <v>129.9</v>
      </c>
      <c r="AF76" s="100">
        <v>131.9</v>
      </c>
      <c r="AG76" s="101"/>
      <c r="AH76" s="52">
        <f t="shared" si="2"/>
        <v>136</v>
      </c>
      <c r="AI76" s="53">
        <f t="shared" si="3"/>
        <v>126.3</v>
      </c>
    </row>
    <row r="77" spans="1:35" x14ac:dyDescent="0.25">
      <c r="A77" s="102" t="s">
        <v>84</v>
      </c>
      <c r="B77" s="103">
        <v>132</v>
      </c>
      <c r="C77" s="103">
        <v>132.69999999999999</v>
      </c>
      <c r="D77" s="103">
        <v>135.1</v>
      </c>
      <c r="E77" s="103">
        <v>134.1</v>
      </c>
      <c r="F77" s="103">
        <v>135</v>
      </c>
      <c r="G77" s="103">
        <v>132</v>
      </c>
      <c r="H77" s="103">
        <v>132.30000000000001</v>
      </c>
      <c r="I77" s="103">
        <v>135.6</v>
      </c>
      <c r="J77" s="103">
        <v>132.69999999999999</v>
      </c>
      <c r="K77" s="103">
        <v>134.6</v>
      </c>
      <c r="L77" s="103">
        <v>133</v>
      </c>
      <c r="M77" s="103">
        <v>133.19999999999999</v>
      </c>
      <c r="N77" s="103">
        <v>135.69999999999999</v>
      </c>
      <c r="O77" s="103">
        <v>132.1</v>
      </c>
      <c r="P77" s="103">
        <v>96.8</v>
      </c>
      <c r="Q77" s="103">
        <v>135</v>
      </c>
      <c r="R77" s="103">
        <v>129.19999999999999</v>
      </c>
      <c r="S77" s="103">
        <v>129.19999999999999</v>
      </c>
      <c r="T77" s="99">
        <v>131.6</v>
      </c>
      <c r="U77" s="99">
        <v>132.69999999999999</v>
      </c>
      <c r="V77" s="99">
        <v>133</v>
      </c>
      <c r="W77" s="99">
        <v>132.6</v>
      </c>
      <c r="X77" s="99">
        <v>132.6</v>
      </c>
      <c r="Y77" s="99">
        <v>134.6</v>
      </c>
      <c r="Z77" s="99">
        <v>130.19999999999999</v>
      </c>
      <c r="AA77" s="99">
        <v>130.19999999999999</v>
      </c>
      <c r="AB77" s="103">
        <v>131.80000000000001</v>
      </c>
      <c r="AC77" s="103">
        <v>133.30000000000001</v>
      </c>
      <c r="AD77" s="103">
        <v>132.69999999999999</v>
      </c>
      <c r="AE77" s="103">
        <v>132.30000000000001</v>
      </c>
      <c r="AF77" s="104">
        <v>132.69999999999999</v>
      </c>
      <c r="AG77" s="105"/>
      <c r="AH77" s="52">
        <f t="shared" si="2"/>
        <v>135.69999999999999</v>
      </c>
      <c r="AI77" s="53">
        <f t="shared" si="3"/>
        <v>96.8</v>
      </c>
    </row>
    <row r="78" spans="1:35" x14ac:dyDescent="0.25">
      <c r="A78" s="98" t="s">
        <v>85</v>
      </c>
      <c r="B78" s="70">
        <v>129</v>
      </c>
      <c r="C78" s="70">
        <v>132</v>
      </c>
      <c r="D78" s="70">
        <v>133.6</v>
      </c>
      <c r="E78" s="70">
        <v>134.30000000000001</v>
      </c>
      <c r="F78" s="70">
        <v>134.69999999999999</v>
      </c>
      <c r="G78" s="70">
        <v>135.4</v>
      </c>
      <c r="H78" s="70">
        <v>134.19999999999999</v>
      </c>
      <c r="I78" s="70">
        <v>129.9</v>
      </c>
      <c r="J78" s="70">
        <v>128.6</v>
      </c>
      <c r="K78" s="70">
        <v>124.7</v>
      </c>
      <c r="L78" s="70">
        <v>123.8</v>
      </c>
      <c r="M78" s="70">
        <v>126.9</v>
      </c>
      <c r="N78" s="70">
        <v>132</v>
      </c>
      <c r="O78" s="70">
        <v>136.19999999999999</v>
      </c>
      <c r="P78" s="70">
        <v>135.4</v>
      </c>
      <c r="Q78" s="70">
        <v>136.5</v>
      </c>
      <c r="R78" s="70">
        <v>135.4</v>
      </c>
      <c r="S78" s="70">
        <v>135.4</v>
      </c>
      <c r="T78" s="99">
        <v>129.1</v>
      </c>
      <c r="U78" s="99">
        <v>132.30000000000001</v>
      </c>
      <c r="V78" s="99">
        <v>136.30000000000001</v>
      </c>
      <c r="W78" s="99">
        <v>133.30000000000001</v>
      </c>
      <c r="X78" s="99">
        <v>133.30000000000001</v>
      </c>
      <c r="Y78" s="99">
        <v>134.5</v>
      </c>
      <c r="Z78" s="99">
        <v>130.30000000000001</v>
      </c>
      <c r="AA78" s="99">
        <v>130.30000000000001</v>
      </c>
      <c r="AB78" s="70">
        <v>133.4</v>
      </c>
      <c r="AC78" s="70">
        <v>131.80000000000001</v>
      </c>
      <c r="AD78" s="70">
        <v>129.5</v>
      </c>
      <c r="AE78" s="70">
        <v>131.4</v>
      </c>
      <c r="AF78" s="100">
        <v>132</v>
      </c>
      <c r="AG78" s="101"/>
      <c r="AH78" s="52">
        <f>MAX(B78:AF78)</f>
        <v>136.5</v>
      </c>
      <c r="AI78" s="53">
        <f>MIN(B78:AF78)</f>
        <v>123.8</v>
      </c>
    </row>
    <row r="79" spans="1:35" ht="15.75" thickBot="1" x14ac:dyDescent="0.3">
      <c r="A79" s="98" t="s">
        <v>86</v>
      </c>
      <c r="B79" s="106">
        <v>67</v>
      </c>
      <c r="C79" s="106">
        <v>67.3</v>
      </c>
      <c r="D79" s="106">
        <v>67.400000000000006</v>
      </c>
      <c r="E79" s="106">
        <v>67.5</v>
      </c>
      <c r="F79" s="106">
        <v>67.2</v>
      </c>
      <c r="G79" s="106">
        <v>66.5</v>
      </c>
      <c r="H79" s="106">
        <v>65.900000000000006</v>
      </c>
      <c r="I79" s="106">
        <v>66.400000000000006</v>
      </c>
      <c r="J79" s="106">
        <v>65.7</v>
      </c>
      <c r="K79" s="106">
        <v>65.599999999999994</v>
      </c>
      <c r="L79" s="106">
        <v>65.400000000000006</v>
      </c>
      <c r="M79" s="106">
        <v>65.7</v>
      </c>
      <c r="N79" s="106" t="s">
        <v>204</v>
      </c>
      <c r="O79" s="106" t="s">
        <v>204</v>
      </c>
      <c r="P79" s="106" t="s">
        <v>204</v>
      </c>
      <c r="Q79" s="106" t="s">
        <v>204</v>
      </c>
      <c r="R79" s="106">
        <v>64.5</v>
      </c>
      <c r="S79" s="106">
        <v>64.5</v>
      </c>
      <c r="T79" s="106">
        <v>65</v>
      </c>
      <c r="U79" s="106">
        <v>65.2</v>
      </c>
      <c r="V79" s="106">
        <v>65.3</v>
      </c>
      <c r="W79" s="106">
        <v>65.2</v>
      </c>
      <c r="X79" s="106">
        <v>65.2</v>
      </c>
      <c r="Y79" s="106">
        <v>65.8</v>
      </c>
      <c r="Z79" s="106">
        <v>66.099999999999994</v>
      </c>
      <c r="AA79" s="106">
        <v>66.099999999999994</v>
      </c>
      <c r="AB79" s="106">
        <v>66.599999999999994</v>
      </c>
      <c r="AC79" s="106">
        <v>66.8</v>
      </c>
      <c r="AD79" s="106">
        <v>66.8</v>
      </c>
      <c r="AE79" s="106">
        <v>67</v>
      </c>
      <c r="AF79" s="107">
        <v>67.099999999999994</v>
      </c>
      <c r="AG79" s="108"/>
      <c r="AH79" s="52">
        <f>MAX(B79:AF79)</f>
        <v>67.5</v>
      </c>
      <c r="AI79" s="53">
        <f>MIN(B79:AF79)</f>
        <v>64.5</v>
      </c>
    </row>
    <row r="80" spans="1:35" x14ac:dyDescent="0.25">
      <c r="A80" s="109" t="s">
        <v>87</v>
      </c>
      <c r="B80" s="110">
        <f t="shared" ref="B80:AF80" si="19">SUMIF(B48:B57,"&gt;0")</f>
        <v>411.4</v>
      </c>
      <c r="C80" s="110">
        <f t="shared" si="19"/>
        <v>408.01</v>
      </c>
      <c r="D80" s="110">
        <f t="shared" si="19"/>
        <v>363.08000000000004</v>
      </c>
      <c r="E80" s="110">
        <f t="shared" si="19"/>
        <v>366.21000000000004</v>
      </c>
      <c r="F80" s="110">
        <f t="shared" si="19"/>
        <v>354.6</v>
      </c>
      <c r="G80" s="110">
        <f t="shared" si="19"/>
        <v>359.4</v>
      </c>
      <c r="H80" s="110">
        <f t="shared" si="19"/>
        <v>342.7</v>
      </c>
      <c r="I80" s="110">
        <f t="shared" si="19"/>
        <v>304.64</v>
      </c>
      <c r="J80" s="110">
        <f t="shared" si="19"/>
        <v>356.2</v>
      </c>
      <c r="K80" s="110">
        <f t="shared" si="19"/>
        <v>350.82</v>
      </c>
      <c r="L80" s="110">
        <f t="shared" si="19"/>
        <v>353.8</v>
      </c>
      <c r="M80" s="110">
        <f t="shared" si="19"/>
        <v>346.08</v>
      </c>
      <c r="N80" s="110">
        <f t="shared" si="19"/>
        <v>328.27</v>
      </c>
      <c r="O80" s="110">
        <f t="shared" si="19"/>
        <v>286.2</v>
      </c>
      <c r="P80" s="110">
        <f t="shared" si="19"/>
        <v>322.55</v>
      </c>
      <c r="Q80" s="110">
        <f t="shared" si="19"/>
        <v>272.2</v>
      </c>
      <c r="R80" s="110">
        <f t="shared" si="19"/>
        <v>323.3</v>
      </c>
      <c r="S80" s="110">
        <f t="shared" si="19"/>
        <v>334.4</v>
      </c>
      <c r="T80" s="110">
        <f t="shared" si="19"/>
        <v>320.5</v>
      </c>
      <c r="U80" s="110">
        <f t="shared" si="19"/>
        <v>314.7</v>
      </c>
      <c r="V80" s="110">
        <f t="shared" si="19"/>
        <v>340</v>
      </c>
      <c r="W80" s="110">
        <f t="shared" si="19"/>
        <v>366</v>
      </c>
      <c r="X80" s="110">
        <f t="shared" si="19"/>
        <v>400.3</v>
      </c>
      <c r="Y80" s="110">
        <f t="shared" si="19"/>
        <v>421</v>
      </c>
      <c r="Z80" s="110">
        <f t="shared" si="19"/>
        <v>480</v>
      </c>
      <c r="AA80" s="110">
        <f t="shared" si="19"/>
        <v>460</v>
      </c>
      <c r="AB80" s="110">
        <f t="shared" si="19"/>
        <v>445.82</v>
      </c>
      <c r="AC80" s="110">
        <f t="shared" si="19"/>
        <v>426.2</v>
      </c>
      <c r="AD80" s="110">
        <f t="shared" si="19"/>
        <v>421.8</v>
      </c>
      <c r="AE80" s="110">
        <f t="shared" si="19"/>
        <v>410.59999999999997</v>
      </c>
      <c r="AF80" s="110">
        <f t="shared" si="19"/>
        <v>435.5</v>
      </c>
      <c r="AG80" s="111"/>
      <c r="AH80" s="52">
        <f>MAX(B80:AF80)</f>
        <v>480</v>
      </c>
      <c r="AI80" s="53">
        <f>MIN(B80:AF80)</f>
        <v>272.2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141.21999999999997</v>
      </c>
      <c r="C82" s="115">
        <f t="shared" ref="C82:AF82" si="20">C11+C13+C17+C34+C36+C38+C40+C94+C108+C110+C121+C127+C130+C139+C143+C144+C147+C154+C159+C162+C163+C164+C172+C177+C83+C84+C85+C86+C99</f>
        <v>139.72</v>
      </c>
      <c r="D82" s="115">
        <f t="shared" si="20"/>
        <v>136.31999999999996</v>
      </c>
      <c r="E82" s="115">
        <f t="shared" si="20"/>
        <v>139.91999999999996</v>
      </c>
      <c r="F82" s="115">
        <f t="shared" si="20"/>
        <v>155.61999999999995</v>
      </c>
      <c r="G82" s="115">
        <f t="shared" si="20"/>
        <v>180.01999999999998</v>
      </c>
      <c r="H82" s="115">
        <f t="shared" si="20"/>
        <v>195.22</v>
      </c>
      <c r="I82" s="115">
        <f t="shared" si="20"/>
        <v>209.11999999999998</v>
      </c>
      <c r="J82" s="115">
        <f t="shared" si="20"/>
        <v>227.42000000000002</v>
      </c>
      <c r="K82" s="115">
        <f t="shared" si="20"/>
        <v>248.82</v>
      </c>
      <c r="L82" s="115">
        <f t="shared" si="20"/>
        <v>240.72000000000003</v>
      </c>
      <c r="M82" s="115">
        <f t="shared" si="20"/>
        <v>255.32000000000002</v>
      </c>
      <c r="N82" s="115">
        <f t="shared" si="20"/>
        <v>238.32</v>
      </c>
      <c r="O82" s="115">
        <f t="shared" si="20"/>
        <v>213.92</v>
      </c>
      <c r="P82" s="115">
        <f t="shared" si="20"/>
        <v>223.52</v>
      </c>
      <c r="Q82" s="115">
        <f t="shared" si="20"/>
        <v>337.82</v>
      </c>
      <c r="R82" s="115">
        <f t="shared" si="20"/>
        <v>211.01999999999998</v>
      </c>
      <c r="S82" s="115">
        <f t="shared" si="20"/>
        <v>215.12</v>
      </c>
      <c r="T82" s="115">
        <f t="shared" si="20"/>
        <v>217.32</v>
      </c>
      <c r="U82" s="115">
        <f t="shared" si="20"/>
        <v>215.51999999999998</v>
      </c>
      <c r="V82" s="115">
        <f t="shared" si="20"/>
        <v>222.52</v>
      </c>
      <c r="W82" s="115">
        <f t="shared" si="20"/>
        <v>223.12</v>
      </c>
      <c r="X82" s="115">
        <f t="shared" si="20"/>
        <v>264.81999999999994</v>
      </c>
      <c r="Y82" s="115">
        <f t="shared" si="20"/>
        <v>283.41999999999996</v>
      </c>
      <c r="Z82" s="115">
        <f t="shared" si="20"/>
        <v>310.31999999999994</v>
      </c>
      <c r="AA82" s="115">
        <f t="shared" si="20"/>
        <v>288.12</v>
      </c>
      <c r="AB82" s="115">
        <f t="shared" si="20"/>
        <v>233.42</v>
      </c>
      <c r="AC82" s="115">
        <f t="shared" si="20"/>
        <v>245.51999999999998</v>
      </c>
      <c r="AD82" s="115">
        <f t="shared" si="20"/>
        <v>191.92</v>
      </c>
      <c r="AE82" s="115">
        <f t="shared" si="20"/>
        <v>158.72</v>
      </c>
      <c r="AF82" s="115">
        <f t="shared" si="20"/>
        <v>143.71999999999997</v>
      </c>
      <c r="AG82" s="116"/>
      <c r="AH82" s="52">
        <f>MAX(B82:AF82)</f>
        <v>337.82</v>
      </c>
      <c r="AI82" s="53">
        <f>MIN(B82:AF82)</f>
        <v>136.31999999999996</v>
      </c>
    </row>
    <row r="83" spans="1:37" x14ac:dyDescent="0.25">
      <c r="A83" s="117" t="s">
        <v>89</v>
      </c>
      <c r="B83" s="118">
        <v>0</v>
      </c>
      <c r="C83" s="118">
        <v>1.9</v>
      </c>
      <c r="D83" s="118">
        <v>18</v>
      </c>
      <c r="E83" s="118">
        <v>18.2</v>
      </c>
      <c r="F83" s="118">
        <v>25.7</v>
      </c>
      <c r="G83" s="118">
        <v>19.899999999999999</v>
      </c>
      <c r="H83" s="118">
        <v>29.3</v>
      </c>
      <c r="I83" s="118">
        <v>43.4</v>
      </c>
      <c r="J83" s="118">
        <v>47.9</v>
      </c>
      <c r="K83" s="118">
        <v>39.4</v>
      </c>
      <c r="L83" s="118">
        <v>39.9</v>
      </c>
      <c r="M83" s="118">
        <v>46.8</v>
      </c>
      <c r="N83" s="118">
        <v>6.3</v>
      </c>
      <c r="O83" s="118">
        <v>69.5</v>
      </c>
      <c r="P83" s="118">
        <v>93.3</v>
      </c>
      <c r="Q83" s="118">
        <v>96.2</v>
      </c>
      <c r="R83" s="118">
        <v>55.5</v>
      </c>
      <c r="S83" s="118">
        <v>43</v>
      </c>
      <c r="T83" s="118">
        <v>42</v>
      </c>
      <c r="U83" s="118">
        <v>41.9</v>
      </c>
      <c r="V83" s="118">
        <v>38</v>
      </c>
      <c r="W83" s="118">
        <v>44</v>
      </c>
      <c r="X83" s="118">
        <v>53.4</v>
      </c>
      <c r="Y83" s="118">
        <v>57</v>
      </c>
      <c r="Z83" s="118">
        <v>36</v>
      </c>
      <c r="AA83" s="50">
        <v>31</v>
      </c>
      <c r="AB83" s="50">
        <v>29.6</v>
      </c>
      <c r="AC83" s="50">
        <v>33.9</v>
      </c>
      <c r="AD83" s="50">
        <v>30.7</v>
      </c>
      <c r="AE83" s="50">
        <v>20</v>
      </c>
      <c r="AF83" s="119">
        <v>5</v>
      </c>
      <c r="AG83" s="120">
        <v>75</v>
      </c>
      <c r="AH83" s="52">
        <f>IF(ABS(MAX(B83:AF83))&gt;ABS(MIN(B83:AF83)),MAX(B83:AF83),MIN(B83:AF83))</f>
        <v>96.2</v>
      </c>
      <c r="AI83" s="121">
        <f>INDEX($B$9:$AF$9,1,MATCH(AH83,B83:AF83,0))</f>
        <v>0.54166666666666696</v>
      </c>
    </row>
    <row r="84" spans="1:37" x14ac:dyDescent="0.25">
      <c r="A84" s="122" t="s">
        <v>90</v>
      </c>
      <c r="B84" s="83">
        <v>-22</v>
      </c>
      <c r="C84" s="83">
        <v>-24</v>
      </c>
      <c r="D84" s="83">
        <v>-35</v>
      </c>
      <c r="E84" s="83">
        <v>-33</v>
      </c>
      <c r="F84" s="83">
        <v>-26.3</v>
      </c>
      <c r="G84" s="83">
        <v>-10.4</v>
      </c>
      <c r="H84" s="83">
        <v>-13</v>
      </c>
      <c r="I84" s="83">
        <v>-19</v>
      </c>
      <c r="J84" s="83">
        <v>-16.7</v>
      </c>
      <c r="K84" s="83">
        <v>-15.3</v>
      </c>
      <c r="L84" s="83">
        <f>-4.2</f>
        <v>-4.2</v>
      </c>
      <c r="M84" s="83">
        <v>-6.2</v>
      </c>
      <c r="N84" s="83">
        <v>14.5</v>
      </c>
      <c r="O84" s="83">
        <v>-36.9</v>
      </c>
      <c r="P84" s="83">
        <v>-54.8</v>
      </c>
      <c r="Q84" s="83">
        <v>63.6</v>
      </c>
      <c r="R84" s="83">
        <v>-24</v>
      </c>
      <c r="S84" s="83">
        <v>-10</v>
      </c>
      <c r="T84" s="83">
        <v>-11</v>
      </c>
      <c r="U84" s="83">
        <v>-12.8</v>
      </c>
      <c r="V84" s="83">
        <v>-8</v>
      </c>
      <c r="W84" s="83">
        <v>-14</v>
      </c>
      <c r="X84" s="83">
        <v>-13</v>
      </c>
      <c r="Y84" s="83">
        <v>-10</v>
      </c>
      <c r="Z84" s="83">
        <v>-2</v>
      </c>
      <c r="AA84" s="70">
        <v>-7</v>
      </c>
      <c r="AB84" s="70">
        <v>-53.6</v>
      </c>
      <c r="AC84" s="70">
        <f>-8.6-19.4</f>
        <v>-28</v>
      </c>
      <c r="AD84" s="70">
        <f>-12.4-18.4</f>
        <v>-30.799999999999997</v>
      </c>
      <c r="AE84" s="70">
        <v>-23.6</v>
      </c>
      <c r="AF84" s="123">
        <f>-4.8-5.5</f>
        <v>-10.3</v>
      </c>
      <c r="AG84" s="120">
        <v>240</v>
      </c>
      <c r="AH84" s="52">
        <f>IF(ABS(MAX(B84:AF84))&gt;ABS(MIN(B84:AF84)),MAX(B84:AF84),MIN(B84:AF84))</f>
        <v>63.6</v>
      </c>
      <c r="AI84" s="121">
        <f>INDEX($B$9:$AF$9,1,MATCH(AH84,B84:AF84,0))</f>
        <v>0.54166666666666696</v>
      </c>
    </row>
    <row r="85" spans="1:37" x14ac:dyDescent="0.25">
      <c r="A85" s="122" t="s">
        <v>91</v>
      </c>
      <c r="B85" s="83">
        <v>24.4</v>
      </c>
      <c r="C85" s="83">
        <v>22.8</v>
      </c>
      <c r="D85" s="83">
        <v>15.7</v>
      </c>
      <c r="E85" s="83">
        <v>15</v>
      </c>
      <c r="F85" s="83">
        <v>8.1</v>
      </c>
      <c r="G85" s="83">
        <v>7</v>
      </c>
      <c r="H85" s="83">
        <v>6.6</v>
      </c>
      <c r="I85" s="83">
        <v>7.6</v>
      </c>
      <c r="J85" s="83">
        <v>9.1999999999999993</v>
      </c>
      <c r="K85" s="83">
        <v>21.9</v>
      </c>
      <c r="L85" s="83">
        <v>6.3</v>
      </c>
      <c r="M85" s="83">
        <v>14.5</v>
      </c>
      <c r="N85" s="83">
        <v>21.5</v>
      </c>
      <c r="O85" s="83">
        <v>4.5</v>
      </c>
      <c r="P85" s="83">
        <v>2.8</v>
      </c>
      <c r="Q85" s="83">
        <v>0.5</v>
      </c>
      <c r="R85" s="83">
        <v>4</v>
      </c>
      <c r="S85" s="83">
        <v>6.5</v>
      </c>
      <c r="T85" s="83">
        <v>7</v>
      </c>
      <c r="U85" s="83">
        <v>6.5</v>
      </c>
      <c r="V85" s="83">
        <v>7.4</v>
      </c>
      <c r="W85" s="83">
        <v>6.6</v>
      </c>
      <c r="X85" s="83">
        <v>16</v>
      </c>
      <c r="Y85" s="83">
        <v>17</v>
      </c>
      <c r="Z85" s="83">
        <v>40</v>
      </c>
      <c r="AA85" s="70">
        <v>40</v>
      </c>
      <c r="AB85" s="70">
        <v>39.200000000000003</v>
      </c>
      <c r="AC85" s="70">
        <v>39</v>
      </c>
      <c r="AD85" s="70">
        <v>22.3</v>
      </c>
      <c r="AE85" s="70">
        <v>11.8</v>
      </c>
      <c r="AF85" s="123">
        <v>7.4</v>
      </c>
      <c r="AG85" s="120">
        <v>60</v>
      </c>
      <c r="AH85" s="52">
        <f>IF(ABS(MAX(B85:AF85))&gt;ABS(MIN(B85:AF85)),MAX(B85:AF85),MIN(B85:AF85))</f>
        <v>40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-37.200000000000003</v>
      </c>
      <c r="C86" s="85">
        <v>-42</v>
      </c>
      <c r="D86" s="85">
        <v>-42</v>
      </c>
      <c r="E86" s="85">
        <v>-38.1</v>
      </c>
      <c r="F86" s="85">
        <v>-25.9</v>
      </c>
      <c r="G86" s="85">
        <v>-9.1999999999999993</v>
      </c>
      <c r="H86" s="85">
        <v>-2</v>
      </c>
      <c r="I86" s="85">
        <v>8.4</v>
      </c>
      <c r="J86" s="85">
        <v>18.8</v>
      </c>
      <c r="K86" s="85">
        <v>26.6</v>
      </c>
      <c r="L86" s="85">
        <v>33</v>
      </c>
      <c r="M86" s="85">
        <v>33.799999999999997</v>
      </c>
      <c r="N86" s="85">
        <v>31.7</v>
      </c>
      <c r="O86" s="85">
        <v>16.100000000000001</v>
      </c>
      <c r="P86" s="85">
        <v>20.7</v>
      </c>
      <c r="Q86" s="85">
        <v>14.1</v>
      </c>
      <c r="R86" s="85">
        <v>14</v>
      </c>
      <c r="S86" s="85">
        <v>16</v>
      </c>
      <c r="T86" s="85">
        <v>19</v>
      </c>
      <c r="U86" s="85">
        <v>17.7</v>
      </c>
      <c r="V86" s="85">
        <v>23</v>
      </c>
      <c r="W86" s="85">
        <v>25</v>
      </c>
      <c r="X86" s="85">
        <v>47</v>
      </c>
      <c r="Y86" s="85">
        <v>58</v>
      </c>
      <c r="Z86" s="85">
        <v>75</v>
      </c>
      <c r="AA86" s="125">
        <v>62</v>
      </c>
      <c r="AB86" s="125">
        <v>53.5</v>
      </c>
      <c r="AC86" s="125">
        <v>37.1</v>
      </c>
      <c r="AD86" s="125">
        <v>5.7</v>
      </c>
      <c r="AE86" s="125">
        <v>-18.7</v>
      </c>
      <c r="AF86" s="126">
        <v>-27.4</v>
      </c>
      <c r="AG86" s="127">
        <v>120</v>
      </c>
      <c r="AH86" s="52">
        <f>IF(ABS(MAX(B86:AF86))&gt;ABS(MIN(B86:AF86)),MAX(B86:AF86),MIN(B86:AF86))</f>
        <v>75</v>
      </c>
      <c r="AI86" s="121">
        <f>INDEX($B$9:$AF$9,1,MATCH(AH86,B86:AF86,0))</f>
        <v>0.8125</v>
      </c>
    </row>
    <row r="87" spans="1:37" ht="15.75" thickBot="1" x14ac:dyDescent="0.3">
      <c r="A87" s="124" t="s">
        <v>93</v>
      </c>
      <c r="B87" s="85">
        <v>61.1</v>
      </c>
      <c r="C87" s="85">
        <v>57.2</v>
      </c>
      <c r="D87" s="85">
        <v>45.1</v>
      </c>
      <c r="E87" s="85">
        <v>47.4</v>
      </c>
      <c r="F87" s="85">
        <v>58.1</v>
      </c>
      <c r="G87" s="85">
        <v>68.400000000000006</v>
      </c>
      <c r="H87" s="85">
        <v>63.3</v>
      </c>
      <c r="I87" s="85">
        <v>51.5</v>
      </c>
      <c r="J87" s="85">
        <v>52.6</v>
      </c>
      <c r="K87" s="85">
        <v>50.1</v>
      </c>
      <c r="L87" s="85">
        <v>64.8</v>
      </c>
      <c r="M87" s="85">
        <v>54.1</v>
      </c>
      <c r="N87" s="85">
        <v>31.8</v>
      </c>
      <c r="O87" s="85">
        <v>0</v>
      </c>
      <c r="P87" s="85">
        <v>-5</v>
      </c>
      <c r="Q87" s="85">
        <v>-1.8</v>
      </c>
      <c r="R87" s="85">
        <v>3</v>
      </c>
      <c r="S87" s="85">
        <v>22</v>
      </c>
      <c r="T87" s="85">
        <v>37</v>
      </c>
      <c r="U87" s="85">
        <v>39.700000000000003</v>
      </c>
      <c r="V87" s="85">
        <v>43</v>
      </c>
      <c r="W87" s="85">
        <v>42</v>
      </c>
      <c r="X87" s="85">
        <v>14</v>
      </c>
      <c r="Y87" s="85">
        <v>16</v>
      </c>
      <c r="Z87" s="85">
        <v>15</v>
      </c>
      <c r="AA87" s="125">
        <v>10</v>
      </c>
      <c r="AB87" s="125">
        <v>9.3000000000000007</v>
      </c>
      <c r="AC87" s="125">
        <v>-6.4</v>
      </c>
      <c r="AD87" s="125">
        <v>11.8</v>
      </c>
      <c r="AE87" s="125">
        <v>28.2</v>
      </c>
      <c r="AF87" s="126">
        <v>53</v>
      </c>
      <c r="AG87" s="127"/>
      <c r="AH87" s="52">
        <f>IF(ABS(MAX(B87:AF87))&gt;ABS(MIN(B87:AF87)),MAX(B87:AF87),MIN(B87:AF87))</f>
        <v>68.400000000000006</v>
      </c>
      <c r="AI87" s="121">
        <f>INDEX($B$9:$AF$9,1,MATCH(AH87,B87:AF87,0))</f>
        <v>0.22916666666666666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1133.3399999999999</v>
      </c>
      <c r="C188" s="164">
        <f>INDEX(F9:M9,1,MATCH(MAX(F65:M65),F65:M65,0))</f>
        <v>0.33333333333333331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11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11)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11)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1056.04</v>
      </c>
      <c r="U193" s="173">
        <f t="shared" si="37"/>
        <v>1049.5500000000002</v>
      </c>
      <c r="V193" s="173">
        <f t="shared" si="37"/>
        <v>1015.52</v>
      </c>
      <c r="W193" s="173">
        <f t="shared" si="37"/>
        <v>1011.75</v>
      </c>
      <c r="X193" s="173">
        <f t="shared" si="37"/>
        <v>964.33999999999992</v>
      </c>
      <c r="Y193" s="173">
        <f t="shared" si="37"/>
        <v>961.64</v>
      </c>
      <c r="Z193" s="173">
        <f t="shared" si="37"/>
        <v>938.7399999999999</v>
      </c>
      <c r="AA193" s="173">
        <f t="shared" si="37"/>
        <v>929.48</v>
      </c>
      <c r="AB193" s="173">
        <f t="shared" si="37"/>
        <v>987.33999999999992</v>
      </c>
      <c r="AC193" s="173">
        <f t="shared" si="37"/>
        <v>1045.06</v>
      </c>
      <c r="AD193" s="173">
        <f t="shared" si="37"/>
        <v>1133.3399999999999</v>
      </c>
      <c r="AE193" s="173">
        <f t="shared" si="37"/>
        <v>1106.1200000000001</v>
      </c>
      <c r="AF193" s="173">
        <f t="shared" si="37"/>
        <v>1013.41</v>
      </c>
      <c r="AG193" s="173">
        <f t="shared" si="37"/>
        <v>988.6400000000001</v>
      </c>
      <c r="AH193" s="173">
        <f t="shared" si="37"/>
        <v>977.3900000000001</v>
      </c>
      <c r="AI193" s="173">
        <f t="shared" si="37"/>
        <v>905.94</v>
      </c>
      <c r="AJ193" s="173">
        <f t="shared" si="37"/>
        <v>882.74</v>
      </c>
      <c r="AK193" s="173">
        <f t="shared" si="37"/>
        <v>932.94</v>
      </c>
      <c r="AL193" s="173">
        <f t="shared" si="37"/>
        <v>929.33999999999992</v>
      </c>
      <c r="AM193" s="173">
        <f t="shared" si="37"/>
        <v>919.34</v>
      </c>
      <c r="AN193" s="173">
        <f t="shared" si="37"/>
        <v>932.84</v>
      </c>
      <c r="AO193" s="173">
        <f t="shared" si="37"/>
        <v>980.93999999999994</v>
      </c>
      <c r="AP193" s="173">
        <f t="shared" si="37"/>
        <v>1072.04</v>
      </c>
      <c r="AQ193" s="173">
        <f t="shared" si="37"/>
        <v>1077.8400000000001</v>
      </c>
      <c r="AR193" s="173">
        <f t="shared" si="37"/>
        <v>1215.24</v>
      </c>
      <c r="AS193" s="173">
        <f t="shared" si="37"/>
        <v>1211.04</v>
      </c>
      <c r="AT193" s="173">
        <f t="shared" si="37"/>
        <v>1200.3599999999999</v>
      </c>
      <c r="AU193" s="173">
        <f t="shared" si="37"/>
        <v>1180.74</v>
      </c>
      <c r="AV193" s="173">
        <f t="shared" si="37"/>
        <v>1108.1400000000001</v>
      </c>
      <c r="AW193" s="173">
        <f t="shared" si="37"/>
        <v>1033.94</v>
      </c>
      <c r="AX193" s="173">
        <f t="shared" si="37"/>
        <v>1007.4399999999999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053" priority="153">
      <formula>S$9&gt;=20/24</formula>
    </cfRule>
    <cfRule type="expression" dxfId="4052" priority="154">
      <formula>AND(S$9&gt;=14/24,S$9&lt;20/24)</formula>
    </cfRule>
    <cfRule type="expression" dxfId="4051" priority="155">
      <formula>AND(S$9&gt;=8/24,S$9&lt;14/24)</formula>
    </cfRule>
    <cfRule type="expression" dxfId="4050" priority="156">
      <formula>S$9&lt;8/24</formula>
    </cfRule>
  </conditionalFormatting>
  <conditionalFormatting sqref="B8:AF10 AA70:AF70 B70:Q70 L32:Z33 L31:Q31 B47:AF47 B71:AF71 B72:Q72 C173:AF179 M36 N35:Q36 L29:Q29 L34:Q34 L49:T50 V35:W35 S34:W34 AA72:AF79 AA48:AF51 R11:T11 B52:B58 B48:K51 J52 B59:AF69 L51:Z51 L44:AF46 U11:Z12 X34:Z35 M37:AA39 AA32:AA35 B73:AA79">
    <cfRule type="expression" dxfId="4049" priority="149">
      <formula>B$9&gt;=20/24</formula>
    </cfRule>
    <cfRule type="expression" dxfId="4048" priority="150">
      <formula>AND(B$9&gt;=14/24,B$9&lt;20/24)</formula>
    </cfRule>
    <cfRule type="expression" dxfId="4047" priority="151">
      <formula>AND(B$9&gt;=8/24,B$9&lt;14/24)</formula>
    </cfRule>
    <cfRule type="expression" dxfId="4046" priority="152">
      <formula>B$9&lt;8/24</formula>
    </cfRule>
  </conditionalFormatting>
  <conditionalFormatting sqref="B171:AF171">
    <cfRule type="expression" dxfId="4045" priority="145">
      <formula>B$9&gt;=20/24</formula>
    </cfRule>
    <cfRule type="expression" dxfId="4044" priority="146">
      <formula>AND(B$9&gt;=14/24,B$9&lt;20/24)</formula>
    </cfRule>
    <cfRule type="expression" dxfId="4043" priority="147">
      <formula>AND(B$9&gt;=8/24,B$9&lt;14/24)</formula>
    </cfRule>
    <cfRule type="expression" dxfId="4042" priority="148">
      <formula>B$9&lt;8/24</formula>
    </cfRule>
  </conditionalFormatting>
  <conditionalFormatting sqref="AL4:AL6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041" priority="140">
      <formula>L$9&gt;=20/24</formula>
    </cfRule>
    <cfRule type="expression" dxfId="4040" priority="141">
      <formula>AND(L$9&gt;=14/24,L$9&lt;20/24)</formula>
    </cfRule>
    <cfRule type="expression" dxfId="4039" priority="142">
      <formula>AND(L$9&gt;=8/24,L$9&lt;14/24)</formula>
    </cfRule>
    <cfRule type="expression" dxfId="4038" priority="143">
      <formula>L$9&lt;8/24</formula>
    </cfRule>
  </conditionalFormatting>
  <conditionalFormatting sqref="L35:M35">
    <cfRule type="expression" dxfId="4037" priority="136">
      <formula>L$9&gt;=20/24</formula>
    </cfRule>
    <cfRule type="expression" dxfId="4036" priority="137">
      <formula>AND(L$9&gt;=14/24,L$9&lt;20/24)</formula>
    </cfRule>
    <cfRule type="expression" dxfId="4035" priority="138">
      <formula>AND(L$9&gt;=8/24,L$9&lt;14/24)</formula>
    </cfRule>
    <cfRule type="expression" dxfId="4034" priority="139">
      <formula>L$9&lt;8/24</formula>
    </cfRule>
  </conditionalFormatting>
  <conditionalFormatting sqref="U13:Z13">
    <cfRule type="expression" dxfId="4033" priority="132">
      <formula>U$9&gt;=20/24</formula>
    </cfRule>
    <cfRule type="expression" dxfId="4032" priority="133">
      <formula>AND(U$9&gt;=14/24,U$9&lt;20/24)</formula>
    </cfRule>
    <cfRule type="expression" dxfId="4031" priority="134">
      <formula>AND(U$9&gt;=8/24,U$9&lt;14/24)</formula>
    </cfRule>
    <cfRule type="expression" dxfId="4030" priority="135">
      <formula>U$9&lt;8/24</formula>
    </cfRule>
  </conditionalFormatting>
  <conditionalFormatting sqref="R31:AA31">
    <cfRule type="expression" dxfId="4029" priority="128">
      <formula>R$9&gt;=20/24</formula>
    </cfRule>
    <cfRule type="expression" dxfId="4028" priority="129">
      <formula>AND(R$9&gt;=14/24,R$9&lt;20/24)</formula>
    </cfRule>
    <cfRule type="expression" dxfId="4027" priority="130">
      <formula>AND(R$9&gt;=8/24,R$9&lt;14/24)</formula>
    </cfRule>
    <cfRule type="expression" dxfId="4026" priority="131">
      <formula>R$9&lt;8/24</formula>
    </cfRule>
  </conditionalFormatting>
  <conditionalFormatting sqref="R48:Z48">
    <cfRule type="expression" dxfId="4025" priority="124">
      <formula>R$9&gt;=20/24</formula>
    </cfRule>
    <cfRule type="expression" dxfId="4024" priority="125">
      <formula>AND(R$9&gt;=14/24,R$9&lt;20/24)</formula>
    </cfRule>
    <cfRule type="expression" dxfId="4023" priority="126">
      <formula>AND(R$9&gt;=8/24,R$9&lt;14/24)</formula>
    </cfRule>
    <cfRule type="expression" dxfId="4022" priority="127">
      <formula>R$9&lt;8/24</formula>
    </cfRule>
  </conditionalFormatting>
  <conditionalFormatting sqref="R70:Z70">
    <cfRule type="expression" dxfId="4021" priority="120">
      <formula>R$9&gt;=20/24</formula>
    </cfRule>
    <cfRule type="expression" dxfId="4020" priority="121">
      <formula>AND(R$9&gt;=14/24,R$9&lt;20/24)</formula>
    </cfRule>
    <cfRule type="expression" dxfId="4019" priority="122">
      <formula>AND(R$9&gt;=8/24,R$9&lt;14/24)</formula>
    </cfRule>
    <cfRule type="expression" dxfId="4018" priority="123">
      <formula>R$9&lt;8/24</formula>
    </cfRule>
  </conditionalFormatting>
  <conditionalFormatting sqref="R72:Z72">
    <cfRule type="expression" dxfId="4017" priority="116">
      <formula>R$9&gt;=20/24</formula>
    </cfRule>
    <cfRule type="expression" dxfId="4016" priority="117">
      <formula>AND(R$9&gt;=14/24,R$9&lt;20/24)</formula>
    </cfRule>
    <cfRule type="expression" dxfId="4015" priority="118">
      <formula>AND(R$9&gt;=8/24,R$9&lt;14/24)</formula>
    </cfRule>
    <cfRule type="expression" dxfId="4014" priority="119">
      <formula>R$9&lt;8/24</formula>
    </cfRule>
  </conditionalFormatting>
  <conditionalFormatting sqref="L11:Z27 AA14 AA16 AA18 AA20:AF23 AA25:AF27">
    <cfRule type="expression" dxfId="4013" priority="112">
      <formula>L$9&gt;=20/24</formula>
    </cfRule>
    <cfRule type="expression" dxfId="4012" priority="113">
      <formula>AND(L$9&gt;=14/24,L$9&lt;20/24)</formula>
    </cfRule>
    <cfRule type="expression" dxfId="4011" priority="114">
      <formula>AND(L$9&gt;=8/24,L$9&lt;14/24)</formula>
    </cfRule>
    <cfRule type="expression" dxfId="4010" priority="115">
      <formula>L$9&lt;8/24</formula>
    </cfRule>
  </conditionalFormatting>
  <conditionalFormatting sqref="L40:AA40">
    <cfRule type="expression" dxfId="4009" priority="108">
      <formula>L$9&gt;=20/24</formula>
    </cfRule>
    <cfRule type="expression" dxfId="4008" priority="109">
      <formula>AND(L$9&gt;=14/24,L$9&lt;20/24)</formula>
    </cfRule>
    <cfRule type="expression" dxfId="4007" priority="110">
      <formula>AND(L$9&gt;=8/24,L$9&lt;14/24)</formula>
    </cfRule>
    <cfRule type="expression" dxfId="4006" priority="111">
      <formula>L$9&lt;8/24</formula>
    </cfRule>
  </conditionalFormatting>
  <conditionalFormatting sqref="L41:AA41">
    <cfRule type="expression" dxfId="4005" priority="104">
      <formula>L$9&gt;=20/24</formula>
    </cfRule>
    <cfRule type="expression" dxfId="4004" priority="105">
      <formula>AND(L$9&gt;=14/24,L$9&lt;20/24)</formula>
    </cfRule>
    <cfRule type="expression" dxfId="4003" priority="106">
      <formula>AND(L$9&gt;=8/24,L$9&lt;14/24)</formula>
    </cfRule>
    <cfRule type="expression" dxfId="4002" priority="107">
      <formula>L$9&lt;8/24</formula>
    </cfRule>
  </conditionalFormatting>
  <conditionalFormatting sqref="L36:L39 M37:AA39">
    <cfRule type="expression" dxfId="4001" priority="100">
      <formula>L$9&gt;=20/24</formula>
    </cfRule>
    <cfRule type="expression" dxfId="4000" priority="101">
      <formula>AND(L$9&gt;=14/24,L$9&lt;20/24)</formula>
    </cfRule>
    <cfRule type="expression" dxfId="3999" priority="102">
      <formula>AND(L$9&gt;=8/24,L$9&lt;14/24)</formula>
    </cfRule>
    <cfRule type="expression" dxfId="3998" priority="103">
      <formula>L$9&lt;8/24</formula>
    </cfRule>
  </conditionalFormatting>
  <conditionalFormatting sqref="R29:AD29">
    <cfRule type="expression" dxfId="3997" priority="96">
      <formula>R$9&gt;=20/24</formula>
    </cfRule>
    <cfRule type="expression" dxfId="3996" priority="97">
      <formula>AND(R$9&gt;=14/24,R$9&lt;20/24)</formula>
    </cfRule>
    <cfRule type="expression" dxfId="3995" priority="98">
      <formula>AND(R$9&gt;=8/24,R$9&lt;14/24)</formula>
    </cfRule>
    <cfRule type="expression" dxfId="3994" priority="99">
      <formula>R$9&lt;8/24</formula>
    </cfRule>
  </conditionalFormatting>
  <conditionalFormatting sqref="R12:T27 U14:Z27 S24:Y24 AA14 AA16:AF27">
    <cfRule type="expression" dxfId="3993" priority="92">
      <formula>R$9&gt;=20/24</formula>
    </cfRule>
    <cfRule type="expression" dxfId="3992" priority="93">
      <formula>AND(R$9&gt;=14/24,R$9&lt;20/24)</formula>
    </cfRule>
    <cfRule type="expression" dxfId="3991" priority="94">
      <formula>AND(R$9&gt;=8/24,R$9&lt;14/24)</formula>
    </cfRule>
    <cfRule type="expression" dxfId="3990" priority="95">
      <formula>R$9&lt;8/24</formula>
    </cfRule>
  </conditionalFormatting>
  <conditionalFormatting sqref="R34:R39 S35:U39 V36:AA39">
    <cfRule type="expression" dxfId="3989" priority="88">
      <formula>R$9&gt;=20/24</formula>
    </cfRule>
    <cfRule type="expression" dxfId="3988" priority="89">
      <formula>AND(R$9&gt;=14/24,R$9&lt;20/24)</formula>
    </cfRule>
    <cfRule type="expression" dxfId="3987" priority="90">
      <formula>AND(R$9&gt;=8/24,R$9&lt;14/24)</formula>
    </cfRule>
    <cfRule type="expression" dxfId="3986" priority="91">
      <formula>R$9&lt;8/24</formula>
    </cfRule>
  </conditionalFormatting>
  <conditionalFormatting sqref="R40:AA40">
    <cfRule type="expression" dxfId="3985" priority="84">
      <formula>R$9&gt;=20/24</formula>
    </cfRule>
    <cfRule type="expression" dxfId="3984" priority="85">
      <formula>AND(R$9&gt;=14/24,R$9&lt;20/24)</formula>
    </cfRule>
    <cfRule type="expression" dxfId="3983" priority="86">
      <formula>AND(R$9&gt;=8/24,R$9&lt;14/24)</formula>
    </cfRule>
    <cfRule type="expression" dxfId="3982" priority="87">
      <formula>R$9&lt;8/24</formula>
    </cfRule>
  </conditionalFormatting>
  <conditionalFormatting sqref="R41:AA41">
    <cfRule type="expression" dxfId="3981" priority="80">
      <formula>R$9&gt;=20/24</formula>
    </cfRule>
    <cfRule type="expression" dxfId="3980" priority="81">
      <formula>AND(R$9&gt;=14/24,R$9&lt;20/24)</formula>
    </cfRule>
    <cfRule type="expression" dxfId="3979" priority="82">
      <formula>AND(R$9&gt;=8/24,R$9&lt;14/24)</formula>
    </cfRule>
    <cfRule type="expression" dxfId="3978" priority="83">
      <formula>R$9&lt;8/24</formula>
    </cfRule>
  </conditionalFormatting>
  <conditionalFormatting sqref="AA52:AF52">
    <cfRule type="expression" dxfId="3977" priority="76">
      <formula>AA$9&gt;=20/24</formula>
    </cfRule>
    <cfRule type="expression" dxfId="3976" priority="77">
      <formula>AND(AA$9&gt;=14/24,AA$9&lt;20/24)</formula>
    </cfRule>
    <cfRule type="expression" dxfId="3975" priority="78">
      <formula>AND(AA$9&gt;=8/24,AA$9&lt;14/24)</formula>
    </cfRule>
    <cfRule type="expression" dxfId="3974" priority="79">
      <formula>AA$9&lt;8/24</formula>
    </cfRule>
  </conditionalFormatting>
  <conditionalFormatting sqref="AA83:AF86">
    <cfRule type="expression" dxfId="3973" priority="72">
      <formula>AA$9&gt;=20/24</formula>
    </cfRule>
    <cfRule type="expression" dxfId="3972" priority="73">
      <formula>AND(AA$9&gt;=14/24,AA$9&lt;20/24)</formula>
    </cfRule>
    <cfRule type="expression" dxfId="3971" priority="74">
      <formula>AND(AA$9&gt;=8/24,AA$9&lt;14/24)</formula>
    </cfRule>
    <cfRule type="expression" dxfId="3970" priority="75">
      <formula>AA$9&lt;8/24</formula>
    </cfRule>
  </conditionalFormatting>
  <conditionalFormatting sqref="J53:J58">
    <cfRule type="expression" dxfId="3969" priority="68">
      <formula>J$9&gt;=20/24</formula>
    </cfRule>
    <cfRule type="expression" dxfId="3968" priority="69">
      <formula>AND(J$9&gt;=14/24,J$9&lt;20/24)</formula>
    </cfRule>
    <cfRule type="expression" dxfId="3967" priority="70">
      <formula>AND(J$9&gt;=8/24,J$9&lt;14/24)</formula>
    </cfRule>
    <cfRule type="expression" dxfId="3966" priority="71">
      <formula>J$9&lt;8/24</formula>
    </cfRule>
  </conditionalFormatting>
  <conditionalFormatting sqref="B83:K86">
    <cfRule type="expression" dxfId="3965" priority="64">
      <formula>B$9&gt;=20/24</formula>
    </cfRule>
    <cfRule type="expression" dxfId="3964" priority="65">
      <formula>AND(B$9&gt;=14/24,B$9&lt;20/24)</formula>
    </cfRule>
    <cfRule type="expression" dxfId="3963" priority="66">
      <formula>AND(B$9&gt;=8/24,B$9&lt;14/24)</formula>
    </cfRule>
    <cfRule type="expression" dxfId="3962" priority="67">
      <formula>B$9&lt;8/24</formula>
    </cfRule>
  </conditionalFormatting>
  <conditionalFormatting sqref="L83:Q86">
    <cfRule type="expression" dxfId="3961" priority="60">
      <formula>L$9&gt;=20/24</formula>
    </cfRule>
    <cfRule type="expression" dxfId="3960" priority="61">
      <formula>AND(L$9&gt;=14/24,L$9&lt;20/24)</formula>
    </cfRule>
    <cfRule type="expression" dxfId="3959" priority="62">
      <formula>AND(L$9&gt;=8/24,L$9&lt;14/24)</formula>
    </cfRule>
    <cfRule type="expression" dxfId="3958" priority="63">
      <formula>L$9&lt;8/24</formula>
    </cfRule>
  </conditionalFormatting>
  <conditionalFormatting sqref="R83:Z86">
    <cfRule type="expression" dxfId="3957" priority="56">
      <formula>R$9&gt;=20/24</formula>
    </cfRule>
    <cfRule type="expression" dxfId="3956" priority="57">
      <formula>AND(R$9&gt;=14/24,R$9&lt;20/24)</formula>
    </cfRule>
    <cfRule type="expression" dxfId="3955" priority="58">
      <formula>AND(R$9&gt;=8/24,R$9&lt;14/24)</formula>
    </cfRule>
    <cfRule type="expression" dxfId="3954" priority="59">
      <formula>R$9&lt;8/24</formula>
    </cfRule>
  </conditionalFormatting>
  <conditionalFormatting sqref="AG42 B11:AF47">
    <cfRule type="expression" dxfId="3953" priority="55">
      <formula>B11&gt;$AG11</formula>
    </cfRule>
  </conditionalFormatting>
  <conditionalFormatting sqref="T192:AX192">
    <cfRule type="expression" dxfId="3952" priority="51">
      <formula>T$9&gt;=20/24</formula>
    </cfRule>
    <cfRule type="expression" dxfId="3951" priority="52">
      <formula>AND(T$9&gt;=14/24,T$9&lt;20/24)</formula>
    </cfRule>
    <cfRule type="expression" dxfId="3950" priority="53">
      <formula>AND(T$9&gt;=8/24,T$9&lt;14/24)</formula>
    </cfRule>
    <cfRule type="expression" dxfId="3949" priority="54">
      <formula>T$9&lt;8/24</formula>
    </cfRule>
  </conditionalFormatting>
  <conditionalFormatting sqref="A11:A86 A88:A180">
    <cfRule type="expression" dxfId="3948" priority="50">
      <formula>$AH11=0</formula>
    </cfRule>
  </conditionalFormatting>
  <conditionalFormatting sqref="AA87:AF87">
    <cfRule type="expression" dxfId="3947" priority="46">
      <formula>AA$9&gt;=20/24</formula>
    </cfRule>
    <cfRule type="expression" dxfId="3946" priority="47">
      <formula>AND(AA$9&gt;=14/24,AA$9&lt;20/24)</formula>
    </cfRule>
    <cfRule type="expression" dxfId="3945" priority="48">
      <formula>AND(AA$9&gt;=8/24,AA$9&lt;14/24)</formula>
    </cfRule>
    <cfRule type="expression" dxfId="3944" priority="49">
      <formula>AA$9&lt;8/24</formula>
    </cfRule>
  </conditionalFormatting>
  <conditionalFormatting sqref="B87:K87">
    <cfRule type="expression" dxfId="3943" priority="42">
      <formula>B$9&gt;=20/24</formula>
    </cfRule>
    <cfRule type="expression" dxfId="3942" priority="43">
      <formula>AND(B$9&gt;=14/24,B$9&lt;20/24)</formula>
    </cfRule>
    <cfRule type="expression" dxfId="3941" priority="44">
      <formula>AND(B$9&gt;=8/24,B$9&lt;14/24)</formula>
    </cfRule>
    <cfRule type="expression" dxfId="3940" priority="45">
      <formula>B$9&lt;8/24</formula>
    </cfRule>
  </conditionalFormatting>
  <conditionalFormatting sqref="L87:Q87">
    <cfRule type="expression" dxfId="3939" priority="38">
      <formula>L$9&gt;=20/24</formula>
    </cfRule>
    <cfRule type="expression" dxfId="3938" priority="39">
      <formula>AND(L$9&gt;=14/24,L$9&lt;20/24)</formula>
    </cfRule>
    <cfRule type="expression" dxfId="3937" priority="40">
      <formula>AND(L$9&gt;=8/24,L$9&lt;14/24)</formula>
    </cfRule>
    <cfRule type="expression" dxfId="3936" priority="41">
      <formula>L$9&lt;8/24</formula>
    </cfRule>
  </conditionalFormatting>
  <conditionalFormatting sqref="R87:Z87">
    <cfRule type="expression" dxfId="3935" priority="34">
      <formula>R$9&gt;=20/24</formula>
    </cfRule>
    <cfRule type="expression" dxfId="3934" priority="35">
      <formula>AND(R$9&gt;=14/24,R$9&lt;20/24)</formula>
    </cfRule>
    <cfRule type="expression" dxfId="3933" priority="36">
      <formula>AND(R$9&gt;=8/24,R$9&lt;14/24)</formula>
    </cfRule>
    <cfRule type="expression" dxfId="3932" priority="37">
      <formula>R$9&lt;8/24</formula>
    </cfRule>
  </conditionalFormatting>
  <conditionalFormatting sqref="A87">
    <cfRule type="expression" dxfId="3931" priority="33">
      <formula>$AH87=0</formula>
    </cfRule>
  </conditionalFormatting>
  <conditionalFormatting sqref="B28:AF28">
    <cfRule type="expression" dxfId="3930" priority="29">
      <formula>B$9&gt;=20/24</formula>
    </cfRule>
    <cfRule type="expression" dxfId="3929" priority="30">
      <formula>AND(B$9&gt;=14/24,B$9&lt;20/24)</formula>
    </cfRule>
    <cfRule type="expression" dxfId="3928" priority="31">
      <formula>AND(B$9&gt;=8/24,B$9&lt;14/24)</formula>
    </cfRule>
    <cfRule type="expression" dxfId="3927" priority="32">
      <formula>B$9&lt;8/24</formula>
    </cfRule>
  </conditionalFormatting>
  <conditionalFormatting sqref="R28:AA28">
    <cfRule type="expression" dxfId="3926" priority="25">
      <formula>R$9&gt;=20/24</formula>
    </cfRule>
    <cfRule type="expression" dxfId="3925" priority="26">
      <formula>AND(R$9&gt;=14/24,R$9&lt;20/24)</formula>
    </cfRule>
    <cfRule type="expression" dxfId="3924" priority="27">
      <formula>AND(R$9&gt;=8/24,R$9&lt;14/24)</formula>
    </cfRule>
    <cfRule type="expression" dxfId="3923" priority="28">
      <formula>R$9&lt;8/24</formula>
    </cfRule>
  </conditionalFormatting>
  <conditionalFormatting sqref="C52:C58">
    <cfRule type="expression" dxfId="3922" priority="21">
      <formula>C$9&gt;=20/24</formula>
    </cfRule>
    <cfRule type="expression" dxfId="3921" priority="22">
      <formula>AND(C$9&gt;=14/24,C$9&lt;20/24)</formula>
    </cfRule>
    <cfRule type="expression" dxfId="3920" priority="23">
      <formula>AND(C$9&gt;=8/24,C$9&lt;14/24)</formula>
    </cfRule>
    <cfRule type="expression" dxfId="3919" priority="24">
      <formula>C$9&lt;8/24</formula>
    </cfRule>
  </conditionalFormatting>
  <conditionalFormatting sqref="D52:D58">
    <cfRule type="expression" dxfId="3918" priority="17">
      <formula>D$9&gt;=20/24</formula>
    </cfRule>
    <cfRule type="expression" dxfId="3917" priority="18">
      <formula>AND(D$9&gt;=14/24,D$9&lt;20/24)</formula>
    </cfRule>
    <cfRule type="expression" dxfId="3916" priority="19">
      <formula>AND(D$9&gt;=8/24,D$9&lt;14/24)</formula>
    </cfRule>
    <cfRule type="expression" dxfId="3915" priority="20">
      <formula>D$9&lt;8/24</formula>
    </cfRule>
  </conditionalFormatting>
  <conditionalFormatting sqref="E52:H58">
    <cfRule type="expression" dxfId="3914" priority="13">
      <formula>E$9&gt;=20/24</formula>
    </cfRule>
    <cfRule type="expression" dxfId="3913" priority="14">
      <formula>AND(E$9&gt;=14/24,E$9&lt;20/24)</formula>
    </cfRule>
    <cfRule type="expression" dxfId="3912" priority="15">
      <formula>AND(E$9&gt;=8/24,E$9&lt;14/24)</formula>
    </cfRule>
    <cfRule type="expression" dxfId="3911" priority="16">
      <formula>E$9&lt;8/24</formula>
    </cfRule>
  </conditionalFormatting>
  <conditionalFormatting sqref="I52:I58">
    <cfRule type="expression" dxfId="3910" priority="9">
      <formula>I$9&gt;=20/24</formula>
    </cfRule>
    <cfRule type="expression" dxfId="3909" priority="10">
      <formula>AND(I$9&gt;=14/24,I$9&lt;20/24)</formula>
    </cfRule>
    <cfRule type="expression" dxfId="3908" priority="11">
      <formula>AND(I$9&gt;=8/24,I$9&lt;14/24)</formula>
    </cfRule>
    <cfRule type="expression" dxfId="3907" priority="12">
      <formula>I$9&lt;8/24</formula>
    </cfRule>
  </conditionalFormatting>
  <conditionalFormatting sqref="K52:Z52">
    <cfRule type="expression" dxfId="3906" priority="5">
      <formula>K$9&gt;=20/24</formula>
    </cfRule>
    <cfRule type="expression" dxfId="3905" priority="6">
      <formula>AND(K$9&gt;=14/24,K$9&lt;20/24)</formula>
    </cfRule>
    <cfRule type="expression" dxfId="3904" priority="7">
      <formula>AND(K$9&gt;=8/24,K$9&lt;14/24)</formula>
    </cfRule>
    <cfRule type="expression" dxfId="3903" priority="8">
      <formula>K$9&lt;8/24</formula>
    </cfRule>
  </conditionalFormatting>
  <conditionalFormatting sqref="K53:AF58">
    <cfRule type="expression" dxfId="3902" priority="1">
      <formula>K$9&gt;=20/24</formula>
    </cfRule>
    <cfRule type="expression" dxfId="3901" priority="2">
      <formula>AND(K$9&gt;=14/24,K$9&lt;20/24)</formula>
    </cfRule>
    <cfRule type="expression" dxfId="3900" priority="3">
      <formula>AND(K$9&gt;=8/24,K$9&lt;14/24)</formula>
    </cfRule>
    <cfRule type="expression" dxfId="3899" priority="4">
      <formula>K$9&lt;8/24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7" sqref="L7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12</v>
      </c>
      <c r="D4" s="324">
        <f ca="1">IFERROR(DATE(2021,5,14)+C4,"")</f>
        <v>44342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340.5</v>
      </c>
      <c r="C5" s="32">
        <f t="shared" ref="C5:AF5" si="0">C59</f>
        <v>330.2</v>
      </c>
      <c r="D5" s="32">
        <f t="shared" si="0"/>
        <v>293.5</v>
      </c>
      <c r="E5" s="32">
        <f t="shared" si="0"/>
        <v>302.59999999999997</v>
      </c>
      <c r="F5" s="32">
        <f t="shared" si="0"/>
        <v>268.5</v>
      </c>
      <c r="G5" s="32">
        <f t="shared" si="0"/>
        <v>256.3</v>
      </c>
      <c r="H5" s="32">
        <f t="shared" si="0"/>
        <v>257.40000000000003</v>
      </c>
      <c r="I5" s="32">
        <f t="shared" si="0"/>
        <v>270.3</v>
      </c>
      <c r="J5" s="32">
        <f t="shared" si="0"/>
        <v>278.3</v>
      </c>
      <c r="K5" s="32">
        <f t="shared" si="0"/>
        <v>315.60000000000002</v>
      </c>
      <c r="L5" s="32">
        <f t="shared" si="0"/>
        <v>333.3</v>
      </c>
      <c r="M5" s="32">
        <f t="shared" si="0"/>
        <v>372.43</v>
      </c>
      <c r="N5" s="32">
        <f t="shared" si="0"/>
        <v>320.8</v>
      </c>
      <c r="O5" s="32">
        <f t="shared" si="0"/>
        <v>324.40999999999997</v>
      </c>
      <c r="P5" s="32">
        <f t="shared" si="0"/>
        <v>295.70000000000005</v>
      </c>
      <c r="Q5" s="32">
        <f t="shared" si="0"/>
        <v>304.39000000000004</v>
      </c>
      <c r="R5" s="32">
        <f t="shared" si="0"/>
        <v>328</v>
      </c>
      <c r="S5" s="32">
        <f t="shared" si="0"/>
        <v>333.59999999999997</v>
      </c>
      <c r="T5" s="32">
        <f t="shared" si="0"/>
        <v>347.9</v>
      </c>
      <c r="U5" s="32">
        <f t="shared" si="0"/>
        <v>329.52000000000004</v>
      </c>
      <c r="V5" s="32">
        <f t="shared" si="0"/>
        <v>331.8</v>
      </c>
      <c r="W5" s="32">
        <f t="shared" si="0"/>
        <v>330.50999999999993</v>
      </c>
      <c r="X5" s="32">
        <f t="shared" si="0"/>
        <v>367.68</v>
      </c>
      <c r="Y5" s="32">
        <f t="shared" si="0"/>
        <v>394.7</v>
      </c>
      <c r="Z5" s="32">
        <f t="shared" si="0"/>
        <v>9</v>
      </c>
      <c r="AA5" s="32">
        <f t="shared" si="0"/>
        <v>389.5</v>
      </c>
      <c r="AB5" s="32">
        <f t="shared" si="0"/>
        <v>364</v>
      </c>
      <c r="AC5" s="32">
        <f t="shared" si="0"/>
        <v>359.5</v>
      </c>
      <c r="AD5" s="32">
        <f t="shared" si="0"/>
        <v>269.5</v>
      </c>
      <c r="AE5" s="32">
        <f t="shared" si="0"/>
        <v>247.8</v>
      </c>
      <c r="AF5" s="32">
        <f t="shared" si="0"/>
        <v>197.8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1029MW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Load=173</v>
      </c>
      <c r="B7" s="36">
        <f t="shared" ref="B7:AF7" si="1">B65</f>
        <v>997.94</v>
      </c>
      <c r="C7" s="36">
        <f t="shared" si="1"/>
        <v>958.84</v>
      </c>
      <c r="D7" s="36">
        <f t="shared" si="1"/>
        <v>924.54</v>
      </c>
      <c r="E7" s="36">
        <f t="shared" si="1"/>
        <v>916.64</v>
      </c>
      <c r="F7" s="36">
        <f t="shared" si="1"/>
        <v>893.14</v>
      </c>
      <c r="G7" s="36">
        <f t="shared" si="1"/>
        <v>890.99</v>
      </c>
      <c r="H7" s="36">
        <f t="shared" si="1"/>
        <v>901.93999999999994</v>
      </c>
      <c r="I7" s="36">
        <f t="shared" si="1"/>
        <v>917.24</v>
      </c>
      <c r="J7" s="36">
        <f t="shared" si="1"/>
        <v>955.54</v>
      </c>
      <c r="K7" s="36">
        <f t="shared" si="1"/>
        <v>1001.24</v>
      </c>
      <c r="L7" s="36">
        <f>L65</f>
        <v>1028.8399999999999</v>
      </c>
      <c r="M7" s="36">
        <f t="shared" si="1"/>
        <v>1029.27</v>
      </c>
      <c r="N7" s="36">
        <f t="shared" si="1"/>
        <v>1019.24</v>
      </c>
      <c r="O7" s="36">
        <f t="shared" si="1"/>
        <v>984.95</v>
      </c>
      <c r="P7" s="36">
        <f t="shared" si="1"/>
        <v>961.84000000000015</v>
      </c>
      <c r="Q7" s="36">
        <f t="shared" si="1"/>
        <v>963.83000000000015</v>
      </c>
      <c r="R7" s="36">
        <f t="shared" si="1"/>
        <v>1034.2399999999998</v>
      </c>
      <c r="S7" s="36">
        <f t="shared" si="1"/>
        <v>987.94</v>
      </c>
      <c r="T7" s="36">
        <f t="shared" si="1"/>
        <v>992.54</v>
      </c>
      <c r="U7" s="36">
        <f t="shared" si="1"/>
        <v>947.26</v>
      </c>
      <c r="V7" s="36">
        <f t="shared" si="1"/>
        <v>943.94</v>
      </c>
      <c r="W7" s="36">
        <f t="shared" si="1"/>
        <v>955.44999999999993</v>
      </c>
      <c r="X7" s="36">
        <f t="shared" si="1"/>
        <v>976.02</v>
      </c>
      <c r="Y7" s="36">
        <f t="shared" si="1"/>
        <v>1021.4399999999999</v>
      </c>
      <c r="Z7" s="36">
        <f t="shared" si="1"/>
        <v>172.84</v>
      </c>
      <c r="AA7" s="36">
        <f t="shared" si="1"/>
        <v>1125.04</v>
      </c>
      <c r="AB7" s="36">
        <f t="shared" si="1"/>
        <v>1091.24</v>
      </c>
      <c r="AC7" s="36">
        <f t="shared" si="1"/>
        <v>1050.04</v>
      </c>
      <c r="AD7" s="36">
        <f t="shared" si="1"/>
        <v>938.33999999999992</v>
      </c>
      <c r="AE7" s="36">
        <f t="shared" si="1"/>
        <v>896.44</v>
      </c>
      <c r="AF7" s="36">
        <f t="shared" si="1"/>
        <v>866.2399999999999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26.9</v>
      </c>
      <c r="C11" s="48">
        <v>26.2</v>
      </c>
      <c r="D11" s="48">
        <v>26.6</v>
      </c>
      <c r="E11" s="48">
        <v>27.5</v>
      </c>
      <c r="F11" s="48">
        <v>29</v>
      </c>
      <c r="G11" s="48">
        <v>30.4</v>
      </c>
      <c r="H11" s="48">
        <v>30.5</v>
      </c>
      <c r="I11" s="48">
        <v>30.2</v>
      </c>
      <c r="J11" s="48">
        <v>30.6</v>
      </c>
      <c r="K11" s="48">
        <v>30.6</v>
      </c>
      <c r="L11" s="49">
        <v>37.1</v>
      </c>
      <c r="M11" s="49">
        <v>44.4</v>
      </c>
      <c r="N11" s="49">
        <v>41</v>
      </c>
      <c r="O11" s="49">
        <v>43.6</v>
      </c>
      <c r="P11" s="49">
        <v>44.7</v>
      </c>
      <c r="Q11" s="49">
        <v>43.5</v>
      </c>
      <c r="R11" s="50">
        <v>42.6</v>
      </c>
      <c r="S11" s="50">
        <v>43.2</v>
      </c>
      <c r="T11" s="50">
        <v>37.6</v>
      </c>
      <c r="U11" s="50">
        <v>39.299999999999997</v>
      </c>
      <c r="V11" s="50">
        <v>39.299999999999997</v>
      </c>
      <c r="W11" s="50">
        <v>38.299999999999997</v>
      </c>
      <c r="X11" s="50">
        <v>37.9</v>
      </c>
      <c r="Y11" s="50">
        <v>37.4</v>
      </c>
      <c r="Z11" s="50"/>
      <c r="AA11" s="48">
        <v>36.299999999999997</v>
      </c>
      <c r="AB11" s="48">
        <v>37.6</v>
      </c>
      <c r="AC11" s="48">
        <v>37</v>
      </c>
      <c r="AD11" s="48">
        <v>35.299999999999997</v>
      </c>
      <c r="AE11" s="48">
        <v>36</v>
      </c>
      <c r="AF11" s="48">
        <v>37</v>
      </c>
      <c r="AG11" s="51">
        <v>60</v>
      </c>
      <c r="AH11" s="52">
        <f>MAX(B11:AF11)</f>
        <v>44.7</v>
      </c>
      <c r="AI11" s="53">
        <f>MIN(B11:AF11)</f>
        <v>26.2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50.6</v>
      </c>
      <c r="C12" s="56">
        <v>50.6</v>
      </c>
      <c r="D12" s="56">
        <v>50.7</v>
      </c>
      <c r="E12" s="56">
        <v>50.6</v>
      </c>
      <c r="F12" s="56">
        <v>50.7</v>
      </c>
      <c r="G12" s="56">
        <v>50.4</v>
      </c>
      <c r="H12" s="56">
        <v>50.6</v>
      </c>
      <c r="I12" s="56">
        <v>50.4</v>
      </c>
      <c r="J12" s="56">
        <v>50.4</v>
      </c>
      <c r="K12" s="56">
        <v>50.6</v>
      </c>
      <c r="L12" s="49">
        <v>50.3</v>
      </c>
      <c r="M12" s="49">
        <v>50.6</v>
      </c>
      <c r="N12" s="49">
        <v>50</v>
      </c>
      <c r="O12" s="49">
        <v>50.2</v>
      </c>
      <c r="P12" s="49">
        <v>50.3</v>
      </c>
      <c r="Q12" s="49">
        <v>49.7</v>
      </c>
      <c r="R12" s="49">
        <v>50</v>
      </c>
      <c r="S12" s="49">
        <v>50.6</v>
      </c>
      <c r="T12" s="49">
        <v>50.1</v>
      </c>
      <c r="U12" s="49">
        <v>50.6</v>
      </c>
      <c r="V12" s="49">
        <v>50.5</v>
      </c>
      <c r="W12" s="49">
        <v>50.5</v>
      </c>
      <c r="X12" s="49">
        <v>50.7</v>
      </c>
      <c r="Y12" s="49">
        <v>50.5</v>
      </c>
      <c r="Z12" s="49"/>
      <c r="AA12" s="56">
        <v>51</v>
      </c>
      <c r="AB12" s="56">
        <v>50.5</v>
      </c>
      <c r="AC12" s="56">
        <v>50.8</v>
      </c>
      <c r="AD12" s="56">
        <v>50.2</v>
      </c>
      <c r="AE12" s="56">
        <v>50.4</v>
      </c>
      <c r="AF12" s="56">
        <v>50.5</v>
      </c>
      <c r="AG12" s="57">
        <v>50</v>
      </c>
      <c r="AH12" s="52">
        <f t="shared" ref="AH12:AH77" si="2">MAX(B12:AF12)</f>
        <v>51</v>
      </c>
      <c r="AI12" s="53">
        <f t="shared" ref="AI12:AI77" si="3">MIN(B12:AF12)</f>
        <v>49.7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42.9</v>
      </c>
      <c r="C13" s="56">
        <v>42.9</v>
      </c>
      <c r="D13" s="56">
        <v>42.9</v>
      </c>
      <c r="E13" s="56">
        <v>42.9</v>
      </c>
      <c r="F13" s="56">
        <v>42.9</v>
      </c>
      <c r="G13" s="56">
        <v>42.8</v>
      </c>
      <c r="H13" s="56">
        <v>42.9</v>
      </c>
      <c r="I13" s="56">
        <v>42.6</v>
      </c>
      <c r="J13" s="56">
        <v>42.9</v>
      </c>
      <c r="K13" s="56">
        <v>42.9</v>
      </c>
      <c r="L13" s="49">
        <v>42.9</v>
      </c>
      <c r="M13" s="49">
        <v>44.6</v>
      </c>
      <c r="N13" s="49">
        <v>44.4</v>
      </c>
      <c r="O13" s="49">
        <v>44.7</v>
      </c>
      <c r="P13" s="49">
        <v>44.5</v>
      </c>
      <c r="Q13" s="49">
        <v>44.6</v>
      </c>
      <c r="R13" s="49">
        <v>44.5</v>
      </c>
      <c r="S13" s="49">
        <v>44.5</v>
      </c>
      <c r="T13" s="49">
        <v>45</v>
      </c>
      <c r="U13" s="49">
        <v>45.2</v>
      </c>
      <c r="V13" s="49">
        <v>44.9</v>
      </c>
      <c r="W13" s="49">
        <v>44.6</v>
      </c>
      <c r="X13" s="49">
        <v>44.9</v>
      </c>
      <c r="Y13" s="49">
        <v>44.9</v>
      </c>
      <c r="Z13" s="49"/>
      <c r="AA13" s="56">
        <v>45</v>
      </c>
      <c r="AB13" s="56">
        <v>45</v>
      </c>
      <c r="AC13" s="56">
        <v>44.7</v>
      </c>
      <c r="AD13" s="56">
        <v>45</v>
      </c>
      <c r="AE13" s="56">
        <v>45</v>
      </c>
      <c r="AF13" s="56">
        <v>45</v>
      </c>
      <c r="AG13" s="59">
        <v>45</v>
      </c>
      <c r="AH13" s="52">
        <f t="shared" si="2"/>
        <v>45.2</v>
      </c>
      <c r="AI13" s="53">
        <f t="shared" si="3"/>
        <v>42.6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12.5</v>
      </c>
      <c r="C14" s="56">
        <v>12.5</v>
      </c>
      <c r="D14" s="56">
        <v>12.5</v>
      </c>
      <c r="E14" s="56">
        <v>12.5</v>
      </c>
      <c r="F14" s="56">
        <v>12.5</v>
      </c>
      <c r="G14" s="56">
        <v>12.5</v>
      </c>
      <c r="H14" s="56">
        <v>12.5</v>
      </c>
      <c r="I14" s="56">
        <v>12.5</v>
      </c>
      <c r="J14" s="56">
        <v>12.5</v>
      </c>
      <c r="K14" s="56">
        <v>12.5</v>
      </c>
      <c r="L14" s="56">
        <v>12.5</v>
      </c>
      <c r="M14" s="56">
        <v>12.5</v>
      </c>
      <c r="N14" s="56">
        <v>12.5</v>
      </c>
      <c r="O14" s="56">
        <v>12.5</v>
      </c>
      <c r="P14" s="56">
        <v>12.5</v>
      </c>
      <c r="Q14" s="56">
        <v>12.5</v>
      </c>
      <c r="R14" s="49">
        <v>12.5</v>
      </c>
      <c r="S14" s="49">
        <v>12.5</v>
      </c>
      <c r="T14" s="49">
        <v>12.5</v>
      </c>
      <c r="U14" s="49">
        <v>12.5</v>
      </c>
      <c r="V14" s="49">
        <v>12.5</v>
      </c>
      <c r="W14" s="49">
        <v>12.5</v>
      </c>
      <c r="X14" s="49">
        <v>12.5</v>
      </c>
      <c r="Y14" s="49">
        <v>12.5</v>
      </c>
      <c r="Z14" s="49">
        <v>12.5</v>
      </c>
      <c r="AA14" s="49">
        <v>12.5</v>
      </c>
      <c r="AB14" s="49">
        <v>12.5</v>
      </c>
      <c r="AC14" s="49">
        <v>12.5</v>
      </c>
      <c r="AD14" s="49">
        <v>12.5</v>
      </c>
      <c r="AE14" s="49">
        <v>12.5</v>
      </c>
      <c r="AF14" s="49">
        <v>12.5</v>
      </c>
      <c r="AG14" s="59">
        <v>25</v>
      </c>
      <c r="AH14" s="52">
        <f t="shared" si="2"/>
        <v>12.5</v>
      </c>
      <c r="AI14" s="53">
        <f t="shared" si="3"/>
        <v>12.5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14.3</v>
      </c>
      <c r="C15" s="56">
        <v>15.7</v>
      </c>
      <c r="D15" s="56">
        <v>15.9</v>
      </c>
      <c r="E15" s="56">
        <v>15.7</v>
      </c>
      <c r="F15" s="56">
        <v>16</v>
      </c>
      <c r="G15" s="56">
        <v>16.2</v>
      </c>
      <c r="H15" s="56">
        <v>13.7</v>
      </c>
      <c r="I15" s="56">
        <v>15.9</v>
      </c>
      <c r="J15" s="56">
        <v>15.9</v>
      </c>
      <c r="K15" s="56">
        <v>16</v>
      </c>
      <c r="L15" s="49">
        <v>13.6</v>
      </c>
      <c r="M15" s="49">
        <v>13.6</v>
      </c>
      <c r="N15" s="49">
        <v>13.4</v>
      </c>
      <c r="O15" s="49">
        <v>13.5</v>
      </c>
      <c r="P15" s="49">
        <v>13.5</v>
      </c>
      <c r="Q15" s="49">
        <v>13.4</v>
      </c>
      <c r="R15" s="49">
        <v>13.5</v>
      </c>
      <c r="S15" s="49">
        <v>13.5</v>
      </c>
      <c r="T15" s="49">
        <v>13.4</v>
      </c>
      <c r="U15" s="49">
        <v>13.5</v>
      </c>
      <c r="V15" s="49">
        <v>13.5</v>
      </c>
      <c r="W15" s="49">
        <v>13.5</v>
      </c>
      <c r="X15" s="49">
        <v>13.5</v>
      </c>
      <c r="Y15" s="49">
        <v>13.5</v>
      </c>
      <c r="Z15" s="49"/>
      <c r="AA15" s="56">
        <v>22.5</v>
      </c>
      <c r="AB15" s="56">
        <v>23.3</v>
      </c>
      <c r="AC15" s="56">
        <v>25.4</v>
      </c>
      <c r="AD15" s="56">
        <v>26</v>
      </c>
      <c r="AE15" s="56">
        <v>26</v>
      </c>
      <c r="AF15" s="56">
        <v>25.7</v>
      </c>
      <c r="AG15" s="59">
        <v>25</v>
      </c>
      <c r="AH15" s="52">
        <f t="shared" si="2"/>
        <v>26</v>
      </c>
      <c r="AI15" s="53">
        <f t="shared" si="3"/>
        <v>13.4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56">
        <v>6.2</v>
      </c>
      <c r="N16" s="56">
        <v>6.2</v>
      </c>
      <c r="O16" s="56">
        <v>6.2</v>
      </c>
      <c r="P16" s="56">
        <v>6.2</v>
      </c>
      <c r="Q16" s="56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</v>
      </c>
      <c r="C17" s="49">
        <v>22</v>
      </c>
      <c r="D17" s="56">
        <v>21.3</v>
      </c>
      <c r="E17" s="56">
        <v>21.6</v>
      </c>
      <c r="F17" s="56">
        <v>21.5</v>
      </c>
      <c r="G17" s="56">
        <v>21.4</v>
      </c>
      <c r="H17" s="56">
        <v>22.5</v>
      </c>
      <c r="I17" s="56">
        <v>22.2</v>
      </c>
      <c r="J17" s="56">
        <v>22.3</v>
      </c>
      <c r="K17" s="56">
        <v>22</v>
      </c>
      <c r="L17" s="49">
        <v>22.5</v>
      </c>
      <c r="M17" s="49">
        <v>22.3</v>
      </c>
      <c r="N17" s="49">
        <v>22.5</v>
      </c>
      <c r="O17" s="49">
        <v>22.6</v>
      </c>
      <c r="P17" s="49">
        <v>22.4</v>
      </c>
      <c r="Q17" s="49">
        <v>24.4</v>
      </c>
      <c r="R17" s="49">
        <v>24.5</v>
      </c>
      <c r="S17" s="49">
        <v>24.3</v>
      </c>
      <c r="T17" s="49">
        <v>23.1</v>
      </c>
      <c r="U17" s="49">
        <v>23.5</v>
      </c>
      <c r="V17" s="49">
        <v>23.8</v>
      </c>
      <c r="W17" s="49">
        <v>23.5</v>
      </c>
      <c r="X17" s="49">
        <v>23.5</v>
      </c>
      <c r="Y17" s="49">
        <v>23.4</v>
      </c>
      <c r="Z17" s="49"/>
      <c r="AA17" s="49">
        <v>23.4</v>
      </c>
      <c r="AB17" s="49">
        <v>23.2</v>
      </c>
      <c r="AC17" s="49">
        <v>23.5</v>
      </c>
      <c r="AD17" s="49">
        <v>24</v>
      </c>
      <c r="AE17" s="49">
        <v>24</v>
      </c>
      <c r="AF17" s="49">
        <v>24.1</v>
      </c>
      <c r="AG17" s="59">
        <v>22.1</v>
      </c>
      <c r="AH17" s="52">
        <f t="shared" si="2"/>
        <v>24.5</v>
      </c>
      <c r="AI17" s="53">
        <f t="shared" si="3"/>
        <v>21.3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49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56">
        <v>3.5</v>
      </c>
      <c r="M18" s="56">
        <v>3.5</v>
      </c>
      <c r="N18" s="56">
        <v>3.5</v>
      </c>
      <c r="O18" s="56">
        <v>3.5</v>
      </c>
      <c r="P18" s="56">
        <v>3.5</v>
      </c>
      <c r="Q18" s="56">
        <v>3.5</v>
      </c>
      <c r="R18" s="49">
        <v>3.5</v>
      </c>
      <c r="S18" s="49">
        <v>3.5</v>
      </c>
      <c r="T18" s="49">
        <v>3.5</v>
      </c>
      <c r="U18" s="49">
        <v>3.5</v>
      </c>
      <c r="V18" s="49">
        <v>3.5</v>
      </c>
      <c r="W18" s="49">
        <v>3.5</v>
      </c>
      <c r="X18" s="49">
        <v>3.5</v>
      </c>
      <c r="Y18" s="49">
        <v>3.5</v>
      </c>
      <c r="Z18" s="49">
        <v>3.5</v>
      </c>
      <c r="AA18" s="49">
        <v>3.5</v>
      </c>
      <c r="AB18" s="49">
        <v>3.5</v>
      </c>
      <c r="AC18" s="49">
        <v>3.5</v>
      </c>
      <c r="AD18" s="49">
        <v>3.5</v>
      </c>
      <c r="AE18" s="49">
        <v>3.5</v>
      </c>
      <c r="AF18" s="49">
        <v>3.5</v>
      </c>
      <c r="AG18" s="59">
        <v>22.1</v>
      </c>
      <c r="AH18" s="52">
        <f t="shared" si="2"/>
        <v>5</v>
      </c>
      <c r="AI18" s="53">
        <f t="shared" si="3"/>
        <v>3.5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15.1</v>
      </c>
      <c r="C19" s="49">
        <v>15.1</v>
      </c>
      <c r="D19" s="56">
        <v>13.6</v>
      </c>
      <c r="E19" s="56">
        <v>11.2</v>
      </c>
      <c r="F19" s="56">
        <v>11.7</v>
      </c>
      <c r="G19" s="56">
        <v>12.5</v>
      </c>
      <c r="H19" s="56">
        <v>12.6</v>
      </c>
      <c r="I19" s="56">
        <v>12.2</v>
      </c>
      <c r="J19" s="56">
        <v>12.2</v>
      </c>
      <c r="K19" s="56">
        <v>12.2</v>
      </c>
      <c r="L19" s="49">
        <v>12.2</v>
      </c>
      <c r="M19" s="49">
        <v>12.5</v>
      </c>
      <c r="N19" s="49">
        <v>12.5</v>
      </c>
      <c r="O19" s="49">
        <v>12.1</v>
      </c>
      <c r="P19" s="49">
        <v>12.2</v>
      </c>
      <c r="Q19" s="49">
        <v>12.2</v>
      </c>
      <c r="R19" s="49">
        <v>12.7</v>
      </c>
      <c r="S19" s="49">
        <v>15.5</v>
      </c>
      <c r="T19" s="49">
        <v>14.8</v>
      </c>
      <c r="U19" s="49">
        <v>14.8</v>
      </c>
      <c r="V19" s="49">
        <v>15.7</v>
      </c>
      <c r="W19" s="49">
        <v>19.2</v>
      </c>
      <c r="X19" s="49">
        <v>19.100000000000001</v>
      </c>
      <c r="Y19" s="49">
        <v>17.8</v>
      </c>
      <c r="Z19" s="49"/>
      <c r="AA19" s="49">
        <v>17.3</v>
      </c>
      <c r="AB19" s="49">
        <v>17.3</v>
      </c>
      <c r="AC19" s="49">
        <v>17.3</v>
      </c>
      <c r="AD19" s="49">
        <v>16.3</v>
      </c>
      <c r="AE19" s="49">
        <v>14.8</v>
      </c>
      <c r="AF19" s="49">
        <v>14</v>
      </c>
      <c r="AG19" s="59">
        <v>22</v>
      </c>
      <c r="AH19" s="52">
        <f t="shared" si="2"/>
        <v>19.2</v>
      </c>
      <c r="AI19" s="53">
        <f t="shared" si="3"/>
        <v>11.2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7</v>
      </c>
      <c r="C20" s="49">
        <v>7</v>
      </c>
      <c r="D20" s="49">
        <v>7</v>
      </c>
      <c r="E20" s="49">
        <v>7</v>
      </c>
      <c r="F20" s="49">
        <v>7</v>
      </c>
      <c r="G20" s="49">
        <v>7</v>
      </c>
      <c r="H20" s="49">
        <v>7</v>
      </c>
      <c r="I20" s="49">
        <v>7</v>
      </c>
      <c r="J20" s="49">
        <v>7</v>
      </c>
      <c r="K20" s="49">
        <v>7</v>
      </c>
      <c r="L20" s="49">
        <v>6.5</v>
      </c>
      <c r="M20" s="49">
        <v>6.5</v>
      </c>
      <c r="N20" s="49">
        <v>6.5</v>
      </c>
      <c r="O20" s="49">
        <v>6.5</v>
      </c>
      <c r="P20" s="49">
        <v>6.5</v>
      </c>
      <c r="Q20" s="49">
        <v>6.5</v>
      </c>
      <c r="R20" s="49">
        <v>6.5</v>
      </c>
      <c r="S20" s="49">
        <v>6.5</v>
      </c>
      <c r="T20" s="49">
        <v>6.5</v>
      </c>
      <c r="U20" s="49">
        <v>6.5</v>
      </c>
      <c r="V20" s="49">
        <v>6.5</v>
      </c>
      <c r="W20" s="49">
        <v>6.5</v>
      </c>
      <c r="X20" s="49">
        <v>6.5</v>
      </c>
      <c r="Y20" s="49">
        <v>6.5</v>
      </c>
      <c r="Z20" s="49">
        <v>6.5</v>
      </c>
      <c r="AA20" s="49">
        <v>6.5</v>
      </c>
      <c r="AB20" s="49">
        <v>6.5</v>
      </c>
      <c r="AC20" s="49">
        <v>6.5</v>
      </c>
      <c r="AD20" s="49">
        <v>6.5</v>
      </c>
      <c r="AE20" s="49">
        <v>6.5</v>
      </c>
      <c r="AF20" s="49">
        <v>6.5</v>
      </c>
      <c r="AG20" s="59">
        <v>22</v>
      </c>
      <c r="AH20" s="52">
        <f t="shared" si="2"/>
        <v>7</v>
      </c>
      <c r="AI20" s="53">
        <f t="shared" si="3"/>
        <v>6.5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3.5</v>
      </c>
      <c r="C21" s="49">
        <v>3.5</v>
      </c>
      <c r="D21" s="49">
        <v>3.5</v>
      </c>
      <c r="E21" s="49">
        <v>3.5</v>
      </c>
      <c r="F21" s="49">
        <v>3.5</v>
      </c>
      <c r="G21" s="49">
        <v>3.5</v>
      </c>
      <c r="H21" s="49">
        <v>3.5</v>
      </c>
      <c r="I21" s="49">
        <v>3.5</v>
      </c>
      <c r="J21" s="49">
        <v>3.5</v>
      </c>
      <c r="K21" s="49">
        <v>3.5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59">
        <v>14.9</v>
      </c>
      <c r="AH21" s="52">
        <f t="shared" si="2"/>
        <v>3.5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4</v>
      </c>
      <c r="AB23" s="56">
        <v>4</v>
      </c>
      <c r="AC23" s="56">
        <v>4</v>
      </c>
      <c r="AD23" s="56">
        <v>4</v>
      </c>
      <c r="AE23" s="56">
        <v>4</v>
      </c>
      <c r="AF23" s="56">
        <v>4</v>
      </c>
      <c r="AG23" s="59">
        <v>13</v>
      </c>
      <c r="AH23" s="52">
        <f t="shared" si="2"/>
        <v>4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49">
        <v>0</v>
      </c>
      <c r="C24" s="49">
        <v>4</v>
      </c>
      <c r="D24" s="56">
        <v>12</v>
      </c>
      <c r="E24" s="56">
        <v>12</v>
      </c>
      <c r="F24" s="56">
        <v>12</v>
      </c>
      <c r="G24" s="56">
        <v>12</v>
      </c>
      <c r="H24" s="56">
        <v>12</v>
      </c>
      <c r="I24" s="56">
        <v>12</v>
      </c>
      <c r="J24" s="56">
        <v>12</v>
      </c>
      <c r="K24" s="56">
        <v>12</v>
      </c>
      <c r="L24" s="56">
        <v>10</v>
      </c>
      <c r="M24" s="56">
        <v>10</v>
      </c>
      <c r="N24" s="56">
        <v>6.5</v>
      </c>
      <c r="O24" s="56">
        <v>6.5</v>
      </c>
      <c r="P24" s="56">
        <v>6.5</v>
      </c>
      <c r="Q24" s="56">
        <v>6.5</v>
      </c>
      <c r="R24" s="56">
        <v>6.5</v>
      </c>
      <c r="S24" s="56">
        <v>6.5</v>
      </c>
      <c r="T24" s="56">
        <v>6.5</v>
      </c>
      <c r="U24" s="56">
        <v>6.5</v>
      </c>
      <c r="V24" s="56">
        <v>6.5</v>
      </c>
      <c r="W24" s="56">
        <v>6.5</v>
      </c>
      <c r="X24" s="56">
        <v>6.5</v>
      </c>
      <c r="Y24" s="56">
        <v>6.5</v>
      </c>
      <c r="Z24" s="56">
        <v>6.5</v>
      </c>
      <c r="AA24" s="56">
        <v>6.5</v>
      </c>
      <c r="AB24" s="56">
        <v>6.5</v>
      </c>
      <c r="AC24" s="56">
        <v>6.5</v>
      </c>
      <c r="AD24" s="56">
        <v>6.5</v>
      </c>
      <c r="AE24" s="56">
        <v>6.5</v>
      </c>
      <c r="AF24" s="56">
        <v>6.5</v>
      </c>
      <c r="AG24" s="59">
        <v>12</v>
      </c>
      <c r="AH24" s="52">
        <f t="shared" si="2"/>
        <v>12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4</v>
      </c>
      <c r="AA26" s="56">
        <v>4</v>
      </c>
      <c r="AB26" s="56">
        <v>4</v>
      </c>
      <c r="AC26" s="56">
        <v>4</v>
      </c>
      <c r="AD26" s="56">
        <v>4</v>
      </c>
      <c r="AE26" s="56">
        <v>4</v>
      </c>
      <c r="AF26" s="56">
        <v>4</v>
      </c>
      <c r="AG26" s="59">
        <v>12</v>
      </c>
      <c r="AH26" s="52">
        <f>MAX(B26:AF26)</f>
        <v>4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95</v>
      </c>
      <c r="C28" s="56">
        <v>95</v>
      </c>
      <c r="D28" s="56">
        <v>95</v>
      </c>
      <c r="E28" s="56">
        <v>95</v>
      </c>
      <c r="F28" s="56">
        <v>95</v>
      </c>
      <c r="G28" s="56">
        <v>95</v>
      </c>
      <c r="H28" s="56">
        <v>95</v>
      </c>
      <c r="I28" s="56">
        <v>95</v>
      </c>
      <c r="J28" s="56">
        <v>95</v>
      </c>
      <c r="K28" s="56">
        <v>95</v>
      </c>
      <c r="L28" s="56">
        <v>95</v>
      </c>
      <c r="M28" s="56">
        <v>95</v>
      </c>
      <c r="N28" s="56">
        <v>95</v>
      </c>
      <c r="O28" s="56">
        <v>95</v>
      </c>
      <c r="P28" s="56">
        <v>95</v>
      </c>
      <c r="Q28" s="56">
        <v>95</v>
      </c>
      <c r="R28" s="56">
        <v>95</v>
      </c>
      <c r="S28" s="56">
        <v>95</v>
      </c>
      <c r="T28" s="56">
        <v>95</v>
      </c>
      <c r="U28" s="56">
        <v>95</v>
      </c>
      <c r="V28" s="56">
        <v>95</v>
      </c>
      <c r="W28" s="56">
        <v>95</v>
      </c>
      <c r="X28" s="56">
        <v>95</v>
      </c>
      <c r="Y28" s="56">
        <v>95</v>
      </c>
      <c r="Z28" s="56">
        <v>95</v>
      </c>
      <c r="AA28" s="56">
        <v>95</v>
      </c>
      <c r="AB28" s="56">
        <v>95</v>
      </c>
      <c r="AC28" s="56">
        <v>95</v>
      </c>
      <c r="AD28" s="56">
        <v>95</v>
      </c>
      <c r="AE28" s="56">
        <v>95</v>
      </c>
      <c r="AF28" s="56">
        <v>95</v>
      </c>
      <c r="AG28" s="59">
        <v>85</v>
      </c>
      <c r="AH28" s="52">
        <f t="shared" si="2"/>
        <v>95</v>
      </c>
      <c r="AI28" s="53">
        <f t="shared" si="3"/>
        <v>95</v>
      </c>
      <c r="AK28" s="54"/>
    </row>
    <row r="29" spans="1:88" ht="15.75" thickBot="1" x14ac:dyDescent="0.3">
      <c r="A29" s="66" t="s">
        <v>36</v>
      </c>
      <c r="B29" s="56">
        <v>38.200000000000003</v>
      </c>
      <c r="C29" s="56">
        <v>38.9</v>
      </c>
      <c r="D29" s="56">
        <v>39.700000000000003</v>
      </c>
      <c r="E29" s="56">
        <v>39</v>
      </c>
      <c r="F29" s="56">
        <v>38</v>
      </c>
      <c r="G29" s="56">
        <v>37.6</v>
      </c>
      <c r="H29" s="56">
        <v>37.9</v>
      </c>
      <c r="I29" s="56">
        <v>36</v>
      </c>
      <c r="J29" s="56">
        <v>34.9</v>
      </c>
      <c r="K29" s="56">
        <v>35.1</v>
      </c>
      <c r="L29" s="67">
        <v>33.700000000000003</v>
      </c>
      <c r="M29" s="67">
        <v>35.4</v>
      </c>
      <c r="N29" s="67">
        <v>36</v>
      </c>
      <c r="O29" s="67">
        <v>38.1</v>
      </c>
      <c r="P29" s="67">
        <v>40</v>
      </c>
      <c r="Q29" s="67">
        <v>39.5</v>
      </c>
      <c r="R29" s="67">
        <v>37.700000000000003</v>
      </c>
      <c r="S29" s="67">
        <v>38.5</v>
      </c>
      <c r="T29" s="67">
        <v>38.4</v>
      </c>
      <c r="U29" s="67">
        <v>38.799999999999997</v>
      </c>
      <c r="V29" s="67">
        <v>34.4</v>
      </c>
      <c r="W29" s="67">
        <v>31.7</v>
      </c>
      <c r="X29" s="67">
        <v>34.299999999999997</v>
      </c>
      <c r="Y29" s="67">
        <v>34.4</v>
      </c>
      <c r="Z29" s="67"/>
      <c r="AA29" s="67">
        <v>39.1</v>
      </c>
      <c r="AB29" s="67">
        <v>38.9</v>
      </c>
      <c r="AC29" s="67">
        <v>43</v>
      </c>
      <c r="AD29" s="67">
        <v>48.6</v>
      </c>
      <c r="AE29" s="56">
        <v>53.4</v>
      </c>
      <c r="AF29" s="56">
        <v>51</v>
      </c>
      <c r="AG29" s="59">
        <v>240</v>
      </c>
      <c r="AH29" s="52">
        <f t="shared" si="2"/>
        <v>53.4</v>
      </c>
      <c r="AI29" s="53">
        <f t="shared" si="3"/>
        <v>31.7</v>
      </c>
      <c r="AK29" s="54"/>
    </row>
    <row r="30" spans="1:88" ht="15.75" thickBot="1" x14ac:dyDescent="0.3">
      <c r="A30" s="68" t="s">
        <v>37</v>
      </c>
      <c r="B30" s="69">
        <f>SUM(B11:B28)</f>
        <v>320.2</v>
      </c>
      <c r="C30" s="69">
        <f t="shared" ref="C30:AF30" si="4">SUM(C11:C28)</f>
        <v>324.89999999999998</v>
      </c>
      <c r="D30" s="69">
        <f t="shared" si="4"/>
        <v>331.4</v>
      </c>
      <c r="E30" s="69">
        <f t="shared" si="4"/>
        <v>329.9</v>
      </c>
      <c r="F30" s="69">
        <f t="shared" si="4"/>
        <v>332.19999999999993</v>
      </c>
      <c r="G30" s="69">
        <f t="shared" si="4"/>
        <v>334.09999999999997</v>
      </c>
      <c r="H30" s="69">
        <f t="shared" si="4"/>
        <v>333.19999999999993</v>
      </c>
      <c r="I30" s="69">
        <f t="shared" si="4"/>
        <v>333.9</v>
      </c>
      <c r="J30" s="69">
        <f t="shared" si="4"/>
        <v>334.7</v>
      </c>
      <c r="K30" s="69">
        <f t="shared" si="4"/>
        <v>334.69999999999993</v>
      </c>
      <c r="L30" s="69">
        <f t="shared" si="4"/>
        <v>331.5</v>
      </c>
      <c r="M30" s="69">
        <f t="shared" si="4"/>
        <v>340.9</v>
      </c>
      <c r="N30" s="69">
        <f t="shared" si="4"/>
        <v>333.2</v>
      </c>
      <c r="O30" s="69">
        <f t="shared" si="4"/>
        <v>336.09999999999997</v>
      </c>
      <c r="P30" s="69">
        <f t="shared" si="4"/>
        <v>337</v>
      </c>
      <c r="Q30" s="69">
        <f t="shared" si="4"/>
        <v>337.2</v>
      </c>
      <c r="R30" s="69">
        <f t="shared" si="4"/>
        <v>337.19999999999993</v>
      </c>
      <c r="S30" s="69">
        <f t="shared" si="4"/>
        <v>341</v>
      </c>
      <c r="T30" s="69">
        <f t="shared" si="4"/>
        <v>333.4</v>
      </c>
      <c r="U30" s="69">
        <f t="shared" si="4"/>
        <v>336.3</v>
      </c>
      <c r="V30" s="69">
        <f>SUM(V11:V28)</f>
        <v>337.09999999999997</v>
      </c>
      <c r="W30" s="69">
        <f t="shared" si="4"/>
        <v>339</v>
      </c>
      <c r="X30" s="69">
        <f t="shared" si="4"/>
        <v>339</v>
      </c>
      <c r="Y30" s="69">
        <f t="shared" si="4"/>
        <v>336.9</v>
      </c>
      <c r="Z30" s="69">
        <f t="shared" si="4"/>
        <v>149.4</v>
      </c>
      <c r="AA30" s="69">
        <f t="shared" si="4"/>
        <v>344.9</v>
      </c>
      <c r="AB30" s="69">
        <f t="shared" si="4"/>
        <v>346.29999999999995</v>
      </c>
      <c r="AC30" s="69">
        <f t="shared" si="4"/>
        <v>348.1</v>
      </c>
      <c r="AD30" s="69">
        <f t="shared" si="4"/>
        <v>346.2</v>
      </c>
      <c r="AE30" s="69">
        <f t="shared" si="4"/>
        <v>345.6</v>
      </c>
      <c r="AF30" s="69">
        <f t="shared" si="4"/>
        <v>345.69999999999993</v>
      </c>
      <c r="AG30" s="59">
        <f>SUM(AG11:AG29)</f>
        <v>729.2</v>
      </c>
      <c r="AH30" s="52">
        <f t="shared" si="2"/>
        <v>348.1</v>
      </c>
      <c r="AI30" s="53">
        <f t="shared" si="3"/>
        <v>149.4</v>
      </c>
      <c r="AK30" s="54"/>
    </row>
    <row r="31" spans="1:88" x14ac:dyDescent="0.25">
      <c r="A31" s="55" t="s">
        <v>38</v>
      </c>
      <c r="B31" s="48">
        <v>97</v>
      </c>
      <c r="C31" s="56">
        <v>96.9</v>
      </c>
      <c r="D31" s="56">
        <v>96.3</v>
      </c>
      <c r="E31" s="56">
        <v>96.8</v>
      </c>
      <c r="F31" s="56">
        <v>97</v>
      </c>
      <c r="G31" s="56">
        <v>96.8</v>
      </c>
      <c r="H31" s="56">
        <v>97</v>
      </c>
      <c r="I31" s="56">
        <v>97</v>
      </c>
      <c r="J31" s="56">
        <v>97.1</v>
      </c>
      <c r="K31" s="56">
        <v>97</v>
      </c>
      <c r="L31" s="49">
        <v>96.9</v>
      </c>
      <c r="M31" s="49">
        <v>97</v>
      </c>
      <c r="N31" s="49">
        <v>97.4</v>
      </c>
      <c r="O31" s="49">
        <v>96.8</v>
      </c>
      <c r="P31" s="49">
        <v>96.8</v>
      </c>
      <c r="Q31" s="49">
        <v>97</v>
      </c>
      <c r="R31" s="49">
        <v>97</v>
      </c>
      <c r="S31" s="49">
        <v>97</v>
      </c>
      <c r="T31" s="49">
        <v>96.9</v>
      </c>
      <c r="U31" s="49">
        <v>96.9</v>
      </c>
      <c r="V31" s="49">
        <v>97</v>
      </c>
      <c r="W31" s="49">
        <v>96.9</v>
      </c>
      <c r="X31" s="49">
        <v>96.9</v>
      </c>
      <c r="Y31" s="49">
        <v>96.9</v>
      </c>
      <c r="Z31" s="49"/>
      <c r="AA31" s="48">
        <v>96.8</v>
      </c>
      <c r="AB31" s="48">
        <v>96.8</v>
      </c>
      <c r="AC31" s="48">
        <v>96.8</v>
      </c>
      <c r="AD31" s="48">
        <v>97</v>
      </c>
      <c r="AE31" s="48">
        <v>97</v>
      </c>
      <c r="AF31" s="48">
        <v>97</v>
      </c>
      <c r="AG31" s="57">
        <v>144</v>
      </c>
      <c r="AH31" s="52">
        <f t="shared" si="2"/>
        <v>97.4</v>
      </c>
      <c r="AI31" s="53">
        <f t="shared" si="3"/>
        <v>96.3</v>
      </c>
      <c r="AK31" s="54"/>
    </row>
    <row r="32" spans="1:88" x14ac:dyDescent="0.25">
      <c r="A32" s="58" t="s">
        <v>39</v>
      </c>
      <c r="B32" s="56">
        <v>35.5</v>
      </c>
      <c r="C32" s="56">
        <v>30.3</v>
      </c>
      <c r="D32" s="56">
        <v>30</v>
      </c>
      <c r="E32" s="56">
        <v>26</v>
      </c>
      <c r="F32" s="56">
        <v>35</v>
      </c>
      <c r="G32" s="56">
        <v>35</v>
      </c>
      <c r="H32" s="56">
        <v>35</v>
      </c>
      <c r="I32" s="56">
        <v>36</v>
      </c>
      <c r="J32" s="56">
        <v>70</v>
      </c>
      <c r="K32" s="56">
        <v>70</v>
      </c>
      <c r="L32" s="70">
        <v>69.099999999999994</v>
      </c>
      <c r="M32" s="70">
        <v>53.9</v>
      </c>
      <c r="N32" s="70">
        <v>69.400000000000006</v>
      </c>
      <c r="O32" s="70">
        <v>69.900000000000006</v>
      </c>
      <c r="P32" s="70">
        <v>71.5</v>
      </c>
      <c r="Q32" s="70">
        <v>70.900000000000006</v>
      </c>
      <c r="R32" s="70">
        <v>64.900000000000006</v>
      </c>
      <c r="S32" s="70">
        <v>70.900000000000006</v>
      </c>
      <c r="T32" s="70">
        <v>70</v>
      </c>
      <c r="U32" s="70">
        <v>49.2</v>
      </c>
      <c r="V32" s="70">
        <v>44.1</v>
      </c>
      <c r="W32" s="70">
        <v>44</v>
      </c>
      <c r="X32" s="70">
        <v>21.5</v>
      </c>
      <c r="Y32" s="70">
        <v>32.200000000000003</v>
      </c>
      <c r="Z32" s="70"/>
      <c r="AA32" s="56">
        <v>69.400000000000006</v>
      </c>
      <c r="AB32" s="56">
        <v>69.599999999999994</v>
      </c>
      <c r="AC32" s="56">
        <v>69.900000000000006</v>
      </c>
      <c r="AD32" s="56">
        <v>65</v>
      </c>
      <c r="AE32" s="56">
        <v>45</v>
      </c>
      <c r="AF32" s="56">
        <v>60</v>
      </c>
      <c r="AG32" s="59">
        <v>70</v>
      </c>
      <c r="AH32" s="52">
        <f t="shared" si="2"/>
        <v>71.5</v>
      </c>
      <c r="AI32" s="53">
        <f t="shared" si="3"/>
        <v>21.5</v>
      </c>
      <c r="AK32" s="54"/>
    </row>
    <row r="33" spans="1:41" x14ac:dyDescent="0.25">
      <c r="A33" s="58" t="s">
        <v>40</v>
      </c>
      <c r="B33" s="56">
        <v>58</v>
      </c>
      <c r="C33" s="56">
        <v>57.6</v>
      </c>
      <c r="D33" s="56">
        <v>56</v>
      </c>
      <c r="E33" s="56">
        <v>46</v>
      </c>
      <c r="F33" s="56">
        <v>37.200000000000003</v>
      </c>
      <c r="G33" s="56">
        <v>37.1</v>
      </c>
      <c r="H33" s="56">
        <v>46</v>
      </c>
      <c r="I33" s="56">
        <v>46</v>
      </c>
      <c r="J33" s="56">
        <v>46</v>
      </c>
      <c r="K33" s="56">
        <v>46</v>
      </c>
      <c r="L33" s="70">
        <v>43.1</v>
      </c>
      <c r="M33" s="70">
        <v>42.8</v>
      </c>
      <c r="N33" s="70">
        <v>43</v>
      </c>
      <c r="O33" s="70">
        <v>43.4</v>
      </c>
      <c r="P33" s="70">
        <v>41.9</v>
      </c>
      <c r="Q33" s="70">
        <v>41.8</v>
      </c>
      <c r="R33" s="70">
        <v>64.8</v>
      </c>
      <c r="S33" s="70">
        <v>65.2</v>
      </c>
      <c r="T33" s="70">
        <v>59.5</v>
      </c>
      <c r="U33" s="70">
        <v>50.5</v>
      </c>
      <c r="V33" s="70">
        <v>50.9</v>
      </c>
      <c r="W33" s="70">
        <v>66.099999999999994</v>
      </c>
      <c r="X33" s="70">
        <v>66.8</v>
      </c>
      <c r="Y33" s="70">
        <v>66.400000000000006</v>
      </c>
      <c r="Z33" s="70"/>
      <c r="AA33" s="56">
        <v>66.3</v>
      </c>
      <c r="AB33" s="56">
        <v>66.2</v>
      </c>
      <c r="AC33" s="56">
        <v>66.2</v>
      </c>
      <c r="AD33" s="56">
        <v>66.400000000000006</v>
      </c>
      <c r="AE33" s="56">
        <v>66.3</v>
      </c>
      <c r="AF33" s="56">
        <v>66</v>
      </c>
      <c r="AG33" s="59">
        <v>69</v>
      </c>
      <c r="AH33" s="52">
        <f t="shared" si="2"/>
        <v>66.8</v>
      </c>
      <c r="AI33" s="53">
        <f t="shared" si="3"/>
        <v>37.1</v>
      </c>
      <c r="AK33" s="54"/>
    </row>
    <row r="34" spans="1:41" x14ac:dyDescent="0.25">
      <c r="A34" s="58" t="s">
        <v>41</v>
      </c>
      <c r="B34" s="56">
        <v>29</v>
      </c>
      <c r="C34" s="56">
        <v>29</v>
      </c>
      <c r="D34" s="56">
        <v>29</v>
      </c>
      <c r="E34" s="56">
        <v>29.6</v>
      </c>
      <c r="F34" s="56">
        <v>29</v>
      </c>
      <c r="G34" s="56">
        <v>29</v>
      </c>
      <c r="H34" s="56">
        <v>30.2</v>
      </c>
      <c r="I34" s="56">
        <v>30</v>
      </c>
      <c r="J34" s="56">
        <v>28.9</v>
      </c>
      <c r="K34" s="56">
        <v>28.7</v>
      </c>
      <c r="L34" s="70">
        <v>29</v>
      </c>
      <c r="M34" s="70">
        <v>29</v>
      </c>
      <c r="N34" s="70">
        <v>29</v>
      </c>
      <c r="O34" s="70">
        <v>29</v>
      </c>
      <c r="P34" s="70">
        <v>29</v>
      </c>
      <c r="Q34" s="70">
        <v>29</v>
      </c>
      <c r="R34" s="70">
        <v>29</v>
      </c>
      <c r="S34" s="70">
        <v>24.4</v>
      </c>
      <c r="T34" s="70">
        <v>29</v>
      </c>
      <c r="U34" s="70">
        <v>29</v>
      </c>
      <c r="V34" s="70">
        <v>28.7</v>
      </c>
      <c r="W34" s="70">
        <v>23.6</v>
      </c>
      <c r="X34" s="70">
        <v>28.7</v>
      </c>
      <c r="Y34" s="70">
        <v>29</v>
      </c>
      <c r="Z34" s="70"/>
      <c r="AA34" s="56">
        <v>29</v>
      </c>
      <c r="AB34" s="56">
        <v>29</v>
      </c>
      <c r="AC34" s="56">
        <v>29</v>
      </c>
      <c r="AD34" s="56">
        <v>29</v>
      </c>
      <c r="AE34" s="56">
        <v>29</v>
      </c>
      <c r="AF34" s="56">
        <v>29</v>
      </c>
      <c r="AG34" s="59">
        <v>60</v>
      </c>
      <c r="AH34" s="52">
        <f t="shared" si="2"/>
        <v>30.2</v>
      </c>
      <c r="AI34" s="53">
        <f t="shared" si="3"/>
        <v>23.6</v>
      </c>
      <c r="AK34" s="54"/>
    </row>
    <row r="35" spans="1:41" x14ac:dyDescent="0.25">
      <c r="A35" s="58" t="s">
        <v>42</v>
      </c>
      <c r="B35" s="56">
        <v>20</v>
      </c>
      <c r="C35" s="56">
        <v>20</v>
      </c>
      <c r="D35" s="56">
        <v>20</v>
      </c>
      <c r="E35" s="56">
        <v>20.5</v>
      </c>
      <c r="F35" s="56">
        <v>20</v>
      </c>
      <c r="G35" s="56">
        <v>20</v>
      </c>
      <c r="H35" s="56">
        <v>20</v>
      </c>
      <c r="I35" s="56">
        <v>20.5</v>
      </c>
      <c r="J35" s="56">
        <v>21</v>
      </c>
      <c r="K35" s="56">
        <v>30</v>
      </c>
      <c r="L35" s="49">
        <v>29.3</v>
      </c>
      <c r="M35" s="49">
        <v>30</v>
      </c>
      <c r="N35" s="49">
        <v>30</v>
      </c>
      <c r="O35" s="49">
        <v>24.5</v>
      </c>
      <c r="P35" s="49">
        <v>28.4</v>
      </c>
      <c r="Q35" s="49">
        <v>28.9</v>
      </c>
      <c r="R35" s="49">
        <v>74</v>
      </c>
      <c r="S35" s="49">
        <v>15.1</v>
      </c>
      <c r="T35" s="49">
        <v>15.1</v>
      </c>
      <c r="U35" s="49">
        <v>15.1</v>
      </c>
      <c r="V35" s="70">
        <v>15.1</v>
      </c>
      <c r="W35" s="70">
        <v>15.1</v>
      </c>
      <c r="X35" s="70">
        <v>15.2</v>
      </c>
      <c r="Y35" s="70">
        <v>25.1</v>
      </c>
      <c r="Z35" s="70"/>
      <c r="AA35" s="56">
        <v>25</v>
      </c>
      <c r="AB35" s="56">
        <v>24.3</v>
      </c>
      <c r="AC35" s="56">
        <v>24.3</v>
      </c>
      <c r="AD35" s="56">
        <v>25</v>
      </c>
      <c r="AE35" s="56">
        <v>23</v>
      </c>
      <c r="AF35" s="56">
        <v>28</v>
      </c>
      <c r="AG35" s="59">
        <v>30</v>
      </c>
      <c r="AH35" s="52">
        <f t="shared" si="2"/>
        <v>74</v>
      </c>
      <c r="AI35" s="53">
        <f t="shared" si="3"/>
        <v>15.1</v>
      </c>
      <c r="AK35" s="54"/>
    </row>
    <row r="36" spans="1:41" x14ac:dyDescent="0.25">
      <c r="A36" s="58" t="s">
        <v>43</v>
      </c>
      <c r="B36" s="56">
        <v>14.6</v>
      </c>
      <c r="C36" s="56">
        <v>14.6</v>
      </c>
      <c r="D36" s="71">
        <v>14.6</v>
      </c>
      <c r="E36" s="71">
        <v>14.6</v>
      </c>
      <c r="F36" s="71">
        <v>14.7</v>
      </c>
      <c r="G36" s="71">
        <v>14.6</v>
      </c>
      <c r="H36" s="71">
        <v>14.6</v>
      </c>
      <c r="I36" s="71">
        <v>14.6</v>
      </c>
      <c r="J36" s="71">
        <v>14.6</v>
      </c>
      <c r="K36" s="71">
        <v>14.6</v>
      </c>
      <c r="L36" s="49">
        <v>14.7</v>
      </c>
      <c r="M36" s="49">
        <v>14.7</v>
      </c>
      <c r="N36" s="49">
        <v>14.7</v>
      </c>
      <c r="O36" s="49">
        <v>14.7</v>
      </c>
      <c r="P36" s="49">
        <v>13.6</v>
      </c>
      <c r="Q36" s="49">
        <v>14.6</v>
      </c>
      <c r="R36" s="49">
        <v>14.9</v>
      </c>
      <c r="S36" s="49">
        <v>14.8</v>
      </c>
      <c r="T36" s="49">
        <v>14.8</v>
      </c>
      <c r="U36" s="49">
        <v>14.8</v>
      </c>
      <c r="V36" s="49">
        <v>14.8</v>
      </c>
      <c r="W36" s="49">
        <v>14.8</v>
      </c>
      <c r="X36" s="49">
        <v>14.8</v>
      </c>
      <c r="Y36" s="49">
        <v>14.8</v>
      </c>
      <c r="Z36" s="49"/>
      <c r="AA36" s="56">
        <v>14.8</v>
      </c>
      <c r="AB36" s="56">
        <v>14.8</v>
      </c>
      <c r="AC36" s="56">
        <v>14.8</v>
      </c>
      <c r="AD36" s="56">
        <v>14.8</v>
      </c>
      <c r="AE36" s="56">
        <v>14.8</v>
      </c>
      <c r="AF36" s="56">
        <v>14.8</v>
      </c>
      <c r="AG36" s="59">
        <v>24</v>
      </c>
      <c r="AH36" s="52">
        <f t="shared" si="2"/>
        <v>14.9</v>
      </c>
      <c r="AI36" s="53">
        <f t="shared" si="3"/>
        <v>13.6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13</v>
      </c>
      <c r="C38" s="56">
        <v>13</v>
      </c>
      <c r="D38" s="56">
        <v>13</v>
      </c>
      <c r="E38" s="56">
        <v>13</v>
      </c>
      <c r="F38" s="56">
        <v>13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49">
        <v>13</v>
      </c>
      <c r="M38" s="49">
        <v>13</v>
      </c>
      <c r="N38" s="49">
        <v>13</v>
      </c>
      <c r="O38" s="49">
        <v>10</v>
      </c>
      <c r="P38" s="49">
        <v>10</v>
      </c>
      <c r="Q38" s="49">
        <v>10</v>
      </c>
      <c r="R38" s="49">
        <v>10</v>
      </c>
      <c r="S38" s="49">
        <v>11.5</v>
      </c>
      <c r="T38" s="49">
        <v>11.5</v>
      </c>
      <c r="U38" s="49">
        <v>11.5</v>
      </c>
      <c r="V38" s="49">
        <v>10</v>
      </c>
      <c r="W38" s="49">
        <v>11</v>
      </c>
      <c r="X38" s="49">
        <v>11</v>
      </c>
      <c r="Y38" s="49">
        <v>11</v>
      </c>
      <c r="Z38" s="49"/>
      <c r="AA38" s="56">
        <v>11</v>
      </c>
      <c r="AB38" s="56">
        <v>11</v>
      </c>
      <c r="AC38" s="56">
        <v>11</v>
      </c>
      <c r="AD38" s="56">
        <v>11</v>
      </c>
      <c r="AE38" s="56">
        <v>11</v>
      </c>
      <c r="AF38" s="56">
        <v>11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8</v>
      </c>
      <c r="C39" s="56">
        <v>8</v>
      </c>
      <c r="D39" s="56">
        <v>8</v>
      </c>
      <c r="E39" s="56">
        <v>8</v>
      </c>
      <c r="F39" s="56">
        <v>8</v>
      </c>
      <c r="G39" s="56">
        <v>8</v>
      </c>
      <c r="H39" s="56">
        <v>8</v>
      </c>
      <c r="I39" s="56">
        <v>8</v>
      </c>
      <c r="J39" s="56">
        <v>8</v>
      </c>
      <c r="K39" s="56">
        <v>8</v>
      </c>
      <c r="L39" s="49">
        <v>8</v>
      </c>
      <c r="M39" s="49">
        <v>8</v>
      </c>
      <c r="N39" s="49">
        <v>8</v>
      </c>
      <c r="O39" s="49">
        <v>8</v>
      </c>
      <c r="P39" s="49">
        <v>3.9</v>
      </c>
      <c r="Q39" s="49">
        <v>3.9</v>
      </c>
      <c r="R39" s="49">
        <v>3.9</v>
      </c>
      <c r="S39" s="49">
        <v>3.9</v>
      </c>
      <c r="T39" s="49">
        <v>3.9</v>
      </c>
      <c r="U39" s="49">
        <v>3.9</v>
      </c>
      <c r="V39" s="49">
        <v>3.9</v>
      </c>
      <c r="W39" s="49">
        <v>3.9</v>
      </c>
      <c r="X39" s="49">
        <v>3.9</v>
      </c>
      <c r="Y39" s="49">
        <v>3.9</v>
      </c>
      <c r="Z39" s="49">
        <v>3.9</v>
      </c>
      <c r="AA39" s="49">
        <v>3.9</v>
      </c>
      <c r="AB39" s="49">
        <v>3.9</v>
      </c>
      <c r="AC39" s="49">
        <v>3.9</v>
      </c>
      <c r="AD39" s="49">
        <v>3.9</v>
      </c>
      <c r="AE39" s="49">
        <v>3.9</v>
      </c>
      <c r="AF39" s="49">
        <v>3.9</v>
      </c>
      <c r="AG39" s="59">
        <v>14</v>
      </c>
      <c r="AH39" s="52">
        <f t="shared" si="2"/>
        <v>8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4.5999999999999996</v>
      </c>
      <c r="C40" s="56">
        <v>4.5999999999999996</v>
      </c>
      <c r="D40" s="56">
        <v>7</v>
      </c>
      <c r="E40" s="56">
        <v>7</v>
      </c>
      <c r="F40" s="56">
        <v>7</v>
      </c>
      <c r="G40" s="56">
        <v>7</v>
      </c>
      <c r="H40" s="56">
        <v>7</v>
      </c>
      <c r="I40" s="56">
        <v>7</v>
      </c>
      <c r="J40" s="56">
        <v>7</v>
      </c>
      <c r="K40" s="56">
        <v>7</v>
      </c>
      <c r="L40" s="49">
        <v>7</v>
      </c>
      <c r="M40" s="49">
        <v>7</v>
      </c>
      <c r="N40" s="49">
        <v>7</v>
      </c>
      <c r="O40" s="49">
        <v>7</v>
      </c>
      <c r="P40" s="49">
        <v>7</v>
      </c>
      <c r="Q40" s="49">
        <v>7</v>
      </c>
      <c r="R40" s="49">
        <v>7</v>
      </c>
      <c r="S40" s="49">
        <v>7</v>
      </c>
      <c r="T40" s="49">
        <v>7</v>
      </c>
      <c r="U40" s="49">
        <v>7</v>
      </c>
      <c r="V40" s="49">
        <v>7</v>
      </c>
      <c r="W40" s="49">
        <v>7</v>
      </c>
      <c r="X40" s="49">
        <v>7</v>
      </c>
      <c r="Y40" s="49">
        <v>7</v>
      </c>
      <c r="Z40" s="49">
        <v>7</v>
      </c>
      <c r="AA40" s="49">
        <v>7</v>
      </c>
      <c r="AB40" s="49">
        <v>7</v>
      </c>
      <c r="AC40" s="49">
        <v>7</v>
      </c>
      <c r="AD40" s="49">
        <v>7</v>
      </c>
      <c r="AE40" s="49">
        <v>7</v>
      </c>
      <c r="AF40" s="49">
        <v>7</v>
      </c>
      <c r="AG40" s="59">
        <v>10.050000000000001</v>
      </c>
      <c r="AH40" s="52">
        <f t="shared" si="2"/>
        <v>7</v>
      </c>
      <c r="AI40" s="53">
        <f t="shared" si="3"/>
        <v>4.5999999999999996</v>
      </c>
      <c r="AK40" s="54"/>
    </row>
    <row r="41" spans="1:41" x14ac:dyDescent="0.25">
      <c r="A41" s="58" t="s">
        <v>48</v>
      </c>
      <c r="B41" s="56">
        <v>3.2</v>
      </c>
      <c r="C41" s="56">
        <v>3.2</v>
      </c>
      <c r="D41" s="56">
        <v>3.2</v>
      </c>
      <c r="E41" s="56">
        <v>3.2</v>
      </c>
      <c r="F41" s="56">
        <v>3.2</v>
      </c>
      <c r="G41" s="56">
        <v>3.2</v>
      </c>
      <c r="H41" s="56">
        <v>3.2</v>
      </c>
      <c r="I41" s="56">
        <v>3.2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49">
        <v>0</v>
      </c>
      <c r="AE41" s="49">
        <v>2.5</v>
      </c>
      <c r="AF41" s="49">
        <v>2.5</v>
      </c>
      <c r="AG41" s="59">
        <v>6.2</v>
      </c>
      <c r="AH41" s="52">
        <f t="shared" si="2"/>
        <v>3.2</v>
      </c>
      <c r="AI41" s="53">
        <f t="shared" si="3"/>
        <v>0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286.44000000000005</v>
      </c>
      <c r="C43" s="69">
        <f t="shared" ref="C43:AF43" si="6">SUM(C31:C42)</f>
        <v>280.74</v>
      </c>
      <c r="D43" s="69">
        <f t="shared" si="6"/>
        <v>280.64</v>
      </c>
      <c r="E43" s="69">
        <f t="shared" si="6"/>
        <v>268.24</v>
      </c>
      <c r="F43" s="69">
        <f t="shared" si="6"/>
        <v>267.64</v>
      </c>
      <c r="G43" s="69">
        <f t="shared" si="6"/>
        <v>267.24</v>
      </c>
      <c r="H43" s="69">
        <f t="shared" si="6"/>
        <v>277.53999999999996</v>
      </c>
      <c r="I43" s="69">
        <f t="shared" si="6"/>
        <v>278.84000000000003</v>
      </c>
      <c r="J43" s="69">
        <f t="shared" si="6"/>
        <v>309.14000000000004</v>
      </c>
      <c r="K43" s="69">
        <f t="shared" si="6"/>
        <v>317.84000000000003</v>
      </c>
      <c r="L43" s="69">
        <f t="shared" si="6"/>
        <v>313.64</v>
      </c>
      <c r="M43" s="69">
        <f t="shared" si="6"/>
        <v>298.94</v>
      </c>
      <c r="N43" s="69">
        <f t="shared" si="6"/>
        <v>315.04000000000002</v>
      </c>
      <c r="O43" s="69">
        <f t="shared" si="6"/>
        <v>306.84000000000003</v>
      </c>
      <c r="P43" s="69">
        <f t="shared" si="6"/>
        <v>305.64000000000004</v>
      </c>
      <c r="Q43" s="69">
        <f t="shared" si="6"/>
        <v>306.64</v>
      </c>
      <c r="R43" s="69">
        <f t="shared" si="6"/>
        <v>369.03999999999996</v>
      </c>
      <c r="S43" s="69">
        <f t="shared" si="6"/>
        <v>313.34000000000003</v>
      </c>
      <c r="T43" s="69">
        <f t="shared" si="6"/>
        <v>311.24</v>
      </c>
      <c r="U43" s="69">
        <f t="shared" si="6"/>
        <v>281.44</v>
      </c>
      <c r="V43" s="69">
        <f t="shared" si="6"/>
        <v>275.04000000000002</v>
      </c>
      <c r="W43" s="69">
        <f t="shared" si="6"/>
        <v>285.94</v>
      </c>
      <c r="X43" s="69">
        <f t="shared" si="6"/>
        <v>269.33999999999997</v>
      </c>
      <c r="Y43" s="69">
        <f t="shared" si="6"/>
        <v>289.84000000000003</v>
      </c>
      <c r="Z43" s="69">
        <f t="shared" si="6"/>
        <v>14.440000000000001</v>
      </c>
      <c r="AA43" s="69">
        <f t="shared" si="6"/>
        <v>326.74</v>
      </c>
      <c r="AB43" s="69">
        <f t="shared" si="6"/>
        <v>326.14</v>
      </c>
      <c r="AC43" s="69">
        <f t="shared" si="6"/>
        <v>326.44</v>
      </c>
      <c r="AD43" s="69">
        <f t="shared" si="6"/>
        <v>322.64</v>
      </c>
      <c r="AE43" s="69">
        <f t="shared" si="6"/>
        <v>303.04000000000002</v>
      </c>
      <c r="AF43" s="69">
        <f t="shared" si="6"/>
        <v>322.74</v>
      </c>
      <c r="AG43" s="74">
        <f>SUM(AG31:AG42)</f>
        <v>464.91</v>
      </c>
      <c r="AH43" s="52">
        <f t="shared" si="2"/>
        <v>369.03999999999996</v>
      </c>
      <c r="AI43" s="53">
        <f t="shared" si="3"/>
        <v>14.440000000000001</v>
      </c>
      <c r="AK43" s="54"/>
    </row>
    <row r="44" spans="1:41" x14ac:dyDescent="0.25">
      <c r="A44" s="55" t="s">
        <v>51</v>
      </c>
      <c r="B44" s="49">
        <v>29.6</v>
      </c>
      <c r="C44" s="56">
        <v>10</v>
      </c>
      <c r="D44" s="56">
        <v>10</v>
      </c>
      <c r="E44" s="56">
        <v>10</v>
      </c>
      <c r="F44" s="56">
        <v>15</v>
      </c>
      <c r="G44" s="56">
        <v>20.2</v>
      </c>
      <c r="H44" s="56">
        <v>20</v>
      </c>
      <c r="I44" s="56">
        <v>20.2</v>
      </c>
      <c r="J44" s="56">
        <v>19.5</v>
      </c>
      <c r="K44" s="56">
        <v>19.899999999999999</v>
      </c>
      <c r="L44" s="75">
        <v>29.7</v>
      </c>
      <c r="M44" s="75">
        <v>10.199999999999999</v>
      </c>
      <c r="N44" s="75">
        <v>29.4</v>
      </c>
      <c r="O44" s="75">
        <v>10.9</v>
      </c>
      <c r="P44" s="49">
        <v>14.1</v>
      </c>
      <c r="Q44" s="49">
        <v>9.9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/>
      <c r="AA44" s="49">
        <v>39</v>
      </c>
      <c r="AB44" s="49">
        <v>33</v>
      </c>
      <c r="AC44" s="49">
        <v>10.3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39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15.5</v>
      </c>
      <c r="C45" s="56">
        <v>9.5</v>
      </c>
      <c r="D45" s="56">
        <v>6.6</v>
      </c>
      <c r="E45" s="56">
        <v>4.3</v>
      </c>
      <c r="F45" s="56">
        <v>7.2</v>
      </c>
      <c r="G45" s="56">
        <v>9.6</v>
      </c>
      <c r="H45" s="56">
        <v>10</v>
      </c>
      <c r="I45" s="56">
        <v>10.3</v>
      </c>
      <c r="J45" s="56">
        <v>10.199999999999999</v>
      </c>
      <c r="K45" s="56">
        <v>9.6999999999999993</v>
      </c>
      <c r="L45" s="75">
        <v>15.2</v>
      </c>
      <c r="M45" s="75">
        <v>5</v>
      </c>
      <c r="N45" s="75">
        <v>15.2</v>
      </c>
      <c r="O45" s="75">
        <v>4.9000000000000004</v>
      </c>
      <c r="P45" s="70">
        <v>6.9</v>
      </c>
      <c r="Q45" s="70">
        <v>4.2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70"/>
      <c r="AA45" s="70">
        <v>18.2</v>
      </c>
      <c r="AB45" s="70">
        <v>16</v>
      </c>
      <c r="AC45" s="70">
        <v>4.2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18.2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5.7</v>
      </c>
      <c r="C46" s="71">
        <v>3.5</v>
      </c>
      <c r="D46" s="71">
        <v>2.4</v>
      </c>
      <c r="E46" s="71">
        <v>1.6</v>
      </c>
      <c r="F46" s="71">
        <v>2.6</v>
      </c>
      <c r="G46" s="71">
        <v>3.55</v>
      </c>
      <c r="H46" s="71">
        <v>3.8</v>
      </c>
      <c r="I46" s="71">
        <v>3.7</v>
      </c>
      <c r="J46" s="71">
        <v>3.7</v>
      </c>
      <c r="K46" s="71">
        <v>3.5</v>
      </c>
      <c r="L46" s="76">
        <v>5.5</v>
      </c>
      <c r="M46" s="76">
        <v>1.8</v>
      </c>
      <c r="N46" s="76">
        <v>5.6</v>
      </c>
      <c r="O46" s="76">
        <v>1.8</v>
      </c>
      <c r="P46" s="77">
        <v>2.5</v>
      </c>
      <c r="Q46" s="77">
        <v>1.5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77"/>
      <c r="AA46" s="77">
        <v>6.7</v>
      </c>
      <c r="AB46" s="77">
        <v>5.8</v>
      </c>
      <c r="AC46" s="77">
        <v>1.5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6.7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50.800000000000004</v>
      </c>
      <c r="C47" s="69">
        <f t="shared" ref="C47:AF47" si="7">SUM(C44:C46)</f>
        <v>23</v>
      </c>
      <c r="D47" s="69">
        <f t="shared" si="7"/>
        <v>19</v>
      </c>
      <c r="E47" s="69">
        <f t="shared" si="7"/>
        <v>15.9</v>
      </c>
      <c r="F47" s="69">
        <f t="shared" si="7"/>
        <v>24.8</v>
      </c>
      <c r="G47" s="69">
        <f t="shared" si="7"/>
        <v>33.349999999999994</v>
      </c>
      <c r="H47" s="69">
        <f t="shared" si="7"/>
        <v>33.799999999999997</v>
      </c>
      <c r="I47" s="69">
        <f t="shared" si="7"/>
        <v>34.200000000000003</v>
      </c>
      <c r="J47" s="69">
        <f t="shared" si="7"/>
        <v>33.4</v>
      </c>
      <c r="K47" s="69">
        <f t="shared" si="7"/>
        <v>33.099999999999994</v>
      </c>
      <c r="L47" s="69">
        <f t="shared" si="7"/>
        <v>50.4</v>
      </c>
      <c r="M47" s="69">
        <f t="shared" si="7"/>
        <v>17</v>
      </c>
      <c r="N47" s="69">
        <f t="shared" si="7"/>
        <v>50.199999999999996</v>
      </c>
      <c r="O47" s="69">
        <f t="shared" si="7"/>
        <v>17.600000000000001</v>
      </c>
      <c r="P47" s="69">
        <f t="shared" si="7"/>
        <v>23.5</v>
      </c>
      <c r="Q47" s="69">
        <f t="shared" si="7"/>
        <v>15.600000000000001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0</v>
      </c>
      <c r="AA47" s="69">
        <f t="shared" si="7"/>
        <v>63.900000000000006</v>
      </c>
      <c r="AB47" s="69">
        <f t="shared" si="7"/>
        <v>54.8</v>
      </c>
      <c r="AC47" s="69">
        <f t="shared" si="7"/>
        <v>16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63.900000000000006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66.8</v>
      </c>
      <c r="C48" s="49">
        <v>63.4</v>
      </c>
      <c r="D48" s="49">
        <v>61.7</v>
      </c>
      <c r="E48" s="49">
        <v>62</v>
      </c>
      <c r="F48" s="49">
        <v>56</v>
      </c>
      <c r="G48" s="49">
        <v>55</v>
      </c>
      <c r="H48" s="49">
        <v>52</v>
      </c>
      <c r="I48" s="49">
        <v>56</v>
      </c>
      <c r="J48" s="49">
        <v>55</v>
      </c>
      <c r="K48" s="49">
        <v>70</v>
      </c>
      <c r="L48" s="49">
        <v>72.2</v>
      </c>
      <c r="M48" s="49">
        <v>73.63</v>
      </c>
      <c r="N48" s="49">
        <v>65</v>
      </c>
      <c r="O48" s="49">
        <v>73.3</v>
      </c>
      <c r="P48" s="49">
        <v>74.2</v>
      </c>
      <c r="Q48" s="49">
        <v>61.79</v>
      </c>
      <c r="R48" s="49">
        <v>74</v>
      </c>
      <c r="S48" s="49">
        <v>72</v>
      </c>
      <c r="T48" s="49">
        <v>73</v>
      </c>
      <c r="U48" s="49">
        <v>68.12</v>
      </c>
      <c r="V48" s="49">
        <v>69</v>
      </c>
      <c r="W48" s="49">
        <v>66.709999999999994</v>
      </c>
      <c r="X48" s="49">
        <v>67.180000000000007</v>
      </c>
      <c r="Y48" s="49">
        <v>68</v>
      </c>
      <c r="Z48" s="49"/>
      <c r="AA48" s="49">
        <v>65</v>
      </c>
      <c r="AB48" s="49">
        <v>63.5</v>
      </c>
      <c r="AC48" s="49">
        <v>61</v>
      </c>
      <c r="AD48" s="49">
        <v>60</v>
      </c>
      <c r="AE48" s="49">
        <v>58</v>
      </c>
      <c r="AF48" s="49">
        <v>57.5</v>
      </c>
      <c r="AG48" s="57"/>
      <c r="AH48" s="52">
        <f t="shared" si="2"/>
        <v>74.2</v>
      </c>
      <c r="AI48" s="53">
        <f t="shared" si="3"/>
        <v>52</v>
      </c>
      <c r="AK48" s="54"/>
    </row>
    <row r="49" spans="1:37" x14ac:dyDescent="0.25">
      <c r="A49" s="58" t="s">
        <v>56</v>
      </c>
      <c r="B49" s="70">
        <v>175</v>
      </c>
      <c r="C49" s="70">
        <v>171</v>
      </c>
      <c r="D49" s="70">
        <v>155</v>
      </c>
      <c r="E49" s="70">
        <v>148</v>
      </c>
      <c r="F49" s="70">
        <v>135</v>
      </c>
      <c r="G49" s="70">
        <v>133</v>
      </c>
      <c r="H49" s="70">
        <v>122</v>
      </c>
      <c r="I49" s="70">
        <v>141</v>
      </c>
      <c r="J49" s="70">
        <v>148</v>
      </c>
      <c r="K49" s="70">
        <v>169</v>
      </c>
      <c r="L49" s="49">
        <v>170</v>
      </c>
      <c r="M49" s="49">
        <v>164</v>
      </c>
      <c r="N49" s="49">
        <v>110</v>
      </c>
      <c r="O49" s="49">
        <f>77.2+25.5</f>
        <v>102.7</v>
      </c>
      <c r="P49" s="49">
        <v>94.4</v>
      </c>
      <c r="Q49" s="49">
        <v>104.3</v>
      </c>
      <c r="R49" s="49">
        <v>95.3</v>
      </c>
      <c r="S49" s="49">
        <f>19.6+82.8+13</f>
        <v>115.4</v>
      </c>
      <c r="T49" s="49">
        <f>19.1+80.4+13</f>
        <v>112.5</v>
      </c>
      <c r="U49" s="79">
        <f>80.1+19.7+13</f>
        <v>112.8</v>
      </c>
      <c r="V49" s="79">
        <f>20.2+80.9+13</f>
        <v>114.10000000000001</v>
      </c>
      <c r="W49" s="79">
        <f>14.9+77.1+13</f>
        <v>105</v>
      </c>
      <c r="X49" s="79">
        <f>30.8+88+13</f>
        <v>131.80000000000001</v>
      </c>
      <c r="Y49" s="79">
        <f>14.9+88.1+13</f>
        <v>116</v>
      </c>
      <c r="Z49" s="79"/>
      <c r="AA49" s="70">
        <v>110</v>
      </c>
      <c r="AB49" s="70">
        <v>93</v>
      </c>
      <c r="AC49" s="70">
        <v>84</v>
      </c>
      <c r="AD49" s="70">
        <v>30</v>
      </c>
      <c r="AE49" s="70">
        <v>29</v>
      </c>
      <c r="AF49" s="70">
        <v>67</v>
      </c>
      <c r="AG49" s="59"/>
      <c r="AH49" s="52">
        <f t="shared" si="2"/>
        <v>175</v>
      </c>
      <c r="AI49" s="53">
        <f t="shared" si="3"/>
        <v>29</v>
      </c>
      <c r="AK49" s="54"/>
    </row>
    <row r="50" spans="1:37" x14ac:dyDescent="0.25">
      <c r="A50" s="58" t="s">
        <v>57</v>
      </c>
      <c r="B50" s="70">
        <v>32</v>
      </c>
      <c r="C50" s="70">
        <v>28</v>
      </c>
      <c r="D50" s="70">
        <v>16</v>
      </c>
      <c r="E50" s="70">
        <v>30</v>
      </c>
      <c r="F50" s="70">
        <v>23</v>
      </c>
      <c r="G50" s="49">
        <v>16</v>
      </c>
      <c r="H50" s="49">
        <v>32</v>
      </c>
      <c r="I50" s="49">
        <v>22</v>
      </c>
      <c r="J50" s="49">
        <v>26</v>
      </c>
      <c r="K50" s="49">
        <v>29</v>
      </c>
      <c r="L50" s="70">
        <v>40</v>
      </c>
      <c r="M50" s="70">
        <v>81</v>
      </c>
      <c r="N50" s="70">
        <f>46+47</f>
        <v>93</v>
      </c>
      <c r="O50" s="70">
        <f>46.71+46.8</f>
        <v>93.509999999999991</v>
      </c>
      <c r="P50" s="70">
        <v>71</v>
      </c>
      <c r="Q50" s="70">
        <f>42+43</f>
        <v>85</v>
      </c>
      <c r="R50" s="70">
        <v>105</v>
      </c>
      <c r="S50" s="70">
        <v>92</v>
      </c>
      <c r="T50" s="70">
        <v>110</v>
      </c>
      <c r="U50" s="80">
        <v>99</v>
      </c>
      <c r="V50" s="80">
        <v>100.2</v>
      </c>
      <c r="W50" s="80">
        <v>112.6</v>
      </c>
      <c r="X50" s="80">
        <v>120</v>
      </c>
      <c r="Y50" s="80">
        <f>160</f>
        <v>160</v>
      </c>
      <c r="Z50" s="80"/>
      <c r="AA50" s="70">
        <v>150</v>
      </c>
      <c r="AB50" s="70">
        <v>142</v>
      </c>
      <c r="AC50" s="70">
        <v>148</v>
      </c>
      <c r="AD50" s="70">
        <v>115</v>
      </c>
      <c r="AE50" s="70">
        <v>110</v>
      </c>
      <c r="AF50" s="70">
        <v>30</v>
      </c>
      <c r="AG50" s="81"/>
      <c r="AH50" s="52">
        <f t="shared" si="2"/>
        <v>160</v>
      </c>
      <c r="AI50" s="53">
        <f t="shared" si="3"/>
        <v>16</v>
      </c>
      <c r="AK50" s="54"/>
    </row>
    <row r="51" spans="1:37" x14ac:dyDescent="0.25">
      <c r="A51" s="58" t="s">
        <v>58</v>
      </c>
      <c r="B51" s="82">
        <v>15</v>
      </c>
      <c r="C51" s="82">
        <v>15</v>
      </c>
      <c r="D51" s="82">
        <v>14</v>
      </c>
      <c r="E51" s="82">
        <v>14.2</v>
      </c>
      <c r="F51" s="82">
        <v>12.3</v>
      </c>
      <c r="G51" s="82">
        <v>12.3</v>
      </c>
      <c r="H51" s="82">
        <v>12.3</v>
      </c>
      <c r="I51" s="82">
        <v>12.3</v>
      </c>
      <c r="J51" s="82">
        <v>12</v>
      </c>
      <c r="K51" s="82">
        <v>12</v>
      </c>
      <c r="L51" s="70">
        <v>12</v>
      </c>
      <c r="M51" s="70">
        <v>12</v>
      </c>
      <c r="N51" s="70">
        <v>9</v>
      </c>
      <c r="O51" s="70">
        <v>9</v>
      </c>
      <c r="P51" s="70">
        <v>9</v>
      </c>
      <c r="Q51" s="70">
        <v>9</v>
      </c>
      <c r="R51" s="70">
        <v>9</v>
      </c>
      <c r="S51" s="70">
        <v>9</v>
      </c>
      <c r="T51" s="70">
        <v>9</v>
      </c>
      <c r="U51" s="70">
        <v>9</v>
      </c>
      <c r="V51" s="70">
        <v>9</v>
      </c>
      <c r="W51" s="70">
        <v>9</v>
      </c>
      <c r="X51" s="70">
        <v>9</v>
      </c>
      <c r="Y51" s="70">
        <v>9</v>
      </c>
      <c r="Z51" s="70">
        <v>9</v>
      </c>
      <c r="AA51" s="82">
        <v>11</v>
      </c>
      <c r="AB51" s="82">
        <v>11</v>
      </c>
      <c r="AC51" s="82">
        <v>11</v>
      </c>
      <c r="AD51" s="82">
        <v>11</v>
      </c>
      <c r="AE51" s="82">
        <v>11.8</v>
      </c>
      <c r="AF51" s="82">
        <v>11.8</v>
      </c>
      <c r="AG51" s="81"/>
      <c r="AH51" s="52">
        <f t="shared" si="2"/>
        <v>15</v>
      </c>
      <c r="AI51" s="53">
        <f t="shared" si="3"/>
        <v>9</v>
      </c>
      <c r="AK51" s="54"/>
    </row>
    <row r="52" spans="1:37" x14ac:dyDescent="0.25">
      <c r="A52" s="58" t="s">
        <v>59</v>
      </c>
      <c r="B52" s="49">
        <v>51.7</v>
      </c>
      <c r="C52" s="82">
        <v>52.8</v>
      </c>
      <c r="D52" s="82">
        <v>46.8</v>
      </c>
      <c r="E52" s="82">
        <v>48.4</v>
      </c>
      <c r="F52" s="82">
        <v>42.2</v>
      </c>
      <c r="G52" s="82">
        <v>40</v>
      </c>
      <c r="H52" s="82">
        <v>39.1</v>
      </c>
      <c r="I52" s="82">
        <v>39</v>
      </c>
      <c r="J52" s="82">
        <v>37.299999999999997</v>
      </c>
      <c r="K52" s="82">
        <v>35.6</v>
      </c>
      <c r="L52" s="49">
        <v>39.1</v>
      </c>
      <c r="M52" s="49">
        <v>41.8</v>
      </c>
      <c r="N52" s="49">
        <v>43.8</v>
      </c>
      <c r="O52" s="49">
        <v>45.9</v>
      </c>
      <c r="P52" s="49">
        <v>47.1</v>
      </c>
      <c r="Q52" s="49">
        <v>44.3</v>
      </c>
      <c r="R52" s="49">
        <v>44.7</v>
      </c>
      <c r="S52" s="49">
        <v>45.2</v>
      </c>
      <c r="T52" s="49">
        <v>43.4</v>
      </c>
      <c r="U52" s="49">
        <v>40.6</v>
      </c>
      <c r="V52" s="49">
        <v>39.5</v>
      </c>
      <c r="W52" s="49">
        <v>37.200000000000003</v>
      </c>
      <c r="X52" s="49">
        <v>39.700000000000003</v>
      </c>
      <c r="Y52" s="49">
        <v>41.7</v>
      </c>
      <c r="Z52" s="49"/>
      <c r="AA52" s="49">
        <v>46</v>
      </c>
      <c r="AB52" s="49">
        <v>47</v>
      </c>
      <c r="AC52" s="49">
        <v>48</v>
      </c>
      <c r="AD52" s="49">
        <v>46</v>
      </c>
      <c r="AE52" s="49">
        <v>31.5</v>
      </c>
      <c r="AF52" s="49">
        <v>31.5</v>
      </c>
      <c r="AG52" s="81"/>
      <c r="AH52" s="52">
        <f t="shared" si="2"/>
        <v>52.8</v>
      </c>
      <c r="AI52" s="53">
        <f t="shared" si="3"/>
        <v>31.5</v>
      </c>
      <c r="AK52" s="54"/>
    </row>
    <row r="53" spans="1:37" x14ac:dyDescent="0.25">
      <c r="A53" s="58" t="s">
        <v>60</v>
      </c>
      <c r="B53" s="70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7.5</v>
      </c>
      <c r="AB53" s="83">
        <v>7.5</v>
      </c>
      <c r="AC53" s="83">
        <v>7.5</v>
      </c>
      <c r="AD53" s="83">
        <v>7.5</v>
      </c>
      <c r="AE53" s="83">
        <v>7.5</v>
      </c>
      <c r="AF53" s="83">
        <v>0</v>
      </c>
      <c r="AG53" s="81"/>
      <c r="AH53" s="52">
        <f t="shared" si="2"/>
        <v>7.5</v>
      </c>
      <c r="AI53" s="53">
        <f t="shared" si="3"/>
        <v>0</v>
      </c>
      <c r="AK53" s="54"/>
    </row>
    <row r="54" spans="1:37" x14ac:dyDescent="0.25">
      <c r="A54" s="58" t="s">
        <v>61</v>
      </c>
      <c r="B54" s="49">
        <v>0</v>
      </c>
      <c r="C54" s="70">
        <v>0</v>
      </c>
      <c r="D54" s="70">
        <v>0</v>
      </c>
      <c r="E54" s="70">
        <v>0</v>
      </c>
      <c r="F54" s="70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3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49">
        <v>0</v>
      </c>
      <c r="C58" s="70">
        <v>0</v>
      </c>
      <c r="D58" s="70">
        <v>0</v>
      </c>
      <c r="E58" s="70">
        <v>0</v>
      </c>
      <c r="F58" s="70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340.5</v>
      </c>
      <c r="C59" s="69">
        <f t="shared" ref="C59:AF59" si="8">SUM(C48:C58)</f>
        <v>330.2</v>
      </c>
      <c r="D59" s="69">
        <f t="shared" si="8"/>
        <v>293.5</v>
      </c>
      <c r="E59" s="69">
        <f t="shared" si="8"/>
        <v>302.59999999999997</v>
      </c>
      <c r="F59" s="69">
        <f t="shared" si="8"/>
        <v>268.5</v>
      </c>
      <c r="G59" s="69">
        <f t="shared" si="8"/>
        <v>256.3</v>
      </c>
      <c r="H59" s="69">
        <f t="shared" si="8"/>
        <v>257.40000000000003</v>
      </c>
      <c r="I59" s="69">
        <f t="shared" si="8"/>
        <v>270.3</v>
      </c>
      <c r="J59" s="69">
        <f t="shared" si="8"/>
        <v>278.3</v>
      </c>
      <c r="K59" s="69">
        <f t="shared" si="8"/>
        <v>315.60000000000002</v>
      </c>
      <c r="L59" s="69">
        <f t="shared" si="8"/>
        <v>333.3</v>
      </c>
      <c r="M59" s="69">
        <f t="shared" si="8"/>
        <v>372.43</v>
      </c>
      <c r="N59" s="69">
        <f t="shared" si="8"/>
        <v>320.8</v>
      </c>
      <c r="O59" s="69">
        <f t="shared" si="8"/>
        <v>324.40999999999997</v>
      </c>
      <c r="P59" s="69">
        <f t="shared" si="8"/>
        <v>295.70000000000005</v>
      </c>
      <c r="Q59" s="69">
        <f t="shared" si="8"/>
        <v>304.39000000000004</v>
      </c>
      <c r="R59" s="69">
        <f t="shared" si="8"/>
        <v>328</v>
      </c>
      <c r="S59" s="69">
        <f t="shared" si="8"/>
        <v>333.59999999999997</v>
      </c>
      <c r="T59" s="69">
        <f t="shared" si="8"/>
        <v>347.9</v>
      </c>
      <c r="U59" s="69">
        <f t="shared" si="8"/>
        <v>329.52000000000004</v>
      </c>
      <c r="V59" s="69">
        <f t="shared" si="8"/>
        <v>331.8</v>
      </c>
      <c r="W59" s="69">
        <f t="shared" si="8"/>
        <v>330.50999999999993</v>
      </c>
      <c r="X59" s="69">
        <f t="shared" si="8"/>
        <v>367.68</v>
      </c>
      <c r="Y59" s="69">
        <f t="shared" si="8"/>
        <v>394.7</v>
      </c>
      <c r="Z59" s="69">
        <f t="shared" si="8"/>
        <v>9</v>
      </c>
      <c r="AA59" s="69">
        <f t="shared" si="8"/>
        <v>389.5</v>
      </c>
      <c r="AB59" s="69">
        <f t="shared" si="8"/>
        <v>364</v>
      </c>
      <c r="AC59" s="69">
        <f t="shared" si="8"/>
        <v>359.5</v>
      </c>
      <c r="AD59" s="69">
        <f t="shared" si="8"/>
        <v>269.5</v>
      </c>
      <c r="AE59" s="69">
        <f t="shared" si="8"/>
        <v>247.8</v>
      </c>
      <c r="AF59" s="69">
        <f t="shared" si="8"/>
        <v>197.8</v>
      </c>
      <c r="AG59" s="74">
        <f>SUM(AG48:AG58)</f>
        <v>0</v>
      </c>
      <c r="AH59" s="52">
        <f t="shared" si="2"/>
        <v>394.7</v>
      </c>
      <c r="AI59" s="53">
        <f t="shared" si="3"/>
        <v>9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997.94</v>
      </c>
      <c r="C65" s="91">
        <f t="shared" ref="C65:AF65" si="10">C63+C59+C47+C43+C30+C64</f>
        <v>958.84</v>
      </c>
      <c r="D65" s="91">
        <f t="shared" si="10"/>
        <v>924.54</v>
      </c>
      <c r="E65" s="91">
        <f t="shared" si="10"/>
        <v>916.64</v>
      </c>
      <c r="F65" s="91">
        <f t="shared" si="10"/>
        <v>893.14</v>
      </c>
      <c r="G65" s="91">
        <f t="shared" si="10"/>
        <v>890.99</v>
      </c>
      <c r="H65" s="91">
        <f t="shared" si="10"/>
        <v>901.93999999999994</v>
      </c>
      <c r="I65" s="91">
        <f t="shared" si="10"/>
        <v>917.24</v>
      </c>
      <c r="J65" s="91">
        <f t="shared" si="10"/>
        <v>955.54</v>
      </c>
      <c r="K65" s="91">
        <f t="shared" si="10"/>
        <v>1001.24</v>
      </c>
      <c r="L65" s="91">
        <f t="shared" si="10"/>
        <v>1028.8399999999999</v>
      </c>
      <c r="M65" s="91">
        <f t="shared" si="10"/>
        <v>1029.27</v>
      </c>
      <c r="N65" s="91">
        <f t="shared" si="10"/>
        <v>1019.24</v>
      </c>
      <c r="O65" s="91">
        <f t="shared" si="10"/>
        <v>984.95</v>
      </c>
      <c r="P65" s="91">
        <f t="shared" si="10"/>
        <v>961.84000000000015</v>
      </c>
      <c r="Q65" s="91">
        <f t="shared" si="10"/>
        <v>963.83000000000015</v>
      </c>
      <c r="R65" s="91">
        <f t="shared" si="10"/>
        <v>1034.2399999999998</v>
      </c>
      <c r="S65" s="91">
        <f t="shared" si="10"/>
        <v>987.94</v>
      </c>
      <c r="T65" s="91">
        <f t="shared" si="10"/>
        <v>992.54</v>
      </c>
      <c r="U65" s="91">
        <f t="shared" si="10"/>
        <v>947.26</v>
      </c>
      <c r="V65" s="91">
        <f t="shared" si="10"/>
        <v>943.94</v>
      </c>
      <c r="W65" s="91">
        <f t="shared" si="10"/>
        <v>955.44999999999993</v>
      </c>
      <c r="X65" s="91">
        <f t="shared" si="10"/>
        <v>976.02</v>
      </c>
      <c r="Y65" s="91">
        <f t="shared" si="10"/>
        <v>1021.4399999999999</v>
      </c>
      <c r="Z65" s="91">
        <f t="shared" si="10"/>
        <v>172.84</v>
      </c>
      <c r="AA65" s="91">
        <f t="shared" si="10"/>
        <v>1125.04</v>
      </c>
      <c r="AB65" s="91">
        <f t="shared" si="10"/>
        <v>1091.24</v>
      </c>
      <c r="AC65" s="91">
        <f t="shared" si="10"/>
        <v>1050.04</v>
      </c>
      <c r="AD65" s="91">
        <f t="shared" si="10"/>
        <v>938.33999999999992</v>
      </c>
      <c r="AE65" s="91">
        <f t="shared" si="10"/>
        <v>896.44</v>
      </c>
      <c r="AF65" s="91">
        <f t="shared" si="10"/>
        <v>866.2399999999999</v>
      </c>
      <c r="AG65" s="74">
        <f>AG63+AG59+AG47+AG43+AG30+AG64</f>
        <v>1355.5100000000002</v>
      </c>
      <c r="AH65" s="52">
        <f t="shared" si="2"/>
        <v>1125.04</v>
      </c>
      <c r="AI65" s="53">
        <f t="shared" si="3"/>
        <v>172.84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49.92</v>
      </c>
      <c r="C72" s="94">
        <v>50.05</v>
      </c>
      <c r="D72" s="94">
        <v>49.975000000000001</v>
      </c>
      <c r="E72" s="94">
        <v>50.024999999999999</v>
      </c>
      <c r="F72" s="94">
        <v>49.930999999999997</v>
      </c>
      <c r="G72" s="94">
        <v>50.006999999999998</v>
      </c>
      <c r="H72" s="94">
        <v>50.136000000000003</v>
      </c>
      <c r="I72" s="94">
        <v>50.042999999999999</v>
      </c>
      <c r="J72" s="94">
        <v>49.99</v>
      </c>
      <c r="K72" s="94">
        <v>49.997</v>
      </c>
      <c r="L72" s="94">
        <v>50.042999999999999</v>
      </c>
      <c r="M72" s="94">
        <v>50.04</v>
      </c>
      <c r="N72" s="94">
        <v>50.097000000000001</v>
      </c>
      <c r="O72" s="94">
        <v>50.026000000000003</v>
      </c>
      <c r="P72" s="94">
        <v>49.886000000000003</v>
      </c>
      <c r="Q72" s="95">
        <v>49.965000000000003</v>
      </c>
      <c r="R72" s="94">
        <v>49.954999999999998</v>
      </c>
      <c r="S72" s="94">
        <v>49.89</v>
      </c>
      <c r="T72" s="94">
        <v>50.018000000000001</v>
      </c>
      <c r="U72" s="94">
        <v>50.01</v>
      </c>
      <c r="V72" s="94">
        <v>49.99</v>
      </c>
      <c r="W72" s="94">
        <v>49.98</v>
      </c>
      <c r="X72" s="94">
        <v>49.99</v>
      </c>
      <c r="Y72" s="94">
        <v>50.02</v>
      </c>
      <c r="Z72" s="94">
        <v>50.02</v>
      </c>
      <c r="AA72" s="94">
        <v>50.061999999999998</v>
      </c>
      <c r="AB72" s="94">
        <v>49.965000000000003</v>
      </c>
      <c r="AC72" s="94">
        <v>49.981000000000002</v>
      </c>
      <c r="AD72" s="94">
        <v>49.853000000000002</v>
      </c>
      <c r="AE72" s="94">
        <v>50.024999999999999</v>
      </c>
      <c r="AF72" s="96">
        <v>50.021000000000001</v>
      </c>
      <c r="AG72" s="97"/>
      <c r="AH72" s="52">
        <f t="shared" si="2"/>
        <v>50.136000000000003</v>
      </c>
      <c r="AI72" s="53">
        <f t="shared" si="3"/>
        <v>49.853000000000002</v>
      </c>
    </row>
    <row r="73" spans="1:35" x14ac:dyDescent="0.25">
      <c r="A73" s="98" t="s">
        <v>80</v>
      </c>
      <c r="B73" s="100">
        <v>130.4</v>
      </c>
      <c r="C73" s="70">
        <v>131.30000000000001</v>
      </c>
      <c r="D73" s="70">
        <v>131.4</v>
      </c>
      <c r="E73" s="70">
        <v>131.19999999999999</v>
      </c>
      <c r="F73" s="70">
        <v>131.1</v>
      </c>
      <c r="G73" s="70">
        <v>131.9</v>
      </c>
      <c r="H73" s="70">
        <v>130.30000000000001</v>
      </c>
      <c r="I73" s="70">
        <v>129.19999999999999</v>
      </c>
      <c r="J73" s="70">
        <v>128.9</v>
      </c>
      <c r="K73" s="70">
        <v>127.6</v>
      </c>
      <c r="L73" s="70">
        <v>128.19999999999999</v>
      </c>
      <c r="M73" s="70">
        <v>126.78</v>
      </c>
      <c r="N73" s="70">
        <v>127.5</v>
      </c>
      <c r="O73" s="70">
        <v>127.7</v>
      </c>
      <c r="P73" s="70">
        <v>128</v>
      </c>
      <c r="Q73" s="99">
        <v>127.3</v>
      </c>
      <c r="R73" s="99">
        <v>126</v>
      </c>
      <c r="S73" s="99">
        <v>127.1</v>
      </c>
      <c r="T73" s="99">
        <v>126.9</v>
      </c>
      <c r="U73" s="99">
        <v>127.6</v>
      </c>
      <c r="V73" s="99">
        <v>127.8</v>
      </c>
      <c r="W73" s="99">
        <v>128</v>
      </c>
      <c r="X73" s="99">
        <v>128.6</v>
      </c>
      <c r="Y73" s="99">
        <v>129.1</v>
      </c>
      <c r="Z73" s="99">
        <v>128.5</v>
      </c>
      <c r="AA73" s="70">
        <v>128.6</v>
      </c>
      <c r="AB73" s="70">
        <v>128.6</v>
      </c>
      <c r="AC73" s="70">
        <v>127.7</v>
      </c>
      <c r="AD73" s="70">
        <v>128.6</v>
      </c>
      <c r="AE73" s="70">
        <v>129.19999999999999</v>
      </c>
      <c r="AF73" s="70">
        <v>129.19999999999999</v>
      </c>
      <c r="AG73" s="101"/>
      <c r="AH73" s="52">
        <f t="shared" si="2"/>
        <v>131.9</v>
      </c>
      <c r="AI73" s="53">
        <f t="shared" si="3"/>
        <v>126</v>
      </c>
    </row>
    <row r="74" spans="1:35" x14ac:dyDescent="0.25">
      <c r="A74" s="98" t="s">
        <v>81</v>
      </c>
      <c r="B74" s="100">
        <v>132.9</v>
      </c>
      <c r="C74" s="70">
        <v>134</v>
      </c>
      <c r="D74" s="70">
        <v>133.80000000000001</v>
      </c>
      <c r="E74" s="70">
        <v>133.30000000000001</v>
      </c>
      <c r="F74" s="70">
        <v>133.4</v>
      </c>
      <c r="G74" s="70">
        <v>133.6</v>
      </c>
      <c r="H74" s="70">
        <v>132.1</v>
      </c>
      <c r="I74" s="70">
        <v>131.19999999999999</v>
      </c>
      <c r="J74" s="70">
        <v>130.69999999999999</v>
      </c>
      <c r="K74" s="70">
        <v>129.30000000000001</v>
      </c>
      <c r="L74" s="70">
        <v>130.30000000000001</v>
      </c>
      <c r="M74" s="70">
        <v>128.9</v>
      </c>
      <c r="N74" s="70">
        <v>129.4</v>
      </c>
      <c r="O74" s="70">
        <v>129.1</v>
      </c>
      <c r="P74" s="70">
        <v>129.9</v>
      </c>
      <c r="Q74" s="99">
        <v>129.4</v>
      </c>
      <c r="R74" s="99">
        <v>128.4</v>
      </c>
      <c r="S74" s="99">
        <v>129.19999999999999</v>
      </c>
      <c r="T74" s="99">
        <v>129</v>
      </c>
      <c r="U74" s="99">
        <v>130</v>
      </c>
      <c r="V74" s="99">
        <v>130.1</v>
      </c>
      <c r="W74" s="99">
        <v>130.4</v>
      </c>
      <c r="X74" s="99">
        <v>130.80000000000001</v>
      </c>
      <c r="Y74" s="99">
        <v>131.4</v>
      </c>
      <c r="Z74" s="99">
        <v>130.9</v>
      </c>
      <c r="AA74" s="70">
        <v>131.1</v>
      </c>
      <c r="AB74" s="70">
        <v>131.1</v>
      </c>
      <c r="AC74" s="70">
        <v>130.4</v>
      </c>
      <c r="AD74" s="70">
        <v>131.1</v>
      </c>
      <c r="AE74" s="70">
        <v>132</v>
      </c>
      <c r="AF74" s="70">
        <v>132</v>
      </c>
      <c r="AG74" s="101"/>
      <c r="AH74" s="52">
        <f t="shared" si="2"/>
        <v>134</v>
      </c>
      <c r="AI74" s="53">
        <f t="shared" si="3"/>
        <v>128.4</v>
      </c>
    </row>
    <row r="75" spans="1:35" x14ac:dyDescent="0.25">
      <c r="A75" s="98" t="s">
        <v>82</v>
      </c>
      <c r="B75" s="100">
        <v>127.7</v>
      </c>
      <c r="C75" s="70">
        <v>129.5</v>
      </c>
      <c r="D75" s="70">
        <v>130.1</v>
      </c>
      <c r="E75" s="70">
        <v>128.9</v>
      </c>
      <c r="F75" s="70">
        <v>130.19999999999999</v>
      </c>
      <c r="G75" s="70">
        <v>131.19999999999999</v>
      </c>
      <c r="H75" s="70">
        <v>131.9</v>
      </c>
      <c r="I75" s="70">
        <v>128.80000000000001</v>
      </c>
      <c r="J75" s="70">
        <v>128.80000000000001</v>
      </c>
      <c r="K75" s="70">
        <v>130.1</v>
      </c>
      <c r="L75" s="70">
        <v>127.7</v>
      </c>
      <c r="M75" s="70">
        <v>129.4</v>
      </c>
      <c r="N75" s="70">
        <v>129.5</v>
      </c>
      <c r="O75" s="70">
        <v>129.69999999999999</v>
      </c>
      <c r="P75" s="70">
        <v>129.4</v>
      </c>
      <c r="Q75" s="70">
        <v>129</v>
      </c>
      <c r="R75" s="70">
        <v>128.5</v>
      </c>
      <c r="S75" s="70">
        <v>130</v>
      </c>
      <c r="T75" s="99">
        <v>131.4</v>
      </c>
      <c r="U75" s="99">
        <v>131.6</v>
      </c>
      <c r="V75" s="99">
        <v>130.4</v>
      </c>
      <c r="W75" s="99">
        <v>129.4</v>
      </c>
      <c r="X75" s="99">
        <v>129.9</v>
      </c>
      <c r="Y75" s="99">
        <v>128</v>
      </c>
      <c r="Z75" s="99">
        <v>128.9</v>
      </c>
      <c r="AA75" s="70">
        <v>128.6</v>
      </c>
      <c r="AB75" s="70">
        <v>128.6</v>
      </c>
      <c r="AC75" s="70">
        <v>128.1</v>
      </c>
      <c r="AD75" s="70">
        <v>129.5</v>
      </c>
      <c r="AE75" s="70">
        <v>128.1</v>
      </c>
      <c r="AF75" s="70">
        <v>128.1</v>
      </c>
      <c r="AG75" s="101"/>
      <c r="AH75" s="52">
        <f t="shared" si="2"/>
        <v>131.9</v>
      </c>
      <c r="AI75" s="53">
        <f t="shared" si="3"/>
        <v>127.7</v>
      </c>
    </row>
    <row r="76" spans="1:35" x14ac:dyDescent="0.25">
      <c r="A76" s="102" t="s">
        <v>83</v>
      </c>
      <c r="B76" s="100">
        <v>132</v>
      </c>
      <c r="C76" s="70">
        <v>131.69999999999999</v>
      </c>
      <c r="D76" s="70">
        <v>133.1</v>
      </c>
      <c r="E76" s="70">
        <v>133.30000000000001</v>
      </c>
      <c r="F76" s="70">
        <v>133.1</v>
      </c>
      <c r="G76" s="70">
        <v>133.69999999999999</v>
      </c>
      <c r="H76" s="70">
        <v>134.30000000000001</v>
      </c>
      <c r="I76" s="70">
        <v>131.1</v>
      </c>
      <c r="J76" s="70">
        <v>130.6</v>
      </c>
      <c r="K76" s="70">
        <v>129.9</v>
      </c>
      <c r="L76" s="70">
        <v>128</v>
      </c>
      <c r="M76" s="70">
        <v>13</v>
      </c>
      <c r="N76" s="70">
        <v>131.6</v>
      </c>
      <c r="O76" s="70">
        <v>131.9</v>
      </c>
      <c r="P76" s="70">
        <v>130.9</v>
      </c>
      <c r="Q76" s="70">
        <v>129.5</v>
      </c>
      <c r="R76" s="70">
        <v>128.19999999999999</v>
      </c>
      <c r="S76" s="70">
        <v>129.5</v>
      </c>
      <c r="T76" s="99">
        <v>130.69999999999999</v>
      </c>
      <c r="U76" s="99">
        <v>131.19999999999999</v>
      </c>
      <c r="V76" s="99">
        <v>130.69999999999999</v>
      </c>
      <c r="W76" s="99">
        <v>129.80000000000001</v>
      </c>
      <c r="X76" s="99">
        <v>130.30000000000001</v>
      </c>
      <c r="Y76" s="99">
        <v>128</v>
      </c>
      <c r="Z76" s="99">
        <v>130.69999999999999</v>
      </c>
      <c r="AA76" s="70">
        <v>131.80000000000001</v>
      </c>
      <c r="AB76" s="70">
        <v>131.80000000000001</v>
      </c>
      <c r="AC76" s="70">
        <v>133.1</v>
      </c>
      <c r="AD76" s="70">
        <v>134.80000000000001</v>
      </c>
      <c r="AE76" s="70">
        <v>130.69999999999999</v>
      </c>
      <c r="AF76" s="70">
        <v>130.69999999999999</v>
      </c>
      <c r="AG76" s="101"/>
      <c r="AH76" s="52">
        <f t="shared" si="2"/>
        <v>134.80000000000001</v>
      </c>
      <c r="AI76" s="53">
        <f t="shared" si="3"/>
        <v>13</v>
      </c>
    </row>
    <row r="77" spans="1:35" x14ac:dyDescent="0.25">
      <c r="A77" s="102" t="s">
        <v>84</v>
      </c>
      <c r="B77" s="104">
        <v>134.30000000000001</v>
      </c>
      <c r="C77" s="103">
        <v>136.4</v>
      </c>
      <c r="D77" s="103">
        <v>134.1</v>
      </c>
      <c r="E77" s="103">
        <v>135</v>
      </c>
      <c r="F77" s="103">
        <v>135.5</v>
      </c>
      <c r="G77" s="103">
        <v>135.80000000000001</v>
      </c>
      <c r="H77" s="103">
        <v>134.19999999999999</v>
      </c>
      <c r="I77" s="103">
        <v>134.4</v>
      </c>
      <c r="J77" s="103">
        <v>134</v>
      </c>
      <c r="K77" s="103">
        <v>130.80000000000001</v>
      </c>
      <c r="L77" s="103">
        <v>132.9</v>
      </c>
      <c r="M77" s="103">
        <v>130.69999999999999</v>
      </c>
      <c r="N77" s="103">
        <v>133</v>
      </c>
      <c r="O77" s="103">
        <v>132.1</v>
      </c>
      <c r="P77" s="103">
        <v>133.1</v>
      </c>
      <c r="Q77" s="103">
        <v>132.4</v>
      </c>
      <c r="R77" s="103">
        <v>130.69999999999999</v>
      </c>
      <c r="S77" s="103">
        <v>133.6</v>
      </c>
      <c r="T77" s="99">
        <v>96.9</v>
      </c>
      <c r="U77" s="99">
        <v>96.8</v>
      </c>
      <c r="V77" s="99">
        <v>132.80000000000001</v>
      </c>
      <c r="W77" s="99">
        <v>134.19999999999999</v>
      </c>
      <c r="X77" s="99">
        <v>135</v>
      </c>
      <c r="Y77" s="99">
        <v>96.8</v>
      </c>
      <c r="Z77" s="99">
        <v>130.80000000000001</v>
      </c>
      <c r="AA77" s="103">
        <v>131.19999999999999</v>
      </c>
      <c r="AB77" s="103">
        <v>131.19999999999999</v>
      </c>
      <c r="AC77" s="103">
        <v>128.69999999999999</v>
      </c>
      <c r="AD77" s="103">
        <v>132.30000000000001</v>
      </c>
      <c r="AE77" s="103">
        <v>132.6</v>
      </c>
      <c r="AF77" s="103">
        <v>132.6</v>
      </c>
      <c r="AG77" s="105"/>
      <c r="AH77" s="52">
        <f t="shared" si="2"/>
        <v>136.4</v>
      </c>
      <c r="AI77" s="53">
        <f t="shared" si="3"/>
        <v>96.8</v>
      </c>
    </row>
    <row r="78" spans="1:35" x14ac:dyDescent="0.25">
      <c r="A78" s="98" t="s">
        <v>85</v>
      </c>
      <c r="B78" s="100">
        <v>132.80000000000001</v>
      </c>
      <c r="C78" s="70">
        <v>134.4</v>
      </c>
      <c r="D78" s="70">
        <v>135.69999999999999</v>
      </c>
      <c r="E78" s="70">
        <v>135.4</v>
      </c>
      <c r="F78" s="70">
        <v>135.69999999999999</v>
      </c>
      <c r="G78" s="70">
        <v>136</v>
      </c>
      <c r="H78" s="70">
        <v>136.30000000000001</v>
      </c>
      <c r="I78" s="70">
        <v>135.6</v>
      </c>
      <c r="J78" s="70">
        <v>135.1</v>
      </c>
      <c r="K78" s="70">
        <v>130</v>
      </c>
      <c r="L78" s="70">
        <v>127.3</v>
      </c>
      <c r="M78" s="70">
        <v>128.19999999999999</v>
      </c>
      <c r="N78" s="70">
        <v>129.6</v>
      </c>
      <c r="O78" s="70">
        <v>127</v>
      </c>
      <c r="P78" s="70">
        <v>126.9</v>
      </c>
      <c r="Q78" s="70">
        <v>134.5</v>
      </c>
      <c r="R78" s="70">
        <v>128.4</v>
      </c>
      <c r="S78" s="70">
        <v>129.4</v>
      </c>
      <c r="T78" s="99">
        <v>130</v>
      </c>
      <c r="U78" s="99">
        <v>131.1</v>
      </c>
      <c r="V78" s="99">
        <v>131.30000000000001</v>
      </c>
      <c r="W78" s="99">
        <v>131.4</v>
      </c>
      <c r="X78" s="99">
        <v>132.5</v>
      </c>
      <c r="Y78" s="99">
        <v>134.6</v>
      </c>
      <c r="Z78" s="99">
        <v>132.6</v>
      </c>
      <c r="AA78" s="70">
        <v>130.30000000000001</v>
      </c>
      <c r="AB78" s="70">
        <v>130.30000000000001</v>
      </c>
      <c r="AC78" s="70">
        <v>123.2</v>
      </c>
      <c r="AD78" s="70">
        <v>128.30000000000001</v>
      </c>
      <c r="AE78" s="70">
        <v>129.19999999999999</v>
      </c>
      <c r="AF78" s="70">
        <v>129.19999999999999</v>
      </c>
      <c r="AG78" s="101"/>
      <c r="AH78" s="52">
        <f>MAX(B78:AF78)</f>
        <v>136.30000000000001</v>
      </c>
      <c r="AI78" s="53">
        <f>MIN(B78:AF78)</f>
        <v>123.2</v>
      </c>
    </row>
    <row r="79" spans="1:35" ht="15.75" thickBot="1" x14ac:dyDescent="0.3">
      <c r="A79" s="98" t="s">
        <v>86</v>
      </c>
      <c r="B79" s="107">
        <v>68</v>
      </c>
      <c r="C79" s="106">
        <v>68</v>
      </c>
      <c r="D79" s="106">
        <v>68.599999999999994</v>
      </c>
      <c r="E79" s="106">
        <v>68</v>
      </c>
      <c r="F79" s="106">
        <v>68</v>
      </c>
      <c r="G79" s="106">
        <v>68</v>
      </c>
      <c r="H79" s="106">
        <v>67.2</v>
      </c>
      <c r="I79" s="106">
        <v>66.7</v>
      </c>
      <c r="J79" s="106">
        <v>66.400000000000006</v>
      </c>
      <c r="K79" s="106">
        <v>65.7</v>
      </c>
      <c r="L79" s="106">
        <v>66.400000000000006</v>
      </c>
      <c r="M79" s="106">
        <v>65.7</v>
      </c>
      <c r="N79" s="106">
        <v>65.900000000000006</v>
      </c>
      <c r="O79" s="106">
        <v>65.900000000000006</v>
      </c>
      <c r="P79" s="106">
        <v>66.3</v>
      </c>
      <c r="Q79" s="106">
        <v>65.900000000000006</v>
      </c>
      <c r="R79" s="106">
        <v>65.400000000000006</v>
      </c>
      <c r="S79" s="106">
        <v>65.900000000000006</v>
      </c>
      <c r="T79" s="106">
        <v>65.900000000000006</v>
      </c>
      <c r="U79" s="106">
        <v>66.5</v>
      </c>
      <c r="V79" s="106">
        <v>66.400000000000006</v>
      </c>
      <c r="W79" s="106">
        <v>66.5</v>
      </c>
      <c r="X79" s="106">
        <v>66.7</v>
      </c>
      <c r="Y79" s="106">
        <v>67</v>
      </c>
      <c r="Z79" s="106">
        <v>66.8</v>
      </c>
      <c r="AA79" s="106">
        <v>67</v>
      </c>
      <c r="AB79" s="106">
        <v>67</v>
      </c>
      <c r="AC79" s="106">
        <v>66.8</v>
      </c>
      <c r="AD79" s="106">
        <v>67.2</v>
      </c>
      <c r="AE79" s="106">
        <v>67.599999999999994</v>
      </c>
      <c r="AF79" s="106">
        <v>67.599999999999994</v>
      </c>
      <c r="AG79" s="108"/>
      <c r="AH79" s="52">
        <f>MAX(B79:AF79)</f>
        <v>68.599999999999994</v>
      </c>
      <c r="AI79" s="53">
        <f>MIN(B79:AF79)</f>
        <v>65.400000000000006</v>
      </c>
    </row>
    <row r="80" spans="1:35" x14ac:dyDescent="0.25">
      <c r="A80" s="109" t="s">
        <v>87</v>
      </c>
      <c r="B80" s="110">
        <f>SUMIF(B48:B57,"&gt;0")</f>
        <v>340.5</v>
      </c>
      <c r="C80" s="110">
        <f t="shared" ref="C80:AF80" si="19">SUMIF(C48:C57,"&gt;0")</f>
        <v>330.2</v>
      </c>
      <c r="D80" s="110">
        <f t="shared" si="19"/>
        <v>293.5</v>
      </c>
      <c r="E80" s="110">
        <f t="shared" si="19"/>
        <v>302.59999999999997</v>
      </c>
      <c r="F80" s="110">
        <f t="shared" si="19"/>
        <v>268.5</v>
      </c>
      <c r="G80" s="110">
        <f t="shared" si="19"/>
        <v>256.3</v>
      </c>
      <c r="H80" s="110">
        <f t="shared" si="19"/>
        <v>257.40000000000003</v>
      </c>
      <c r="I80" s="110">
        <f t="shared" si="19"/>
        <v>270.3</v>
      </c>
      <c r="J80" s="110">
        <f t="shared" si="19"/>
        <v>278.3</v>
      </c>
      <c r="K80" s="110">
        <f t="shared" si="19"/>
        <v>315.60000000000002</v>
      </c>
      <c r="L80" s="110">
        <f t="shared" si="19"/>
        <v>333.3</v>
      </c>
      <c r="M80" s="110">
        <f t="shared" si="19"/>
        <v>372.43</v>
      </c>
      <c r="N80" s="110">
        <f t="shared" si="19"/>
        <v>320.8</v>
      </c>
      <c r="O80" s="110">
        <f t="shared" si="19"/>
        <v>324.40999999999997</v>
      </c>
      <c r="P80" s="110">
        <f t="shared" si="19"/>
        <v>295.70000000000005</v>
      </c>
      <c r="Q80" s="110">
        <f t="shared" si="19"/>
        <v>304.39000000000004</v>
      </c>
      <c r="R80" s="110">
        <f t="shared" si="19"/>
        <v>328</v>
      </c>
      <c r="S80" s="110">
        <f t="shared" si="19"/>
        <v>333.59999999999997</v>
      </c>
      <c r="T80" s="110">
        <f t="shared" si="19"/>
        <v>347.9</v>
      </c>
      <c r="U80" s="110">
        <f t="shared" si="19"/>
        <v>329.52000000000004</v>
      </c>
      <c r="V80" s="110">
        <f t="shared" si="19"/>
        <v>331.8</v>
      </c>
      <c r="W80" s="110">
        <f t="shared" si="19"/>
        <v>330.50999999999993</v>
      </c>
      <c r="X80" s="110">
        <f t="shared" si="19"/>
        <v>367.68</v>
      </c>
      <c r="Y80" s="110">
        <f t="shared" si="19"/>
        <v>394.7</v>
      </c>
      <c r="Z80" s="110">
        <f t="shared" si="19"/>
        <v>9</v>
      </c>
      <c r="AA80" s="110">
        <f t="shared" si="19"/>
        <v>389.5</v>
      </c>
      <c r="AB80" s="110">
        <f t="shared" si="19"/>
        <v>364</v>
      </c>
      <c r="AC80" s="110">
        <f t="shared" si="19"/>
        <v>359.5</v>
      </c>
      <c r="AD80" s="110">
        <f t="shared" si="19"/>
        <v>269.5</v>
      </c>
      <c r="AE80" s="110">
        <f t="shared" si="19"/>
        <v>247.8</v>
      </c>
      <c r="AF80" s="110">
        <f t="shared" si="19"/>
        <v>197.8</v>
      </c>
      <c r="AG80" s="111"/>
      <c r="AH80" s="52">
        <f>MAX(B80:AF80)</f>
        <v>394.7</v>
      </c>
      <c r="AI80" s="53">
        <f>MIN(B80:AF80)</f>
        <v>9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140.82</v>
      </c>
      <c r="C82" s="115">
        <f t="shared" ref="C82:AF82" si="20">C11+C13+C17+C34+C36+C38+C40+C94+C108+C110+C121+C127+C130+C139+C143+C144+C147+C154+C159+C162+C163+C164+C172+C177+C83+C84+C85+C86+C99</f>
        <v>126.11999999999996</v>
      </c>
      <c r="D82" s="115">
        <f t="shared" si="20"/>
        <v>117.32</v>
      </c>
      <c r="E82" s="115">
        <f t="shared" si="20"/>
        <v>120.81999999999994</v>
      </c>
      <c r="F82" s="115">
        <f t="shared" si="20"/>
        <v>135.31999999999996</v>
      </c>
      <c r="G82" s="115">
        <f t="shared" si="20"/>
        <v>232.32</v>
      </c>
      <c r="H82" s="115">
        <f t="shared" si="20"/>
        <v>171.32</v>
      </c>
      <c r="I82" s="115">
        <f t="shared" si="20"/>
        <v>180.61999999999998</v>
      </c>
      <c r="J82" s="115">
        <f t="shared" si="20"/>
        <v>185.51999999999998</v>
      </c>
      <c r="K82" s="115">
        <f t="shared" si="20"/>
        <v>259.11999999999995</v>
      </c>
      <c r="L82" s="115">
        <f t="shared" si="20"/>
        <v>251.41999999999996</v>
      </c>
      <c r="M82" s="115">
        <f t="shared" si="20"/>
        <v>233.22</v>
      </c>
      <c r="N82" s="115">
        <f t="shared" si="20"/>
        <v>236.62</v>
      </c>
      <c r="O82" s="115">
        <f t="shared" si="20"/>
        <v>200.51999999999995</v>
      </c>
      <c r="P82" s="115">
        <f t="shared" si="20"/>
        <v>188.42</v>
      </c>
      <c r="Q82" s="115">
        <f t="shared" si="20"/>
        <v>194.31999999999996</v>
      </c>
      <c r="R82" s="115">
        <f t="shared" si="20"/>
        <v>201.31999999999996</v>
      </c>
      <c r="S82" s="115">
        <f t="shared" si="20"/>
        <v>196.22000000000003</v>
      </c>
      <c r="T82" s="115">
        <f t="shared" si="20"/>
        <v>192.52</v>
      </c>
      <c r="U82" s="115">
        <f t="shared" si="20"/>
        <v>193.32</v>
      </c>
      <c r="V82" s="115">
        <f t="shared" si="20"/>
        <v>199.72</v>
      </c>
      <c r="W82" s="115">
        <f t="shared" si="20"/>
        <v>213.62</v>
      </c>
      <c r="X82" s="115">
        <f t="shared" si="20"/>
        <v>229.82</v>
      </c>
      <c r="Y82" s="115">
        <f t="shared" si="20"/>
        <v>253.01999999999998</v>
      </c>
      <c r="Z82" s="115">
        <f t="shared" si="20"/>
        <v>35.42</v>
      </c>
      <c r="AA82" s="115">
        <f t="shared" si="20"/>
        <v>247.42</v>
      </c>
      <c r="AB82" s="115">
        <f t="shared" si="20"/>
        <v>230.42000000000002</v>
      </c>
      <c r="AC82" s="115">
        <f t="shared" si="20"/>
        <v>208.61999999999998</v>
      </c>
      <c r="AD82" s="115">
        <f t="shared" si="20"/>
        <v>165.52</v>
      </c>
      <c r="AE82" s="115">
        <f t="shared" si="20"/>
        <v>148.72</v>
      </c>
      <c r="AF82" s="115">
        <f t="shared" si="20"/>
        <v>122.61999999999998</v>
      </c>
      <c r="AG82" s="116"/>
      <c r="AH82" s="52">
        <f>MAX(B82:AF82)</f>
        <v>259.11999999999995</v>
      </c>
      <c r="AI82" s="53">
        <f>MIN(B82:AF82)</f>
        <v>35.42</v>
      </c>
    </row>
    <row r="83" spans="1:37" x14ac:dyDescent="0.25">
      <c r="A83" s="117" t="s">
        <v>89</v>
      </c>
      <c r="B83" s="119">
        <v>17</v>
      </c>
      <c r="C83" s="118">
        <v>21.1</v>
      </c>
      <c r="D83" s="118">
        <v>26</v>
      </c>
      <c r="E83" s="118">
        <v>17.2</v>
      </c>
      <c r="F83" s="118">
        <v>18.899999999999999</v>
      </c>
      <c r="G83" s="118">
        <v>18.7</v>
      </c>
      <c r="H83" s="118">
        <v>17.7</v>
      </c>
      <c r="I83" s="118">
        <v>38.6</v>
      </c>
      <c r="J83" s="118">
        <v>39.200000000000003</v>
      </c>
      <c r="K83" s="118">
        <v>45.2</v>
      </c>
      <c r="L83" s="118">
        <v>39</v>
      </c>
      <c r="M83" s="118">
        <v>33.4</v>
      </c>
      <c r="N83" s="118">
        <v>39.200000000000003</v>
      </c>
      <c r="O83" s="118">
        <v>36.1</v>
      </c>
      <c r="P83" s="118">
        <v>39.299999999999997</v>
      </c>
      <c r="Q83" s="118">
        <v>36.1</v>
      </c>
      <c r="R83" s="118">
        <v>45</v>
      </c>
      <c r="S83" s="118">
        <v>46.9</v>
      </c>
      <c r="T83" s="118">
        <v>46.5</v>
      </c>
      <c r="U83" s="118">
        <v>39.700000000000003</v>
      </c>
      <c r="V83" s="118">
        <v>35.4</v>
      </c>
      <c r="W83" s="118">
        <v>36.9</v>
      </c>
      <c r="X83" s="118">
        <v>31</v>
      </c>
      <c r="Y83" s="118">
        <v>37.200000000000003</v>
      </c>
      <c r="Z83" s="118"/>
      <c r="AA83" s="50">
        <v>37</v>
      </c>
      <c r="AB83" s="50">
        <v>44</v>
      </c>
      <c r="AC83" s="50">
        <v>45</v>
      </c>
      <c r="AD83" s="50">
        <v>43</v>
      </c>
      <c r="AE83" s="50">
        <v>42.5</v>
      </c>
      <c r="AF83" s="119">
        <v>46.3</v>
      </c>
      <c r="AG83" s="120">
        <v>75</v>
      </c>
      <c r="AH83" s="52">
        <f>IF(ABS(MAX(B83:AF83))&gt;ABS(MIN(B83:AF83)),MAX(B83:AF83),MIN(B83:AF83))</f>
        <v>46.9</v>
      </c>
      <c r="AI83" s="121">
        <f>INDEX($B$9:$AF$9,1,MATCH(AH83,B83:AF83,0))</f>
        <v>0.625</v>
      </c>
    </row>
    <row r="84" spans="1:37" x14ac:dyDescent="0.25">
      <c r="A84" s="122" t="s">
        <v>90</v>
      </c>
      <c r="B84" s="123">
        <f>-13.3-19.7</f>
        <v>-33</v>
      </c>
      <c r="C84" s="83">
        <f>-14.3-18.6</f>
        <v>-32.900000000000006</v>
      </c>
      <c r="D84" s="83">
        <v>-45</v>
      </c>
      <c r="E84" s="83">
        <v>-33.299999999999997</v>
      </c>
      <c r="F84" s="83">
        <v>-33.299999999999997</v>
      </c>
      <c r="G84" s="83">
        <v>-35.200000000000003</v>
      </c>
      <c r="H84" s="83">
        <v>-25.2</v>
      </c>
      <c r="I84" s="83">
        <v>-36</v>
      </c>
      <c r="J84" s="83">
        <v>-36.5</v>
      </c>
      <c r="K84" s="83">
        <v>25.6</v>
      </c>
      <c r="L84" s="83">
        <v>-15</v>
      </c>
      <c r="M84" s="83">
        <v>0.5</v>
      </c>
      <c r="N84" s="83">
        <v>-12.6</v>
      </c>
      <c r="O84" s="83">
        <v>-10.3</v>
      </c>
      <c r="P84" s="83">
        <v>-19</v>
      </c>
      <c r="Q84" s="83">
        <v>-16</v>
      </c>
      <c r="R84" s="83">
        <v>-19.3</v>
      </c>
      <c r="S84" s="83">
        <v>-21.2</v>
      </c>
      <c r="T84" s="83">
        <v>-18.399999999999999</v>
      </c>
      <c r="U84" s="83">
        <v>-18.7</v>
      </c>
      <c r="V84" s="83">
        <f>-12.8</f>
        <v>-12.8</v>
      </c>
      <c r="W84" s="83">
        <v>-7.2</v>
      </c>
      <c r="X84" s="83">
        <v>0.1</v>
      </c>
      <c r="Y84" s="83">
        <v>-2.2000000000000002</v>
      </c>
      <c r="Z84" s="83"/>
      <c r="AA84" s="70">
        <v>-13</v>
      </c>
      <c r="AB84" s="70">
        <v>-23</v>
      </c>
      <c r="AC84" s="70">
        <v>-23</v>
      </c>
      <c r="AD84" s="70">
        <v>-30</v>
      </c>
      <c r="AE84" s="70">
        <v>-31</v>
      </c>
      <c r="AF84" s="123">
        <v>-49</v>
      </c>
      <c r="AG84" s="120">
        <v>240</v>
      </c>
      <c r="AH84" s="52">
        <f>IF(ABS(MAX(B84:AF84))&gt;ABS(MIN(B84:AF84)),MAX(B84:AF84),MIN(B84:AF84))</f>
        <v>-49</v>
      </c>
      <c r="AI84" s="121">
        <f>INDEX($B$9:$AF$9,1,MATCH(AH84,B84:AF84,0))</f>
        <v>1</v>
      </c>
    </row>
    <row r="85" spans="1:37" x14ac:dyDescent="0.25">
      <c r="A85" s="122" t="s">
        <v>91</v>
      </c>
      <c r="B85" s="123">
        <v>17</v>
      </c>
      <c r="C85" s="83">
        <v>8.3000000000000007</v>
      </c>
      <c r="D85" s="83">
        <v>7.3</v>
      </c>
      <c r="E85" s="83">
        <v>6.7</v>
      </c>
      <c r="F85" s="83">
        <v>10</v>
      </c>
      <c r="G85" s="83">
        <v>15.8</v>
      </c>
      <c r="H85" s="83">
        <v>17.7</v>
      </c>
      <c r="I85" s="83">
        <v>15.6</v>
      </c>
      <c r="J85" s="83">
        <v>16.5</v>
      </c>
      <c r="K85" s="83">
        <v>17.399999999999999</v>
      </c>
      <c r="L85" s="83">
        <v>21.2</v>
      </c>
      <c r="M85" s="83">
        <v>16.8</v>
      </c>
      <c r="N85" s="83">
        <v>23.6</v>
      </c>
      <c r="O85" s="83">
        <v>13.4</v>
      </c>
      <c r="P85" s="83">
        <v>13.2</v>
      </c>
      <c r="Q85" s="83">
        <v>10</v>
      </c>
      <c r="R85" s="83">
        <v>4.2</v>
      </c>
      <c r="S85" s="83">
        <v>6</v>
      </c>
      <c r="T85" s="83">
        <v>5.8</v>
      </c>
      <c r="U85" s="83">
        <v>7.6</v>
      </c>
      <c r="V85" s="83">
        <v>10.9</v>
      </c>
      <c r="W85" s="83">
        <v>13.2</v>
      </c>
      <c r="X85" s="83">
        <v>15.5</v>
      </c>
      <c r="Y85" s="83">
        <v>21.9</v>
      </c>
      <c r="Z85" s="83"/>
      <c r="AA85" s="70">
        <v>32</v>
      </c>
      <c r="AB85" s="70">
        <v>27</v>
      </c>
      <c r="AC85" s="70">
        <v>15.6</v>
      </c>
      <c r="AD85" s="70">
        <v>6</v>
      </c>
      <c r="AE85" s="70">
        <v>3</v>
      </c>
      <c r="AF85" s="123">
        <v>0</v>
      </c>
      <c r="AG85" s="120">
        <v>60</v>
      </c>
      <c r="AH85" s="52">
        <f>IF(ABS(MAX(B85:AF85))&gt;ABS(MIN(B85:AF85)),MAX(B85:AF85),MIN(B85:AF85))</f>
        <v>32</v>
      </c>
      <c r="AI85" s="121">
        <f>INDEX($B$9:$AF$9,1,MATCH(AH85,B85:AF85,0))</f>
        <v>0.83333333333333337</v>
      </c>
    </row>
    <row r="86" spans="1:37" x14ac:dyDescent="0.25">
      <c r="A86" s="124" t="s">
        <v>92</v>
      </c>
      <c r="B86" s="126">
        <v>-44.2</v>
      </c>
      <c r="C86" s="85">
        <v>-53.7</v>
      </c>
      <c r="D86" s="85">
        <v>-56.4</v>
      </c>
      <c r="E86" s="85">
        <v>-57</v>
      </c>
      <c r="F86" s="85">
        <v>-48.4</v>
      </c>
      <c r="G86" s="85">
        <v>43.8</v>
      </c>
      <c r="H86" s="85">
        <v>-30.6</v>
      </c>
      <c r="I86" s="85">
        <v>-25.6</v>
      </c>
      <c r="J86" s="85">
        <v>-21.4</v>
      </c>
      <c r="K86" s="85">
        <v>-16.3</v>
      </c>
      <c r="L86" s="85">
        <v>11.6</v>
      </c>
      <c r="M86" s="85">
        <v>-20.9</v>
      </c>
      <c r="N86" s="85">
        <v>-13.6</v>
      </c>
      <c r="O86" s="85">
        <v>-38.700000000000003</v>
      </c>
      <c r="P86" s="85">
        <v>-44.7</v>
      </c>
      <c r="Q86" s="85">
        <v>-37.299999999999997</v>
      </c>
      <c r="R86" s="85">
        <v>-29.5</v>
      </c>
      <c r="S86" s="85">
        <v>-33.6</v>
      </c>
      <c r="T86" s="85">
        <v>-37.799999999999997</v>
      </c>
      <c r="U86" s="85">
        <v>-34</v>
      </c>
      <c r="V86" s="85">
        <v>-30.7</v>
      </c>
      <c r="W86" s="85">
        <v>-20.5</v>
      </c>
      <c r="X86" s="85">
        <v>-13</v>
      </c>
      <c r="Y86" s="85">
        <v>0.2</v>
      </c>
      <c r="Z86" s="85"/>
      <c r="AA86" s="125">
        <v>-3.5</v>
      </c>
      <c r="AB86" s="125">
        <v>-13.6</v>
      </c>
      <c r="AC86" s="125">
        <v>-24.4</v>
      </c>
      <c r="AD86" s="125">
        <v>-48</v>
      </c>
      <c r="AE86" s="125">
        <v>-61</v>
      </c>
      <c r="AF86" s="126">
        <v>-71</v>
      </c>
      <c r="AG86" s="127">
        <v>120</v>
      </c>
      <c r="AH86" s="52">
        <f>IF(ABS(MAX(B86:AF86))&gt;ABS(MIN(B86:AF86)),MAX(B86:AF86),MIN(B86:AF86))</f>
        <v>-71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126">
        <v>10.6</v>
      </c>
      <c r="C87" s="85">
        <v>8.6999999999999993</v>
      </c>
      <c r="D87" s="85">
        <v>6.6</v>
      </c>
      <c r="E87" s="85">
        <v>16.899999999999999</v>
      </c>
      <c r="F87" s="85">
        <v>15</v>
      </c>
      <c r="G87" s="85">
        <v>10</v>
      </c>
      <c r="H87" s="85">
        <v>22.7</v>
      </c>
      <c r="I87" s="85">
        <v>4</v>
      </c>
      <c r="J87" s="85">
        <v>4</v>
      </c>
      <c r="K87" s="85">
        <v>5.9</v>
      </c>
      <c r="L87" s="85">
        <v>8.1999999999999993</v>
      </c>
      <c r="M87" s="85">
        <v>37.5</v>
      </c>
      <c r="N87" s="85">
        <v>11.8</v>
      </c>
      <c r="O87" s="85">
        <v>27.3</v>
      </c>
      <c r="P87" s="85">
        <v>8.6</v>
      </c>
      <c r="Q87" s="85">
        <v>18.7</v>
      </c>
      <c r="R87" s="85">
        <v>20.6</v>
      </c>
      <c r="S87" s="85">
        <v>16.600000000000001</v>
      </c>
      <c r="T87" s="85">
        <v>19.8</v>
      </c>
      <c r="U87" s="85">
        <v>21.3</v>
      </c>
      <c r="V87" s="85">
        <v>27.9</v>
      </c>
      <c r="W87" s="85">
        <v>-30.4</v>
      </c>
      <c r="X87" s="85">
        <v>41</v>
      </c>
      <c r="Y87" s="85">
        <v>27.6</v>
      </c>
      <c r="Z87" s="85"/>
      <c r="AA87" s="125">
        <v>13</v>
      </c>
      <c r="AB87" s="125">
        <v>7</v>
      </c>
      <c r="AC87" s="125">
        <v>18</v>
      </c>
      <c r="AD87" s="125">
        <v>0</v>
      </c>
      <c r="AE87" s="125">
        <v>-7</v>
      </c>
      <c r="AF87" s="126">
        <v>-11</v>
      </c>
      <c r="AG87" s="127"/>
      <c r="AH87" s="52">
        <f>IF(ABS(MAX(B87:AF87))&gt;ABS(MIN(B87:AF87)),MAX(B87:AF87),MIN(B87:AF87))</f>
        <v>41</v>
      </c>
      <c r="AI87" s="121">
        <f>INDEX($B$9:$AF$9,1,MATCH(AH87,B87:AF87,0))</f>
        <v>0.77083333333333337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1029.27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12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12)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12)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997.94</v>
      </c>
      <c r="U193" s="173">
        <f t="shared" si="37"/>
        <v>958.84</v>
      </c>
      <c r="V193" s="173">
        <f t="shared" si="37"/>
        <v>924.54</v>
      </c>
      <c r="W193" s="173">
        <f t="shared" si="37"/>
        <v>916.64</v>
      </c>
      <c r="X193" s="173">
        <f t="shared" si="37"/>
        <v>893.14</v>
      </c>
      <c r="Y193" s="173">
        <f t="shared" si="37"/>
        <v>890.99</v>
      </c>
      <c r="Z193" s="173">
        <f t="shared" si="37"/>
        <v>901.93999999999994</v>
      </c>
      <c r="AA193" s="173">
        <f t="shared" si="37"/>
        <v>917.24</v>
      </c>
      <c r="AB193" s="173">
        <f t="shared" si="37"/>
        <v>955.54</v>
      </c>
      <c r="AC193" s="173">
        <f t="shared" si="37"/>
        <v>1001.24</v>
      </c>
      <c r="AD193" s="173">
        <f t="shared" si="37"/>
        <v>1028.8399999999999</v>
      </c>
      <c r="AE193" s="173">
        <f t="shared" si="37"/>
        <v>1029.27</v>
      </c>
      <c r="AF193" s="173">
        <f t="shared" si="37"/>
        <v>1019.24</v>
      </c>
      <c r="AG193" s="173">
        <f t="shared" si="37"/>
        <v>984.95</v>
      </c>
      <c r="AH193" s="173">
        <f t="shared" si="37"/>
        <v>961.84000000000015</v>
      </c>
      <c r="AI193" s="173">
        <f t="shared" si="37"/>
        <v>963.83000000000015</v>
      </c>
      <c r="AJ193" s="173">
        <f t="shared" si="37"/>
        <v>1034.2399999999998</v>
      </c>
      <c r="AK193" s="173">
        <f t="shared" si="37"/>
        <v>987.94</v>
      </c>
      <c r="AL193" s="173">
        <f t="shared" si="37"/>
        <v>992.54</v>
      </c>
      <c r="AM193" s="173">
        <f t="shared" si="37"/>
        <v>947.26</v>
      </c>
      <c r="AN193" s="173">
        <f t="shared" si="37"/>
        <v>943.94</v>
      </c>
      <c r="AO193" s="173">
        <f t="shared" si="37"/>
        <v>955.44999999999993</v>
      </c>
      <c r="AP193" s="173">
        <f t="shared" si="37"/>
        <v>976.02</v>
      </c>
      <c r="AQ193" s="173">
        <f t="shared" si="37"/>
        <v>1021.4399999999999</v>
      </c>
      <c r="AR193" s="173">
        <f t="shared" si="37"/>
        <v>172.84</v>
      </c>
      <c r="AS193" s="173">
        <f t="shared" si="37"/>
        <v>1125.04</v>
      </c>
      <c r="AT193" s="173">
        <f t="shared" si="37"/>
        <v>1091.24</v>
      </c>
      <c r="AU193" s="173">
        <f t="shared" si="37"/>
        <v>1050.04</v>
      </c>
      <c r="AV193" s="173">
        <f t="shared" si="37"/>
        <v>938.33999999999992</v>
      </c>
      <c r="AW193" s="173">
        <f t="shared" si="37"/>
        <v>896.44</v>
      </c>
      <c r="AX193" s="173">
        <f t="shared" si="37"/>
        <v>866.2399999999999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898" priority="179">
      <formula>S$9&gt;=20/24</formula>
    </cfRule>
    <cfRule type="expression" dxfId="3897" priority="180">
      <formula>AND(S$9&gt;=14/24,S$9&lt;20/24)</formula>
    </cfRule>
    <cfRule type="expression" dxfId="3896" priority="181">
      <formula>AND(S$9&gt;=8/24,S$9&lt;14/24)</formula>
    </cfRule>
    <cfRule type="expression" dxfId="3895" priority="182">
      <formula>S$9&lt;8/24</formula>
    </cfRule>
  </conditionalFormatting>
  <conditionalFormatting sqref="B8:AF10 AA70:AF70 C70:Q70 M32:Z33 M31:Q31 C47:AF47 C71:AF71 C72:Q72 C173:AF179 L29:Q29 L51:Q52 L49:T50 V35:W35 S34:W34 X34:Z35 C73:Z79 R11:T11 C59:AF69 U11:Z12 C48:K52 O34:Q39 M36:N38 M34:N34 Q53:AF58 AA48:AF51 L44:AF46 AA72:AF79">
    <cfRule type="expression" dxfId="3894" priority="175">
      <formula>B$9&gt;=20/24</formula>
    </cfRule>
    <cfRule type="expression" dxfId="3893" priority="176">
      <formula>AND(B$9&gt;=14/24,B$9&lt;20/24)</formula>
    </cfRule>
    <cfRule type="expression" dxfId="3892" priority="177">
      <formula>AND(B$9&gt;=8/24,B$9&lt;14/24)</formula>
    </cfRule>
    <cfRule type="expression" dxfId="3891" priority="178">
      <formula>B$9&lt;8/24</formula>
    </cfRule>
  </conditionalFormatting>
  <conditionalFormatting sqref="B171:AF171">
    <cfRule type="expression" dxfId="3890" priority="171">
      <formula>B$9&gt;=20/24</formula>
    </cfRule>
    <cfRule type="expression" dxfId="3889" priority="172">
      <formula>AND(B$9&gt;=14/24,B$9&lt;20/24)</formula>
    </cfRule>
    <cfRule type="expression" dxfId="3888" priority="173">
      <formula>AND(B$9&gt;=8/24,B$9&lt;14/24)</formula>
    </cfRule>
    <cfRule type="expression" dxfId="3887" priority="174">
      <formula>B$9&lt;8/24</formula>
    </cfRule>
  </conditionalFormatting>
  <conditionalFormatting sqref="AL4:AL6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886" priority="166">
      <formula>L$9&gt;=20/24</formula>
    </cfRule>
    <cfRule type="expression" dxfId="3885" priority="167">
      <formula>AND(L$9&gt;=14/24,L$9&lt;20/24)</formula>
    </cfRule>
    <cfRule type="expression" dxfId="3884" priority="168">
      <formula>AND(L$9&gt;=8/24,L$9&lt;14/24)</formula>
    </cfRule>
    <cfRule type="expression" dxfId="3883" priority="169">
      <formula>L$9&lt;8/24</formula>
    </cfRule>
  </conditionalFormatting>
  <conditionalFormatting sqref="M35:N35">
    <cfRule type="expression" dxfId="3882" priority="162">
      <formula>M$9&gt;=20/24</formula>
    </cfRule>
    <cfRule type="expression" dxfId="3881" priority="163">
      <formula>AND(M$9&gt;=14/24,M$9&lt;20/24)</formula>
    </cfRule>
    <cfRule type="expression" dxfId="3880" priority="164">
      <formula>AND(M$9&gt;=8/24,M$9&lt;14/24)</formula>
    </cfRule>
    <cfRule type="expression" dxfId="3879" priority="165">
      <formula>M$9&lt;8/24</formula>
    </cfRule>
  </conditionalFormatting>
  <conditionalFormatting sqref="U13:Z13">
    <cfRule type="expression" dxfId="3878" priority="158">
      <formula>U$9&gt;=20/24</formula>
    </cfRule>
    <cfRule type="expression" dxfId="3877" priority="159">
      <formula>AND(U$9&gt;=14/24,U$9&lt;20/24)</formula>
    </cfRule>
    <cfRule type="expression" dxfId="3876" priority="160">
      <formula>AND(U$9&gt;=8/24,U$9&lt;14/24)</formula>
    </cfRule>
    <cfRule type="expression" dxfId="3875" priority="161">
      <formula>U$9&lt;8/24</formula>
    </cfRule>
  </conditionalFormatting>
  <conditionalFormatting sqref="R31:Z31">
    <cfRule type="expression" dxfId="3874" priority="154">
      <formula>R$9&gt;=20/24</formula>
    </cfRule>
    <cfRule type="expression" dxfId="3873" priority="155">
      <formula>AND(R$9&gt;=14/24,R$9&lt;20/24)</formula>
    </cfRule>
    <cfRule type="expression" dxfId="3872" priority="156">
      <formula>AND(R$9&gt;=8/24,R$9&lt;14/24)</formula>
    </cfRule>
    <cfRule type="expression" dxfId="3871" priority="157">
      <formula>R$9&lt;8/24</formula>
    </cfRule>
  </conditionalFormatting>
  <conditionalFormatting sqref="R48:Z48">
    <cfRule type="expression" dxfId="3870" priority="150">
      <formula>R$9&gt;=20/24</formula>
    </cfRule>
    <cfRule type="expression" dxfId="3869" priority="151">
      <formula>AND(R$9&gt;=14/24,R$9&lt;20/24)</formula>
    </cfRule>
    <cfRule type="expression" dxfId="3868" priority="152">
      <formula>AND(R$9&gt;=8/24,R$9&lt;14/24)</formula>
    </cfRule>
    <cfRule type="expression" dxfId="3867" priority="153">
      <formula>R$9&lt;8/24</formula>
    </cfRule>
  </conditionalFormatting>
  <conditionalFormatting sqref="R70:Z70">
    <cfRule type="expression" dxfId="3866" priority="146">
      <formula>R$9&gt;=20/24</formula>
    </cfRule>
    <cfRule type="expression" dxfId="3865" priority="147">
      <formula>AND(R$9&gt;=14/24,R$9&lt;20/24)</formula>
    </cfRule>
    <cfRule type="expression" dxfId="3864" priority="148">
      <formula>AND(R$9&gt;=8/24,R$9&lt;14/24)</formula>
    </cfRule>
    <cfRule type="expression" dxfId="3863" priority="149">
      <formula>R$9&lt;8/24</formula>
    </cfRule>
  </conditionalFormatting>
  <conditionalFormatting sqref="R72:Z72">
    <cfRule type="expression" dxfId="3862" priority="142">
      <formula>R$9&gt;=20/24</formula>
    </cfRule>
    <cfRule type="expression" dxfId="3861" priority="143">
      <formula>AND(R$9&gt;=14/24,R$9&lt;20/24)</formula>
    </cfRule>
    <cfRule type="expression" dxfId="3860" priority="144">
      <formula>AND(R$9&gt;=8/24,R$9&lt;14/24)</formula>
    </cfRule>
    <cfRule type="expression" dxfId="3859" priority="145">
      <formula>R$9&lt;8/24</formula>
    </cfRule>
  </conditionalFormatting>
  <conditionalFormatting sqref="L11:Q19 L24:AF24">
    <cfRule type="expression" dxfId="3858" priority="138">
      <formula>L$9&gt;=20/24</formula>
    </cfRule>
    <cfRule type="expression" dxfId="3857" priority="139">
      <formula>AND(L$9&gt;=14/24,L$9&lt;20/24)</formula>
    </cfRule>
    <cfRule type="expression" dxfId="3856" priority="140">
      <formula>AND(L$9&gt;=8/24,L$9&lt;14/24)</formula>
    </cfRule>
    <cfRule type="expression" dxfId="3855" priority="141">
      <formula>L$9&lt;8/24</formula>
    </cfRule>
  </conditionalFormatting>
  <conditionalFormatting sqref="L40:Q40">
    <cfRule type="expression" dxfId="3854" priority="134">
      <formula>L$9&gt;=20/24</formula>
    </cfRule>
    <cfRule type="expression" dxfId="3853" priority="135">
      <formula>AND(L$9&gt;=14/24,L$9&lt;20/24)</formula>
    </cfRule>
    <cfRule type="expression" dxfId="3852" priority="136">
      <formula>AND(L$9&gt;=8/24,L$9&lt;14/24)</formula>
    </cfRule>
    <cfRule type="expression" dxfId="3851" priority="137">
      <formula>L$9&lt;8/24</formula>
    </cfRule>
  </conditionalFormatting>
  <conditionalFormatting sqref="R29:AD29">
    <cfRule type="expression" dxfId="3850" priority="122">
      <formula>R$9&gt;=20/24</formula>
    </cfRule>
    <cfRule type="expression" dxfId="3849" priority="123">
      <formula>AND(R$9&gt;=14/24,R$9&lt;20/24)</formula>
    </cfRule>
    <cfRule type="expression" dxfId="3848" priority="124">
      <formula>AND(R$9&gt;=8/24,R$9&lt;14/24)</formula>
    </cfRule>
    <cfRule type="expression" dxfId="3847" priority="125">
      <formula>R$9&lt;8/24</formula>
    </cfRule>
  </conditionalFormatting>
  <conditionalFormatting sqref="R12:T19 U14:Z19 AA16:AF19 S14:AF14 S16:AF16 S18:AF18">
    <cfRule type="expression" dxfId="3846" priority="118">
      <formula>R$9&gt;=20/24</formula>
    </cfRule>
    <cfRule type="expression" dxfId="3845" priority="119">
      <formula>AND(R$9&gt;=14/24,R$9&lt;20/24)</formula>
    </cfRule>
    <cfRule type="expression" dxfId="3844" priority="120">
      <formula>AND(R$9&gt;=8/24,R$9&lt;14/24)</formula>
    </cfRule>
    <cfRule type="expression" dxfId="3843" priority="121">
      <formula>R$9&lt;8/24</formula>
    </cfRule>
  </conditionalFormatting>
  <conditionalFormatting sqref="R34:R39 S35:U39 V36:Z39 S37:Z37 S39:AF39">
    <cfRule type="expression" dxfId="3842" priority="114">
      <formula>R$9&gt;=20/24</formula>
    </cfRule>
    <cfRule type="expression" dxfId="3841" priority="115">
      <formula>AND(R$9&gt;=14/24,R$9&lt;20/24)</formula>
    </cfRule>
    <cfRule type="expression" dxfId="3840" priority="116">
      <formula>AND(R$9&gt;=8/24,R$9&lt;14/24)</formula>
    </cfRule>
    <cfRule type="expression" dxfId="3839" priority="117">
      <formula>R$9&lt;8/24</formula>
    </cfRule>
  </conditionalFormatting>
  <conditionalFormatting sqref="R40:AF40">
    <cfRule type="expression" dxfId="3838" priority="110">
      <formula>R$9&gt;=20/24</formula>
    </cfRule>
    <cfRule type="expression" dxfId="3837" priority="111">
      <formula>AND(R$9&gt;=14/24,R$9&lt;20/24)</formula>
    </cfRule>
    <cfRule type="expression" dxfId="3836" priority="112">
      <formula>AND(R$9&gt;=8/24,R$9&lt;14/24)</formula>
    </cfRule>
    <cfRule type="expression" dxfId="3835" priority="113">
      <formula>R$9&lt;8/24</formula>
    </cfRule>
  </conditionalFormatting>
  <conditionalFormatting sqref="AA52:AF52 R51:Z52">
    <cfRule type="expression" dxfId="3834" priority="102">
      <formula>R$9&gt;=20/24</formula>
    </cfRule>
    <cfRule type="expression" dxfId="3833" priority="103">
      <formula>AND(R$9&gt;=14/24,R$9&lt;20/24)</formula>
    </cfRule>
    <cfRule type="expression" dxfId="3832" priority="104">
      <formula>AND(R$9&gt;=8/24,R$9&lt;14/24)</formula>
    </cfRule>
    <cfRule type="expression" dxfId="3831" priority="105">
      <formula>R$9&lt;8/24</formula>
    </cfRule>
  </conditionalFormatting>
  <conditionalFormatting sqref="AA83:AF86">
    <cfRule type="expression" dxfId="3830" priority="98">
      <formula>AA$9&gt;=20/24</formula>
    </cfRule>
    <cfRule type="expression" dxfId="3829" priority="99">
      <formula>AND(AA$9&gt;=14/24,AA$9&lt;20/24)</formula>
    </cfRule>
    <cfRule type="expression" dxfId="3828" priority="100">
      <formula>AND(AA$9&gt;=8/24,AA$9&lt;14/24)</formula>
    </cfRule>
    <cfRule type="expression" dxfId="3827" priority="101">
      <formula>AA$9&lt;8/24</formula>
    </cfRule>
  </conditionalFormatting>
  <conditionalFormatting sqref="C53:P58">
    <cfRule type="expression" dxfId="3826" priority="94">
      <formula>C$9&gt;=20/24</formula>
    </cfRule>
    <cfRule type="expression" dxfId="3825" priority="95">
      <formula>AND(C$9&gt;=14/24,C$9&lt;20/24)</formula>
    </cfRule>
    <cfRule type="expression" dxfId="3824" priority="96">
      <formula>AND(C$9&gt;=8/24,C$9&lt;14/24)</formula>
    </cfRule>
    <cfRule type="expression" dxfId="3823" priority="97">
      <formula>C$9&lt;8/24</formula>
    </cfRule>
  </conditionalFormatting>
  <conditionalFormatting sqref="C83:K86">
    <cfRule type="expression" dxfId="3822" priority="90">
      <formula>C$9&gt;=20/24</formula>
    </cfRule>
    <cfRule type="expression" dxfId="3821" priority="91">
      <formula>AND(C$9&gt;=14/24,C$9&lt;20/24)</formula>
    </cfRule>
    <cfRule type="expression" dxfId="3820" priority="92">
      <formula>AND(C$9&gt;=8/24,C$9&lt;14/24)</formula>
    </cfRule>
    <cfRule type="expression" dxfId="3819" priority="93">
      <formula>C$9&lt;8/24</formula>
    </cfRule>
  </conditionalFormatting>
  <conditionalFormatting sqref="L83:Q86">
    <cfRule type="expression" dxfId="3818" priority="86">
      <formula>L$9&gt;=20/24</formula>
    </cfRule>
    <cfRule type="expression" dxfId="3817" priority="87">
      <formula>AND(L$9&gt;=14/24,L$9&lt;20/24)</formula>
    </cfRule>
    <cfRule type="expression" dxfId="3816" priority="88">
      <formula>AND(L$9&gt;=8/24,L$9&lt;14/24)</formula>
    </cfRule>
    <cfRule type="expression" dxfId="3815" priority="89">
      <formula>L$9&lt;8/24</formula>
    </cfRule>
  </conditionalFormatting>
  <conditionalFormatting sqref="R83:Z86">
    <cfRule type="expression" dxfId="3814" priority="82">
      <formula>R$9&gt;=20/24</formula>
    </cfRule>
    <cfRule type="expression" dxfId="3813" priority="83">
      <formula>AND(R$9&gt;=14/24,R$9&lt;20/24)</formula>
    </cfRule>
    <cfRule type="expression" dxfId="3812" priority="84">
      <formula>AND(R$9&gt;=8/24,R$9&lt;14/24)</formula>
    </cfRule>
    <cfRule type="expression" dxfId="3811" priority="85">
      <formula>R$9&lt;8/24</formula>
    </cfRule>
  </conditionalFormatting>
  <conditionalFormatting sqref="AG42 C30:AF30 D34:K36 D28:AF29 C31:K33 D11:AF13 L40:Q40 O39:AF40 L14:AF14 D15:AF19 D24:AF24 M31:AF38 C42:AF47">
    <cfRule type="expression" dxfId="3810" priority="81">
      <formula>C11&gt;$AG11</formula>
    </cfRule>
  </conditionalFormatting>
  <conditionalFormatting sqref="T192:AX192">
    <cfRule type="expression" dxfId="3809" priority="77">
      <formula>T$9&gt;=20/24</formula>
    </cfRule>
    <cfRule type="expression" dxfId="3808" priority="78">
      <formula>AND(T$9&gt;=14/24,T$9&lt;20/24)</formula>
    </cfRule>
    <cfRule type="expression" dxfId="3807" priority="79">
      <formula>AND(T$9&gt;=8/24,T$9&lt;14/24)</formula>
    </cfRule>
    <cfRule type="expression" dxfId="3806" priority="80">
      <formula>T$9&lt;8/24</formula>
    </cfRule>
  </conditionalFormatting>
  <conditionalFormatting sqref="A11:A86 A88:A180">
    <cfRule type="expression" dxfId="3805" priority="76">
      <formula>$AH11=0</formula>
    </cfRule>
  </conditionalFormatting>
  <conditionalFormatting sqref="AA87:AF87">
    <cfRule type="expression" dxfId="3804" priority="72">
      <formula>AA$9&gt;=20/24</formula>
    </cfRule>
    <cfRule type="expression" dxfId="3803" priority="73">
      <formula>AND(AA$9&gt;=14/24,AA$9&lt;20/24)</formula>
    </cfRule>
    <cfRule type="expression" dxfId="3802" priority="74">
      <formula>AND(AA$9&gt;=8/24,AA$9&lt;14/24)</formula>
    </cfRule>
    <cfRule type="expression" dxfId="3801" priority="75">
      <formula>AA$9&lt;8/24</formula>
    </cfRule>
  </conditionalFormatting>
  <conditionalFormatting sqref="C87:K87">
    <cfRule type="expression" dxfId="3800" priority="68">
      <formula>C$9&gt;=20/24</formula>
    </cfRule>
    <cfRule type="expression" dxfId="3799" priority="69">
      <formula>AND(C$9&gt;=14/24,C$9&lt;20/24)</formula>
    </cfRule>
    <cfRule type="expression" dxfId="3798" priority="70">
      <formula>AND(C$9&gt;=8/24,C$9&lt;14/24)</formula>
    </cfRule>
    <cfRule type="expression" dxfId="3797" priority="71">
      <formula>C$9&lt;8/24</formula>
    </cfRule>
  </conditionalFormatting>
  <conditionalFormatting sqref="L87:Q87">
    <cfRule type="expression" dxfId="3796" priority="64">
      <formula>L$9&gt;=20/24</formula>
    </cfRule>
    <cfRule type="expression" dxfId="3795" priority="65">
      <formula>AND(L$9&gt;=14/24,L$9&lt;20/24)</formula>
    </cfRule>
    <cfRule type="expression" dxfId="3794" priority="66">
      <formula>AND(L$9&gt;=8/24,L$9&lt;14/24)</formula>
    </cfRule>
    <cfRule type="expression" dxfId="3793" priority="67">
      <formula>L$9&lt;8/24</formula>
    </cfRule>
  </conditionalFormatting>
  <conditionalFormatting sqref="R87:Z87">
    <cfRule type="expression" dxfId="3792" priority="60">
      <formula>R$9&gt;=20/24</formula>
    </cfRule>
    <cfRule type="expression" dxfId="3791" priority="61">
      <formula>AND(R$9&gt;=14/24,R$9&lt;20/24)</formula>
    </cfRule>
    <cfRule type="expression" dxfId="3790" priority="62">
      <formula>AND(R$9&gt;=8/24,R$9&lt;14/24)</formula>
    </cfRule>
    <cfRule type="expression" dxfId="3789" priority="63">
      <formula>R$9&lt;8/24</formula>
    </cfRule>
  </conditionalFormatting>
  <conditionalFormatting sqref="A87">
    <cfRule type="expression" dxfId="3788" priority="59">
      <formula>$AH87=0</formula>
    </cfRule>
  </conditionalFormatting>
  <conditionalFormatting sqref="D28:AF28">
    <cfRule type="expression" dxfId="3787" priority="55">
      <formula>D$9&gt;=20/24</formula>
    </cfRule>
    <cfRule type="expression" dxfId="3786" priority="56">
      <formula>AND(D$9&gt;=14/24,D$9&lt;20/24)</formula>
    </cfRule>
    <cfRule type="expression" dxfId="3785" priority="57">
      <formula>AND(D$9&gt;=8/24,D$9&lt;14/24)</formula>
    </cfRule>
    <cfRule type="expression" dxfId="3784" priority="58">
      <formula>D$9&lt;8/24</formula>
    </cfRule>
  </conditionalFormatting>
  <conditionalFormatting sqref="R28:AA28">
    <cfRule type="expression" dxfId="3783" priority="51">
      <formula>R$9&gt;=20/24</formula>
    </cfRule>
    <cfRule type="expression" dxfId="3782" priority="52">
      <formula>AND(R$9&gt;=14/24,R$9&lt;20/24)</formula>
    </cfRule>
    <cfRule type="expression" dxfId="3781" priority="53">
      <formula>AND(R$9&gt;=8/24,R$9&lt;14/24)</formula>
    </cfRule>
    <cfRule type="expression" dxfId="3780" priority="54">
      <formula>R$9&lt;8/24</formula>
    </cfRule>
  </conditionalFormatting>
  <conditionalFormatting sqref="L31:L39 M39:N39 J41:AF41">
    <cfRule type="expression" dxfId="3779" priority="1">
      <formula>J31&gt;$AG31</formula>
    </cfRule>
  </conditionalFormatting>
  <conditionalFormatting sqref="B59:B79 B44:B51">
    <cfRule type="expression" dxfId="3778" priority="47">
      <formula>B$9&gt;=20/24</formula>
    </cfRule>
    <cfRule type="expression" dxfId="3777" priority="48">
      <formula>AND(B$9&gt;=14/24,B$9&lt;20/24)</formula>
    </cfRule>
    <cfRule type="expression" dxfId="3776" priority="49">
      <formula>AND(B$9&gt;=8/24,B$9&lt;14/24)</formula>
    </cfRule>
    <cfRule type="expression" dxfId="3775" priority="50">
      <formula>B$9&lt;8/24</formula>
    </cfRule>
  </conditionalFormatting>
  <conditionalFormatting sqref="B25:AF27 B20:AF23">
    <cfRule type="expression" dxfId="3774" priority="43">
      <formula>B$9&gt;=20/24</formula>
    </cfRule>
    <cfRule type="expression" dxfId="3773" priority="44">
      <formula>AND(B$9&gt;=14/24,B$9&lt;20/24)</formula>
    </cfRule>
    <cfRule type="expression" dxfId="3772" priority="45">
      <formula>AND(B$9&gt;=8/24,B$9&lt;14/24)</formula>
    </cfRule>
    <cfRule type="expression" dxfId="3771" priority="46">
      <formula>B$9&lt;8/24</formula>
    </cfRule>
  </conditionalFormatting>
  <conditionalFormatting sqref="B16:C27 D25:AF27 D20:AF23">
    <cfRule type="expression" dxfId="3770" priority="39">
      <formula>B$9&gt;=20/24</formula>
    </cfRule>
    <cfRule type="expression" dxfId="3769" priority="40">
      <formula>AND(B$9&gt;=14/24,B$9&lt;20/24)</formula>
    </cfRule>
    <cfRule type="expression" dxfId="3768" priority="41">
      <formula>AND(B$9&gt;=8/24,B$9&lt;14/24)</formula>
    </cfRule>
    <cfRule type="expression" dxfId="3767" priority="42">
      <formula>B$9&lt;8/24</formula>
    </cfRule>
  </conditionalFormatting>
  <conditionalFormatting sqref="B52">
    <cfRule type="expression" dxfId="3766" priority="35">
      <formula>B$9&gt;=20/24</formula>
    </cfRule>
    <cfRule type="expression" dxfId="3765" priority="36">
      <formula>AND(B$9&gt;=14/24,B$9&lt;20/24)</formula>
    </cfRule>
    <cfRule type="expression" dxfId="3764" priority="37">
      <formula>AND(B$9&gt;=8/24,B$9&lt;14/24)</formula>
    </cfRule>
    <cfRule type="expression" dxfId="3763" priority="38">
      <formula>B$9&lt;8/24</formula>
    </cfRule>
  </conditionalFormatting>
  <conditionalFormatting sqref="B83:B86">
    <cfRule type="expression" dxfId="3762" priority="31">
      <formula>B$9&gt;=20/24</formula>
    </cfRule>
    <cfRule type="expression" dxfId="3761" priority="32">
      <formula>AND(B$9&gt;=14/24,B$9&lt;20/24)</formula>
    </cfRule>
    <cfRule type="expression" dxfId="3760" priority="33">
      <formula>AND(B$9&gt;=8/24,B$9&lt;14/24)</formula>
    </cfRule>
    <cfRule type="expression" dxfId="3759" priority="34">
      <formula>B$9&lt;8/24</formula>
    </cfRule>
  </conditionalFormatting>
  <conditionalFormatting sqref="B11:B47 C11:C13 C34:C41 D41:I41 D37:K40 C15:C29 C14:K14 D25:AF27 D20:AF23">
    <cfRule type="expression" dxfId="3758" priority="30">
      <formula>B11&gt;$AG11</formula>
    </cfRule>
  </conditionalFormatting>
  <conditionalFormatting sqref="B87">
    <cfRule type="expression" dxfId="3757" priority="26">
      <formula>B$9&gt;=20/24</formula>
    </cfRule>
    <cfRule type="expression" dxfId="3756" priority="27">
      <formula>AND(B$9&gt;=14/24,B$9&lt;20/24)</formula>
    </cfRule>
    <cfRule type="expression" dxfId="3755" priority="28">
      <formula>AND(B$9&gt;=8/24,B$9&lt;14/24)</formula>
    </cfRule>
    <cfRule type="expression" dxfId="3754" priority="29">
      <formula>B$9&lt;8/24</formula>
    </cfRule>
  </conditionalFormatting>
  <conditionalFormatting sqref="B28:C28">
    <cfRule type="expression" dxfId="3753" priority="22">
      <formula>B$9&gt;=20/24</formula>
    </cfRule>
    <cfRule type="expression" dxfId="3752" priority="23">
      <formula>AND(B$9&gt;=14/24,B$9&lt;20/24)</formula>
    </cfRule>
    <cfRule type="expression" dxfId="3751" priority="24">
      <formula>AND(B$9&gt;=8/24,B$9&lt;14/24)</formula>
    </cfRule>
    <cfRule type="expression" dxfId="3750" priority="25">
      <formula>B$9&lt;8/24</formula>
    </cfRule>
  </conditionalFormatting>
  <conditionalFormatting sqref="B53:B58">
    <cfRule type="expression" dxfId="3749" priority="18">
      <formula>B$9&gt;=20/24</formula>
    </cfRule>
    <cfRule type="expression" dxfId="3748" priority="19">
      <formula>AND(B$9&gt;=14/24,B$9&lt;20/24)</formula>
    </cfRule>
    <cfRule type="expression" dxfId="3747" priority="20">
      <formula>AND(B$9&gt;=8/24,B$9&lt;14/24)</formula>
    </cfRule>
    <cfRule type="expression" dxfId="3746" priority="21">
      <formula>B$9&lt;8/24</formula>
    </cfRule>
  </conditionalFormatting>
  <conditionalFormatting sqref="L36:L39 L31:L34 M39:N39">
    <cfRule type="expression" dxfId="3745" priority="14">
      <formula>L$9&gt;=20/24</formula>
    </cfRule>
    <cfRule type="expression" dxfId="3744" priority="15">
      <formula>AND(L$9&gt;=14/24,L$9&lt;20/24)</formula>
    </cfRule>
    <cfRule type="expression" dxfId="3743" priority="16">
      <formula>AND(L$9&gt;=8/24,L$9&lt;14/24)</formula>
    </cfRule>
    <cfRule type="expression" dxfId="3742" priority="17">
      <formula>L$9&lt;8/24</formula>
    </cfRule>
  </conditionalFormatting>
  <conditionalFormatting sqref="L35">
    <cfRule type="expression" dxfId="3741" priority="10">
      <formula>L$9&gt;=20/24</formula>
    </cfRule>
    <cfRule type="expression" dxfId="3740" priority="11">
      <formula>AND(L$9&gt;=14/24,L$9&lt;20/24)</formula>
    </cfRule>
    <cfRule type="expression" dxfId="3739" priority="12">
      <formula>AND(L$9&gt;=8/24,L$9&lt;14/24)</formula>
    </cfRule>
    <cfRule type="expression" dxfId="3738" priority="13">
      <formula>L$9&lt;8/24</formula>
    </cfRule>
  </conditionalFormatting>
  <conditionalFormatting sqref="J41:AF41">
    <cfRule type="expression" dxfId="3737" priority="2">
      <formula>J$9&gt;=20/24</formula>
    </cfRule>
    <cfRule type="expression" dxfId="3736" priority="3">
      <formula>AND(J$9&gt;=14/24,J$9&lt;20/24)</formula>
    </cfRule>
    <cfRule type="expression" dxfId="3735" priority="4">
      <formula>AND(J$9&gt;=8/24,J$9&lt;14/24)</formula>
    </cfRule>
    <cfRule type="expression" dxfId="3734" priority="5">
      <formula>J$9&lt;8/24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O82" sqref="O82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13</v>
      </c>
      <c r="D4" s="324">
        <f ca="1">IFERROR(DATE(2021,5,14)+C4,"")</f>
        <v>44343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176.5</v>
      </c>
      <c r="C5" s="32">
        <f t="shared" ref="C5:AF5" si="0">C59</f>
        <v>118.4</v>
      </c>
      <c r="D5" s="32">
        <f t="shared" si="0"/>
        <v>53</v>
      </c>
      <c r="E5" s="32">
        <f t="shared" si="0"/>
        <v>24</v>
      </c>
      <c r="F5" s="32">
        <f t="shared" si="0"/>
        <v>24.310000000000002</v>
      </c>
      <c r="G5" s="32">
        <f t="shared" si="0"/>
        <v>19.29</v>
      </c>
      <c r="H5" s="32">
        <f t="shared" si="0"/>
        <v>0.80000000000000071</v>
      </c>
      <c r="I5" s="32">
        <f t="shared" si="0"/>
        <v>12.629999999999999</v>
      </c>
      <c r="J5" s="32">
        <f t="shared" si="0"/>
        <v>30.9</v>
      </c>
      <c r="K5" s="32">
        <f t="shared" si="0"/>
        <v>86</v>
      </c>
      <c r="L5" s="32">
        <f t="shared" si="0"/>
        <v>96.5</v>
      </c>
      <c r="M5" s="32">
        <f t="shared" si="0"/>
        <v>138.19999999999999</v>
      </c>
      <c r="N5" s="32">
        <f t="shared" si="0"/>
        <v>92.919999999999987</v>
      </c>
      <c r="O5" s="32">
        <f t="shared" si="0"/>
        <v>55.8</v>
      </c>
      <c r="P5" s="32">
        <f t="shared" si="0"/>
        <v>63</v>
      </c>
      <c r="Q5" s="32">
        <f t="shared" si="0"/>
        <v>46.9</v>
      </c>
      <c r="R5" s="32">
        <f t="shared" si="0"/>
        <v>50.2</v>
      </c>
      <c r="S5" s="32">
        <f t="shared" si="0"/>
        <v>79.02000000000001</v>
      </c>
      <c r="T5" s="32">
        <f t="shared" si="0"/>
        <v>103.06</v>
      </c>
      <c r="U5" s="32">
        <f t="shared" si="0"/>
        <v>62.71</v>
      </c>
      <c r="V5" s="32">
        <f t="shared" si="0"/>
        <v>82.45</v>
      </c>
      <c r="W5" s="32">
        <f t="shared" si="0"/>
        <v>112.6</v>
      </c>
      <c r="X5" s="32">
        <f t="shared" si="0"/>
        <v>139.86000000000001</v>
      </c>
      <c r="Y5" s="32">
        <f t="shared" si="0"/>
        <v>227.6</v>
      </c>
      <c r="Z5" s="32">
        <f t="shared" si="0"/>
        <v>210.39</v>
      </c>
      <c r="AA5" s="32">
        <f t="shared" si="0"/>
        <v>198.74</v>
      </c>
      <c r="AB5" s="32">
        <f t="shared" si="0"/>
        <v>128.66999999999999</v>
      </c>
      <c r="AC5" s="32">
        <f t="shared" si="0"/>
        <v>72.069999999999993</v>
      </c>
      <c r="AD5" s="32">
        <f t="shared" si="0"/>
        <v>-23.659999999999997</v>
      </c>
      <c r="AE5" s="32">
        <f t="shared" si="0"/>
        <v>45.51</v>
      </c>
      <c r="AF5" s="32">
        <f t="shared" si="0"/>
        <v>10.149999999999999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971MW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Load=699</v>
      </c>
      <c r="B7" s="36">
        <f t="shared" ref="B7:AF7" si="1">B65</f>
        <v>923.7399999999999</v>
      </c>
      <c r="C7" s="36">
        <f t="shared" si="1"/>
        <v>891.24</v>
      </c>
      <c r="D7" s="36">
        <f t="shared" si="1"/>
        <v>866.64</v>
      </c>
      <c r="E7" s="36">
        <f t="shared" si="1"/>
        <v>842.64</v>
      </c>
      <c r="F7" s="36">
        <f t="shared" si="1"/>
        <v>840.75</v>
      </c>
      <c r="G7" s="36">
        <f t="shared" si="1"/>
        <v>849.32999999999993</v>
      </c>
      <c r="H7" s="36">
        <f t="shared" si="1"/>
        <v>836.54</v>
      </c>
      <c r="I7" s="36">
        <f t="shared" si="1"/>
        <v>858.27</v>
      </c>
      <c r="J7" s="36">
        <f t="shared" si="1"/>
        <v>875.24</v>
      </c>
      <c r="K7" s="36">
        <f t="shared" si="1"/>
        <v>931.44</v>
      </c>
      <c r="L7" s="36">
        <f>L65</f>
        <v>971.44</v>
      </c>
      <c r="M7" s="36">
        <f t="shared" si="1"/>
        <v>950.44</v>
      </c>
      <c r="N7" s="36">
        <f t="shared" si="1"/>
        <v>913.07</v>
      </c>
      <c r="O7" s="36">
        <f t="shared" si="1"/>
        <v>872.24</v>
      </c>
      <c r="P7" s="36">
        <f t="shared" si="1"/>
        <v>838.1400000000001</v>
      </c>
      <c r="Q7" s="36">
        <f t="shared" si="1"/>
        <v>850.24</v>
      </c>
      <c r="R7" s="36">
        <f t="shared" si="1"/>
        <v>817.64</v>
      </c>
      <c r="S7" s="36">
        <f t="shared" si="1"/>
        <v>832.26</v>
      </c>
      <c r="T7" s="36">
        <f t="shared" si="1"/>
        <v>861.9</v>
      </c>
      <c r="U7" s="36">
        <f t="shared" si="1"/>
        <v>869.34999999999991</v>
      </c>
      <c r="V7" s="36">
        <f t="shared" si="1"/>
        <v>894.29000000000008</v>
      </c>
      <c r="W7" s="36">
        <f t="shared" si="1"/>
        <v>891.84</v>
      </c>
      <c r="X7" s="36">
        <f t="shared" si="1"/>
        <v>960.7</v>
      </c>
      <c r="Y7" s="36">
        <f t="shared" si="1"/>
        <v>1020.04</v>
      </c>
      <c r="Z7" s="36">
        <f t="shared" si="1"/>
        <v>1069.03</v>
      </c>
      <c r="AA7" s="36">
        <f t="shared" si="1"/>
        <v>1005.5799999999999</v>
      </c>
      <c r="AB7" s="36">
        <f t="shared" si="1"/>
        <v>948.31</v>
      </c>
      <c r="AC7" s="36">
        <f t="shared" si="1"/>
        <v>892.51</v>
      </c>
      <c r="AD7" s="36">
        <f t="shared" si="1"/>
        <v>741.38</v>
      </c>
      <c r="AE7" s="36">
        <f t="shared" si="1"/>
        <v>735.25</v>
      </c>
      <c r="AF7" s="36">
        <f t="shared" si="1"/>
        <v>699.29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37.700000000000003</v>
      </c>
      <c r="C11" s="48">
        <v>38</v>
      </c>
      <c r="D11" s="48">
        <v>38</v>
      </c>
      <c r="E11" s="48">
        <v>37.700000000000003</v>
      </c>
      <c r="F11" s="48">
        <v>39.6</v>
      </c>
      <c r="G11" s="48">
        <v>40</v>
      </c>
      <c r="H11" s="48">
        <v>42.3</v>
      </c>
      <c r="I11" s="48">
        <v>41.8</v>
      </c>
      <c r="J11" s="48">
        <v>44.3</v>
      </c>
      <c r="K11" s="48">
        <v>46.9</v>
      </c>
      <c r="L11" s="49">
        <v>46.9</v>
      </c>
      <c r="M11" s="49">
        <v>44.8</v>
      </c>
      <c r="N11" s="49">
        <v>47.7</v>
      </c>
      <c r="O11" s="49">
        <v>47.1</v>
      </c>
      <c r="P11" s="49">
        <v>45.8</v>
      </c>
      <c r="Q11" s="49">
        <v>46.3</v>
      </c>
      <c r="R11" s="50">
        <v>47.5</v>
      </c>
      <c r="S11" s="50">
        <v>46.6</v>
      </c>
      <c r="T11" s="50">
        <v>48.1</v>
      </c>
      <c r="U11" s="50">
        <v>46.4</v>
      </c>
      <c r="V11" s="50">
        <v>46.8</v>
      </c>
      <c r="W11" s="50">
        <v>47.5</v>
      </c>
      <c r="X11" s="50">
        <v>46.3</v>
      </c>
      <c r="Y11" s="50">
        <v>48</v>
      </c>
      <c r="Z11" s="50">
        <v>46.4</v>
      </c>
      <c r="AA11" s="48">
        <v>46.4</v>
      </c>
      <c r="AB11" s="48">
        <v>46.4</v>
      </c>
      <c r="AC11" s="48">
        <v>46.2</v>
      </c>
      <c r="AD11" s="48">
        <v>46.2</v>
      </c>
      <c r="AE11" s="48">
        <v>46.5</v>
      </c>
      <c r="AF11" s="48">
        <v>46.5</v>
      </c>
      <c r="AG11" s="51">
        <v>60</v>
      </c>
      <c r="AH11" s="52">
        <f>MAX(B11:AF11)</f>
        <v>48.1</v>
      </c>
      <c r="AI11" s="53">
        <f>MIN(B11:AF11)</f>
        <v>37.700000000000003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50.4</v>
      </c>
      <c r="C12" s="56">
        <v>50.1</v>
      </c>
      <c r="D12" s="56">
        <v>50.1</v>
      </c>
      <c r="E12" s="56">
        <v>50.4</v>
      </c>
      <c r="F12" s="56">
        <v>50.1</v>
      </c>
      <c r="G12" s="56">
        <v>50.3</v>
      </c>
      <c r="H12" s="56">
        <v>50.4</v>
      </c>
      <c r="I12" s="56">
        <v>50.2</v>
      </c>
      <c r="J12" s="56">
        <v>50.3</v>
      </c>
      <c r="K12" s="56">
        <v>50.3</v>
      </c>
      <c r="L12" s="49">
        <v>50.3</v>
      </c>
      <c r="M12" s="49">
        <v>50.5</v>
      </c>
      <c r="N12" s="49">
        <v>50.5</v>
      </c>
      <c r="O12" s="49">
        <v>50.4</v>
      </c>
      <c r="P12" s="49">
        <v>50.6</v>
      </c>
      <c r="Q12" s="49">
        <v>50.3</v>
      </c>
      <c r="R12" s="49">
        <v>50.3</v>
      </c>
      <c r="S12" s="49">
        <v>50.4</v>
      </c>
      <c r="T12" s="49">
        <v>50.6</v>
      </c>
      <c r="U12" s="49">
        <v>50.3</v>
      </c>
      <c r="V12" s="49">
        <v>50.8</v>
      </c>
      <c r="W12" s="49">
        <v>50.5</v>
      </c>
      <c r="X12" s="49">
        <v>50.6</v>
      </c>
      <c r="Y12" s="49">
        <v>50.5</v>
      </c>
      <c r="Z12" s="49">
        <v>50.3</v>
      </c>
      <c r="AA12" s="56">
        <v>50.9</v>
      </c>
      <c r="AB12" s="56">
        <v>50</v>
      </c>
      <c r="AC12" s="56">
        <v>50.2</v>
      </c>
      <c r="AD12" s="56">
        <v>50.2</v>
      </c>
      <c r="AE12" s="56">
        <v>50.9</v>
      </c>
      <c r="AF12" s="56">
        <v>50.5</v>
      </c>
      <c r="AG12" s="57">
        <v>50</v>
      </c>
      <c r="AH12" s="52">
        <f t="shared" ref="AH12:AH77" si="2">MAX(B12:AF12)</f>
        <v>50.9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44.8</v>
      </c>
      <c r="C13" s="56">
        <v>45</v>
      </c>
      <c r="D13" s="56">
        <v>45</v>
      </c>
      <c r="E13" s="56">
        <v>45.1</v>
      </c>
      <c r="F13" s="56">
        <v>44.9</v>
      </c>
      <c r="G13" s="56">
        <v>44.8</v>
      </c>
      <c r="H13" s="56">
        <v>45.1</v>
      </c>
      <c r="I13" s="56">
        <v>44.6</v>
      </c>
      <c r="J13" s="56">
        <v>44.8</v>
      </c>
      <c r="K13" s="56">
        <v>44.7</v>
      </c>
      <c r="L13" s="49">
        <v>45</v>
      </c>
      <c r="M13" s="49">
        <v>45.2</v>
      </c>
      <c r="N13" s="49">
        <v>45.2</v>
      </c>
      <c r="O13" s="49">
        <v>43.2</v>
      </c>
      <c r="P13" s="49">
        <v>43.1</v>
      </c>
      <c r="Q13" s="49">
        <v>43.2</v>
      </c>
      <c r="R13" s="49">
        <v>43.2</v>
      </c>
      <c r="S13" s="49">
        <v>43.1</v>
      </c>
      <c r="T13" s="49">
        <v>42.9</v>
      </c>
      <c r="U13" s="49">
        <v>43</v>
      </c>
      <c r="V13" s="49">
        <v>43.1</v>
      </c>
      <c r="W13" s="49">
        <v>43</v>
      </c>
      <c r="X13" s="49">
        <v>43</v>
      </c>
      <c r="Y13" s="49">
        <v>43</v>
      </c>
      <c r="Z13" s="49">
        <v>43</v>
      </c>
      <c r="AA13" s="56">
        <v>43.1</v>
      </c>
      <c r="AB13" s="56">
        <v>42.9</v>
      </c>
      <c r="AC13" s="56">
        <v>43</v>
      </c>
      <c r="AD13" s="56">
        <v>43</v>
      </c>
      <c r="AE13" s="56">
        <v>43</v>
      </c>
      <c r="AF13" s="56">
        <v>43</v>
      </c>
      <c r="AG13" s="59">
        <v>45</v>
      </c>
      <c r="AH13" s="52">
        <f t="shared" si="2"/>
        <v>45.2</v>
      </c>
      <c r="AI13" s="53">
        <f t="shared" si="3"/>
        <v>42.9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25</v>
      </c>
      <c r="C14" s="56">
        <v>25</v>
      </c>
      <c r="D14" s="56">
        <v>25</v>
      </c>
      <c r="E14" s="56">
        <v>25</v>
      </c>
      <c r="F14" s="56">
        <v>25</v>
      </c>
      <c r="G14" s="56">
        <v>25</v>
      </c>
      <c r="H14" s="56">
        <v>25</v>
      </c>
      <c r="I14" s="56">
        <v>25</v>
      </c>
      <c r="J14" s="56">
        <v>25</v>
      </c>
      <c r="K14" s="56">
        <v>25</v>
      </c>
      <c r="L14" s="56">
        <v>25</v>
      </c>
      <c r="M14" s="56">
        <v>25</v>
      </c>
      <c r="N14" s="56">
        <v>25</v>
      </c>
      <c r="O14" s="56">
        <v>25</v>
      </c>
      <c r="P14" s="56">
        <v>25</v>
      </c>
      <c r="Q14" s="56">
        <v>25</v>
      </c>
      <c r="R14" s="49">
        <v>25</v>
      </c>
      <c r="S14" s="49">
        <v>25</v>
      </c>
      <c r="T14" s="49">
        <v>25</v>
      </c>
      <c r="U14" s="49">
        <v>25</v>
      </c>
      <c r="V14" s="49">
        <v>25</v>
      </c>
      <c r="W14" s="49">
        <v>25</v>
      </c>
      <c r="X14" s="49">
        <v>25</v>
      </c>
      <c r="Y14" s="49">
        <v>0</v>
      </c>
      <c r="Z14" s="49">
        <v>14.5</v>
      </c>
      <c r="AA14" s="49">
        <v>14.5</v>
      </c>
      <c r="AB14" s="49">
        <v>14.5</v>
      </c>
      <c r="AC14" s="49">
        <v>14.5</v>
      </c>
      <c r="AD14" s="49">
        <v>14.5</v>
      </c>
      <c r="AE14" s="49">
        <v>14.5</v>
      </c>
      <c r="AF14" s="49">
        <v>14.5</v>
      </c>
      <c r="AG14" s="59">
        <v>25</v>
      </c>
      <c r="AH14" s="52">
        <f t="shared" si="2"/>
        <v>25</v>
      </c>
      <c r="AI14" s="53">
        <f t="shared" si="3"/>
        <v>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26.3</v>
      </c>
      <c r="C15" s="56">
        <v>26.3</v>
      </c>
      <c r="D15" s="56">
        <v>26.3</v>
      </c>
      <c r="E15" s="56">
        <v>26.4</v>
      </c>
      <c r="F15" s="56">
        <v>26.3</v>
      </c>
      <c r="G15" s="56">
        <v>26.4</v>
      </c>
      <c r="H15" s="56">
        <v>26.4</v>
      </c>
      <c r="I15" s="56">
        <v>26.3</v>
      </c>
      <c r="J15" s="56">
        <v>26.3</v>
      </c>
      <c r="K15" s="56">
        <v>26.2</v>
      </c>
      <c r="L15" s="49">
        <v>26.3</v>
      </c>
      <c r="M15" s="49">
        <v>25.1</v>
      </c>
      <c r="N15" s="49">
        <v>25.1</v>
      </c>
      <c r="O15" s="49">
        <v>25.2</v>
      </c>
      <c r="P15" s="49">
        <v>0</v>
      </c>
      <c r="Q15" s="49">
        <v>25</v>
      </c>
      <c r="R15" s="49">
        <v>25.1</v>
      </c>
      <c r="S15" s="49">
        <v>0</v>
      </c>
      <c r="T15" s="49">
        <v>0</v>
      </c>
      <c r="U15" s="49">
        <v>13.3</v>
      </c>
      <c r="V15" s="49">
        <v>13.3</v>
      </c>
      <c r="W15" s="49">
        <v>26.1</v>
      </c>
      <c r="X15" s="49">
        <v>26.2</v>
      </c>
      <c r="Y15" s="49">
        <v>26.2</v>
      </c>
      <c r="Z15" s="49">
        <v>26.2</v>
      </c>
      <c r="AA15" s="56">
        <v>26.1</v>
      </c>
      <c r="AB15" s="56">
        <v>26</v>
      </c>
      <c r="AC15" s="56">
        <v>26.2</v>
      </c>
      <c r="AD15" s="56">
        <v>26.1</v>
      </c>
      <c r="AE15" s="56">
        <v>26.1</v>
      </c>
      <c r="AF15" s="56">
        <v>26.3</v>
      </c>
      <c r="AG15" s="59">
        <v>25</v>
      </c>
      <c r="AH15" s="52">
        <f t="shared" si="2"/>
        <v>26.4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56">
        <v>6.2</v>
      </c>
      <c r="N16" s="56">
        <v>6.2</v>
      </c>
      <c r="O16" s="56">
        <v>6.2</v>
      </c>
      <c r="P16" s="56">
        <v>6.2</v>
      </c>
      <c r="Q16" s="56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22.1</v>
      </c>
      <c r="C17" s="56">
        <v>22.1</v>
      </c>
      <c r="D17" s="56">
        <v>22.1</v>
      </c>
      <c r="E17" s="56">
        <v>22.1</v>
      </c>
      <c r="F17" s="56">
        <v>22.1</v>
      </c>
      <c r="G17" s="56">
        <v>22.1</v>
      </c>
      <c r="H17" s="56">
        <v>22.1</v>
      </c>
      <c r="I17" s="56">
        <v>22.1</v>
      </c>
      <c r="J17" s="56">
        <v>22.1</v>
      </c>
      <c r="K17" s="56">
        <v>22.1</v>
      </c>
      <c r="L17" s="49">
        <v>22.1</v>
      </c>
      <c r="M17" s="49">
        <v>22.1</v>
      </c>
      <c r="N17" s="49">
        <v>22.1</v>
      </c>
      <c r="O17" s="49">
        <v>22.1</v>
      </c>
      <c r="P17" s="49">
        <v>22.1</v>
      </c>
      <c r="Q17" s="49">
        <v>22.1</v>
      </c>
      <c r="R17" s="49">
        <v>22.1</v>
      </c>
      <c r="S17" s="49">
        <v>22.1</v>
      </c>
      <c r="T17" s="49">
        <v>22.1</v>
      </c>
      <c r="U17" s="49">
        <v>22.1</v>
      </c>
      <c r="V17" s="49">
        <v>24.5</v>
      </c>
      <c r="W17" s="49">
        <v>22.1</v>
      </c>
      <c r="X17" s="49">
        <v>22.1</v>
      </c>
      <c r="Y17" s="49">
        <v>22.1</v>
      </c>
      <c r="Z17" s="49">
        <v>22.1</v>
      </c>
      <c r="AA17" s="49">
        <v>25.1</v>
      </c>
      <c r="AB17" s="49">
        <v>25.2</v>
      </c>
      <c r="AC17" s="49">
        <v>25</v>
      </c>
      <c r="AD17" s="49">
        <v>25.3</v>
      </c>
      <c r="AE17" s="49">
        <v>25.3</v>
      </c>
      <c r="AF17" s="49">
        <v>25.4</v>
      </c>
      <c r="AG17" s="59">
        <v>22.1</v>
      </c>
      <c r="AH17" s="52">
        <f t="shared" si="2"/>
        <v>25.4</v>
      </c>
      <c r="AI17" s="53">
        <f t="shared" si="3"/>
        <v>22.1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16</v>
      </c>
      <c r="C18" s="56">
        <v>16</v>
      </c>
      <c r="D18" s="56">
        <v>16</v>
      </c>
      <c r="E18" s="56">
        <v>16</v>
      </c>
      <c r="F18" s="56">
        <v>21.6</v>
      </c>
      <c r="G18" s="56">
        <v>21.6</v>
      </c>
      <c r="H18" s="56">
        <v>21.6</v>
      </c>
      <c r="I18" s="56">
        <v>21.6</v>
      </c>
      <c r="J18" s="56">
        <v>21.6</v>
      </c>
      <c r="K18" s="56">
        <v>21.6</v>
      </c>
      <c r="L18" s="56">
        <v>21.6</v>
      </c>
      <c r="M18" s="56">
        <v>21.6</v>
      </c>
      <c r="N18" s="56">
        <v>21.6</v>
      </c>
      <c r="O18" s="56">
        <v>21.6</v>
      </c>
      <c r="P18" s="56">
        <v>21.6</v>
      </c>
      <c r="Q18" s="56">
        <v>21.6</v>
      </c>
      <c r="R18" s="49">
        <v>21.6</v>
      </c>
      <c r="S18" s="49">
        <v>21.6</v>
      </c>
      <c r="T18" s="49">
        <v>21.6</v>
      </c>
      <c r="U18" s="49">
        <v>21.6</v>
      </c>
      <c r="V18" s="49">
        <v>21.6</v>
      </c>
      <c r="W18" s="49">
        <v>21.6</v>
      </c>
      <c r="X18" s="49">
        <v>21.6</v>
      </c>
      <c r="Y18" s="49">
        <v>21.6</v>
      </c>
      <c r="Z18" s="49">
        <v>21.6</v>
      </c>
      <c r="AA18" s="49">
        <v>21.6</v>
      </c>
      <c r="AB18" s="49">
        <v>21.6</v>
      </c>
      <c r="AC18" s="49">
        <v>21.6</v>
      </c>
      <c r="AD18" s="49">
        <v>21.6</v>
      </c>
      <c r="AE18" s="49">
        <v>21.6</v>
      </c>
      <c r="AF18" s="49">
        <v>21.6</v>
      </c>
      <c r="AG18" s="59">
        <v>22.1</v>
      </c>
      <c r="AH18" s="52">
        <f t="shared" si="2"/>
        <v>21.6</v>
      </c>
      <c r="AI18" s="53">
        <f t="shared" si="3"/>
        <v>16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15.2</v>
      </c>
      <c r="C19" s="49">
        <v>18.7</v>
      </c>
      <c r="D19" s="56">
        <v>17.3</v>
      </c>
      <c r="E19" s="56">
        <v>20.3</v>
      </c>
      <c r="F19" s="56">
        <v>18.600000000000001</v>
      </c>
      <c r="G19" s="56">
        <v>21.5</v>
      </c>
      <c r="H19" s="56">
        <v>23</v>
      </c>
      <c r="I19" s="56">
        <v>23</v>
      </c>
      <c r="J19" s="56">
        <v>23</v>
      </c>
      <c r="K19" s="56">
        <v>23</v>
      </c>
      <c r="L19" s="49">
        <v>20.5</v>
      </c>
      <c r="M19" s="49">
        <v>22</v>
      </c>
      <c r="N19" s="49">
        <v>22</v>
      </c>
      <c r="O19" s="49">
        <v>22</v>
      </c>
      <c r="P19" s="49">
        <v>22</v>
      </c>
      <c r="Q19" s="49">
        <v>22</v>
      </c>
      <c r="R19" s="49">
        <v>22</v>
      </c>
      <c r="S19" s="49">
        <v>22</v>
      </c>
      <c r="T19" s="49">
        <v>22</v>
      </c>
      <c r="U19" s="49">
        <v>22</v>
      </c>
      <c r="V19" s="49">
        <v>24.3</v>
      </c>
      <c r="W19" s="49">
        <v>22</v>
      </c>
      <c r="X19" s="49">
        <v>22</v>
      </c>
      <c r="Y19" s="49">
        <v>22</v>
      </c>
      <c r="Z19" s="49">
        <v>22</v>
      </c>
      <c r="AA19" s="49">
        <v>24.7</v>
      </c>
      <c r="AB19" s="49">
        <v>24.7</v>
      </c>
      <c r="AC19" s="49">
        <v>24.7</v>
      </c>
      <c r="AD19" s="49">
        <v>24.6</v>
      </c>
      <c r="AE19" s="49">
        <v>24.6</v>
      </c>
      <c r="AF19" s="49">
        <v>24.5</v>
      </c>
      <c r="AG19" s="59">
        <v>22</v>
      </c>
      <c r="AH19" s="52">
        <f t="shared" si="2"/>
        <v>24.7</v>
      </c>
      <c r="AI19" s="53">
        <f t="shared" si="3"/>
        <v>15.2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6.5</v>
      </c>
      <c r="C20" s="49">
        <v>7</v>
      </c>
      <c r="D20" s="49">
        <v>7</v>
      </c>
      <c r="E20" s="49">
        <v>7</v>
      </c>
      <c r="F20" s="49">
        <v>7</v>
      </c>
      <c r="G20" s="49">
        <v>7</v>
      </c>
      <c r="H20" s="49">
        <v>7</v>
      </c>
      <c r="I20" s="49">
        <v>7</v>
      </c>
      <c r="J20" s="49">
        <v>7</v>
      </c>
      <c r="K20" s="49">
        <v>7</v>
      </c>
      <c r="L20" s="49">
        <v>20</v>
      </c>
      <c r="M20" s="49">
        <v>20</v>
      </c>
      <c r="N20" s="49">
        <v>20</v>
      </c>
      <c r="O20" s="49">
        <v>20</v>
      </c>
      <c r="P20" s="49">
        <v>20</v>
      </c>
      <c r="Q20" s="49">
        <v>20</v>
      </c>
      <c r="R20" s="49">
        <v>20</v>
      </c>
      <c r="S20" s="49">
        <v>20</v>
      </c>
      <c r="T20" s="49">
        <v>20</v>
      </c>
      <c r="U20" s="49">
        <v>20</v>
      </c>
      <c r="V20" s="49">
        <v>20</v>
      </c>
      <c r="W20" s="49">
        <v>20</v>
      </c>
      <c r="X20" s="49">
        <v>20</v>
      </c>
      <c r="Y20" s="49">
        <v>20</v>
      </c>
      <c r="Z20" s="49">
        <v>20</v>
      </c>
      <c r="AA20" s="49">
        <v>20</v>
      </c>
      <c r="AB20" s="49">
        <v>20</v>
      </c>
      <c r="AC20" s="49">
        <v>20</v>
      </c>
      <c r="AD20" s="49">
        <v>20</v>
      </c>
      <c r="AE20" s="49">
        <v>20</v>
      </c>
      <c r="AF20" s="49">
        <v>20</v>
      </c>
      <c r="AG20" s="59">
        <v>22</v>
      </c>
      <c r="AH20" s="52">
        <f t="shared" si="2"/>
        <v>20</v>
      </c>
      <c r="AI20" s="53">
        <f t="shared" si="3"/>
        <v>6.5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0</v>
      </c>
      <c r="C21" s="49">
        <v>3.5</v>
      </c>
      <c r="D21" s="49">
        <v>3.5</v>
      </c>
      <c r="E21" s="49">
        <v>3.5</v>
      </c>
      <c r="F21" s="49">
        <v>3.5</v>
      </c>
      <c r="G21" s="49">
        <v>3.5</v>
      </c>
      <c r="H21" s="49">
        <v>3.5</v>
      </c>
      <c r="I21" s="49">
        <v>3.5</v>
      </c>
      <c r="J21" s="49">
        <v>3.5</v>
      </c>
      <c r="K21" s="49">
        <v>3.5</v>
      </c>
      <c r="L21" s="49">
        <v>7.8</v>
      </c>
      <c r="M21" s="49">
        <v>7.8</v>
      </c>
      <c r="N21" s="49">
        <v>7.8</v>
      </c>
      <c r="O21" s="49">
        <v>7.8</v>
      </c>
      <c r="P21" s="49">
        <v>7.8</v>
      </c>
      <c r="Q21" s="49">
        <v>7.8</v>
      </c>
      <c r="R21" s="49">
        <v>7.8</v>
      </c>
      <c r="S21" s="49">
        <v>7.8</v>
      </c>
      <c r="T21" s="49">
        <v>7.8</v>
      </c>
      <c r="U21" s="49">
        <v>7.8</v>
      </c>
      <c r="V21" s="49">
        <v>7.8</v>
      </c>
      <c r="W21" s="49">
        <v>7.8</v>
      </c>
      <c r="X21" s="49">
        <v>7.8</v>
      </c>
      <c r="Y21" s="49">
        <v>7.8</v>
      </c>
      <c r="Z21" s="49">
        <v>7.8</v>
      </c>
      <c r="AA21" s="49">
        <v>7.8</v>
      </c>
      <c r="AB21" s="49">
        <v>7.8</v>
      </c>
      <c r="AC21" s="49">
        <v>7.8</v>
      </c>
      <c r="AD21" s="49">
        <v>7.8</v>
      </c>
      <c r="AE21" s="49">
        <v>7.8</v>
      </c>
      <c r="AF21" s="49">
        <v>7.8</v>
      </c>
      <c r="AG21" s="59">
        <v>14.9</v>
      </c>
      <c r="AH21" s="52">
        <f t="shared" si="2"/>
        <v>7.8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10</v>
      </c>
      <c r="F23" s="56">
        <v>10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56">
        <v>10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4</v>
      </c>
      <c r="AA23" s="56">
        <v>10</v>
      </c>
      <c r="AB23" s="56">
        <v>10</v>
      </c>
      <c r="AC23" s="56">
        <v>10</v>
      </c>
      <c r="AD23" s="56">
        <v>10</v>
      </c>
      <c r="AE23" s="56">
        <v>10</v>
      </c>
      <c r="AF23" s="56">
        <v>10</v>
      </c>
      <c r="AG23" s="59">
        <v>13</v>
      </c>
      <c r="AH23" s="52">
        <f t="shared" si="2"/>
        <v>10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49">
        <v>6.5</v>
      </c>
      <c r="C24" s="49">
        <v>4</v>
      </c>
      <c r="D24" s="56">
        <v>12</v>
      </c>
      <c r="E24" s="56">
        <v>12</v>
      </c>
      <c r="F24" s="56">
        <v>12</v>
      </c>
      <c r="G24" s="56">
        <v>12</v>
      </c>
      <c r="H24" s="56">
        <v>12</v>
      </c>
      <c r="I24" s="56">
        <v>12</v>
      </c>
      <c r="J24" s="56">
        <v>12</v>
      </c>
      <c r="K24" s="56">
        <v>12</v>
      </c>
      <c r="L24" s="56">
        <v>12</v>
      </c>
      <c r="M24" s="56">
        <v>12</v>
      </c>
      <c r="N24" s="56">
        <v>12</v>
      </c>
      <c r="O24" s="56">
        <v>12</v>
      </c>
      <c r="P24" s="56">
        <v>12</v>
      </c>
      <c r="Q24" s="56">
        <v>12</v>
      </c>
      <c r="R24" s="56">
        <v>12</v>
      </c>
      <c r="S24" s="56">
        <v>12</v>
      </c>
      <c r="T24" s="56">
        <v>12</v>
      </c>
      <c r="U24" s="56">
        <v>12</v>
      </c>
      <c r="V24" s="56">
        <v>12</v>
      </c>
      <c r="W24" s="56">
        <v>12</v>
      </c>
      <c r="X24" s="56">
        <v>12</v>
      </c>
      <c r="Y24" s="56">
        <v>12</v>
      </c>
      <c r="Z24" s="56">
        <v>12</v>
      </c>
      <c r="AA24" s="56">
        <v>12</v>
      </c>
      <c r="AB24" s="56">
        <v>12</v>
      </c>
      <c r="AC24" s="56">
        <v>12</v>
      </c>
      <c r="AD24" s="56">
        <v>12</v>
      </c>
      <c r="AE24" s="56">
        <v>12</v>
      </c>
      <c r="AF24" s="56">
        <v>12</v>
      </c>
      <c r="AG24" s="59">
        <v>12</v>
      </c>
      <c r="AH24" s="52">
        <f t="shared" si="2"/>
        <v>12</v>
      </c>
      <c r="AI24" s="53">
        <f t="shared" si="3"/>
        <v>4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9">
        <v>12</v>
      </c>
      <c r="AH26" s="52">
        <f>MAX(B26:AF26)</f>
        <v>4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140</v>
      </c>
      <c r="C28" s="56">
        <v>140</v>
      </c>
      <c r="D28" s="56">
        <v>140</v>
      </c>
      <c r="E28" s="56">
        <v>150</v>
      </c>
      <c r="F28" s="56">
        <v>160</v>
      </c>
      <c r="G28" s="56">
        <v>160</v>
      </c>
      <c r="H28" s="56">
        <v>163</v>
      </c>
      <c r="I28" s="56">
        <v>167</v>
      </c>
      <c r="J28" s="56">
        <v>167</v>
      </c>
      <c r="K28" s="56">
        <v>167</v>
      </c>
      <c r="L28" s="56">
        <v>167</v>
      </c>
      <c r="M28" s="56">
        <v>167</v>
      </c>
      <c r="N28" s="56">
        <v>167</v>
      </c>
      <c r="O28" s="56">
        <v>167</v>
      </c>
      <c r="P28" s="56">
        <v>167</v>
      </c>
      <c r="Q28" s="56">
        <v>167</v>
      </c>
      <c r="R28" s="56">
        <v>167</v>
      </c>
      <c r="S28" s="56">
        <v>167</v>
      </c>
      <c r="T28" s="56">
        <v>167</v>
      </c>
      <c r="U28" s="56">
        <v>167</v>
      </c>
      <c r="V28" s="56">
        <v>167</v>
      </c>
      <c r="W28" s="56">
        <v>167</v>
      </c>
      <c r="X28" s="56">
        <v>167</v>
      </c>
      <c r="Y28" s="56">
        <v>167</v>
      </c>
      <c r="Z28" s="56">
        <v>167</v>
      </c>
      <c r="AA28" s="56">
        <v>167</v>
      </c>
      <c r="AB28" s="56">
        <v>167</v>
      </c>
      <c r="AC28" s="56">
        <v>167</v>
      </c>
      <c r="AD28" s="56">
        <v>167</v>
      </c>
      <c r="AE28" s="56">
        <v>167</v>
      </c>
      <c r="AF28" s="56">
        <v>167</v>
      </c>
      <c r="AG28" s="59">
        <v>85</v>
      </c>
      <c r="AH28" s="52">
        <f t="shared" si="2"/>
        <v>167</v>
      </c>
      <c r="AI28" s="53">
        <f t="shared" si="3"/>
        <v>140</v>
      </c>
      <c r="AK28" s="54"/>
    </row>
    <row r="29" spans="1:88" ht="15.75" thickBot="1" x14ac:dyDescent="0.3">
      <c r="A29" s="66" t="s">
        <v>36</v>
      </c>
      <c r="B29" s="56">
        <v>78.599999999999994</v>
      </c>
      <c r="C29" s="56">
        <v>97.4</v>
      </c>
      <c r="D29" s="56">
        <v>105</v>
      </c>
      <c r="E29" s="56">
        <v>116</v>
      </c>
      <c r="F29" s="56">
        <v>127.5</v>
      </c>
      <c r="G29" s="56">
        <v>127.9</v>
      </c>
      <c r="H29" s="56">
        <v>130.30000000000001</v>
      </c>
      <c r="I29" s="56">
        <v>135.6</v>
      </c>
      <c r="J29" s="56">
        <v>137</v>
      </c>
      <c r="K29" s="56">
        <v>139</v>
      </c>
      <c r="L29" s="67">
        <v>135</v>
      </c>
      <c r="M29" s="67">
        <v>136</v>
      </c>
      <c r="N29" s="67">
        <v>138.6</v>
      </c>
      <c r="O29" s="67">
        <v>139.69999999999999</v>
      </c>
      <c r="P29" s="67">
        <v>136</v>
      </c>
      <c r="Q29" s="67">
        <v>134</v>
      </c>
      <c r="R29" s="67">
        <v>135.69999999999999</v>
      </c>
      <c r="S29" s="67">
        <v>133.4</v>
      </c>
      <c r="T29" s="67">
        <v>132.5</v>
      </c>
      <c r="U29" s="67">
        <v>128.19999999999999</v>
      </c>
      <c r="V29" s="67">
        <v>126.6</v>
      </c>
      <c r="W29" s="67">
        <v>117</v>
      </c>
      <c r="X29" s="67">
        <v>92.1</v>
      </c>
      <c r="Y29" s="67">
        <v>87.3</v>
      </c>
      <c r="Z29" s="67">
        <v>97.6</v>
      </c>
      <c r="AA29" s="67">
        <v>117.2</v>
      </c>
      <c r="AB29" s="67">
        <v>116.6</v>
      </c>
      <c r="AC29" s="67">
        <v>112</v>
      </c>
      <c r="AD29" s="67">
        <v>114.8</v>
      </c>
      <c r="AE29" s="56">
        <v>117.5</v>
      </c>
      <c r="AF29" s="56">
        <v>118.8</v>
      </c>
      <c r="AG29" s="59">
        <v>240</v>
      </c>
      <c r="AH29" s="52">
        <f t="shared" si="2"/>
        <v>139.69999999999999</v>
      </c>
      <c r="AI29" s="53">
        <f t="shared" si="3"/>
        <v>78.599999999999994</v>
      </c>
      <c r="AK29" s="54"/>
    </row>
    <row r="30" spans="1:88" ht="15.75" thickBot="1" x14ac:dyDescent="0.3">
      <c r="A30" s="68" t="s">
        <v>37</v>
      </c>
      <c r="B30" s="69">
        <f t="shared" ref="B30:AF30" si="4">SUM(B11:B28)</f>
        <v>415.89999999999992</v>
      </c>
      <c r="C30" s="69">
        <f t="shared" si="4"/>
        <v>421.09999999999997</v>
      </c>
      <c r="D30" s="69">
        <f t="shared" si="4"/>
        <v>427.7</v>
      </c>
      <c r="E30" s="69">
        <f t="shared" si="4"/>
        <v>446.9</v>
      </c>
      <c r="F30" s="69">
        <f t="shared" si="4"/>
        <v>462.09999999999997</v>
      </c>
      <c r="G30" s="69">
        <f t="shared" si="4"/>
        <v>465.59999999999997</v>
      </c>
      <c r="H30" s="69">
        <f t="shared" si="4"/>
        <v>472.79999999999995</v>
      </c>
      <c r="I30" s="69">
        <f t="shared" si="4"/>
        <v>475.49999999999994</v>
      </c>
      <c r="J30" s="69">
        <f t="shared" si="4"/>
        <v>478.29999999999995</v>
      </c>
      <c r="K30" s="69">
        <f t="shared" si="4"/>
        <v>476.69999999999993</v>
      </c>
      <c r="L30" s="69">
        <f t="shared" si="4"/>
        <v>491.9</v>
      </c>
      <c r="M30" s="69">
        <f t="shared" si="4"/>
        <v>484.5</v>
      </c>
      <c r="N30" s="69">
        <f t="shared" si="4"/>
        <v>487.4</v>
      </c>
      <c r="O30" s="69">
        <f t="shared" si="4"/>
        <v>484.79999999999995</v>
      </c>
      <c r="P30" s="69">
        <f t="shared" si="4"/>
        <v>458.4</v>
      </c>
      <c r="Q30" s="69">
        <f t="shared" si="4"/>
        <v>483.7</v>
      </c>
      <c r="R30" s="69">
        <f t="shared" si="4"/>
        <v>485</v>
      </c>
      <c r="S30" s="69">
        <f t="shared" si="4"/>
        <v>459</v>
      </c>
      <c r="T30" s="69">
        <f t="shared" si="4"/>
        <v>460.5</v>
      </c>
      <c r="U30" s="69">
        <f t="shared" si="4"/>
        <v>471.9</v>
      </c>
      <c r="V30" s="69">
        <f>SUM(V11:V28)</f>
        <v>477.6</v>
      </c>
      <c r="W30" s="69">
        <f t="shared" si="4"/>
        <v>486</v>
      </c>
      <c r="X30" s="69">
        <f t="shared" si="4"/>
        <v>485</v>
      </c>
      <c r="Y30" s="69">
        <f t="shared" si="4"/>
        <v>461.59999999999997</v>
      </c>
      <c r="Z30" s="69">
        <f t="shared" si="4"/>
        <v>474.29999999999995</v>
      </c>
      <c r="AA30" s="69">
        <f t="shared" si="4"/>
        <v>486.59999999999997</v>
      </c>
      <c r="AB30" s="69">
        <f t="shared" si="4"/>
        <v>485.5</v>
      </c>
      <c r="AC30" s="69">
        <f t="shared" si="4"/>
        <v>485.59999999999997</v>
      </c>
      <c r="AD30" s="69">
        <f t="shared" si="4"/>
        <v>485.7</v>
      </c>
      <c r="AE30" s="69">
        <f t="shared" si="4"/>
        <v>486.7</v>
      </c>
      <c r="AF30" s="69">
        <f t="shared" si="4"/>
        <v>486.5</v>
      </c>
      <c r="AG30" s="59">
        <f>SUM(AG11:AG29)</f>
        <v>729.2</v>
      </c>
      <c r="AH30" s="52">
        <f t="shared" si="2"/>
        <v>491.9</v>
      </c>
      <c r="AI30" s="53">
        <f t="shared" si="3"/>
        <v>415.89999999999992</v>
      </c>
      <c r="AK30" s="54"/>
    </row>
    <row r="31" spans="1:88" x14ac:dyDescent="0.25">
      <c r="A31" s="55" t="s">
        <v>38</v>
      </c>
      <c r="B31" s="48">
        <v>97</v>
      </c>
      <c r="C31" s="56">
        <v>86</v>
      </c>
      <c r="D31" s="56">
        <v>96.8</v>
      </c>
      <c r="E31" s="56">
        <v>90.9</v>
      </c>
      <c r="F31" s="56">
        <v>96.7</v>
      </c>
      <c r="G31" s="56">
        <v>96.8</v>
      </c>
      <c r="H31" s="56">
        <v>96.4</v>
      </c>
      <c r="I31" s="56">
        <v>96.8</v>
      </c>
      <c r="J31" s="56">
        <v>97</v>
      </c>
      <c r="K31" s="56">
        <v>97</v>
      </c>
      <c r="L31" s="49">
        <v>96.9</v>
      </c>
      <c r="M31" s="49">
        <v>97.1</v>
      </c>
      <c r="N31" s="49">
        <v>97</v>
      </c>
      <c r="O31" s="49">
        <v>96.9</v>
      </c>
      <c r="P31" s="49">
        <v>97.4</v>
      </c>
      <c r="Q31" s="49">
        <v>96.9</v>
      </c>
      <c r="R31" s="49">
        <v>80.599999999999994</v>
      </c>
      <c r="S31" s="49">
        <v>95.6</v>
      </c>
      <c r="T31" s="49">
        <v>96.8</v>
      </c>
      <c r="U31" s="49">
        <v>96.8</v>
      </c>
      <c r="V31" s="49">
        <v>96.8</v>
      </c>
      <c r="W31" s="49">
        <v>96.7</v>
      </c>
      <c r="X31" s="49">
        <v>96.7</v>
      </c>
      <c r="Y31" s="49">
        <v>97</v>
      </c>
      <c r="Z31" s="49">
        <v>97</v>
      </c>
      <c r="AA31" s="48">
        <v>97</v>
      </c>
      <c r="AB31" s="48">
        <v>96.8</v>
      </c>
      <c r="AC31" s="48">
        <v>97.2</v>
      </c>
      <c r="AD31" s="48">
        <v>80.900000000000006</v>
      </c>
      <c r="AE31" s="48">
        <v>30.4</v>
      </c>
      <c r="AF31" s="48">
        <v>30.3</v>
      </c>
      <c r="AG31" s="57">
        <v>144</v>
      </c>
      <c r="AH31" s="52">
        <f t="shared" si="2"/>
        <v>97.4</v>
      </c>
      <c r="AI31" s="53">
        <f t="shared" si="3"/>
        <v>30.3</v>
      </c>
      <c r="AK31" s="54"/>
    </row>
    <row r="32" spans="1:88" x14ac:dyDescent="0.25">
      <c r="A32" s="58" t="s">
        <v>39</v>
      </c>
      <c r="B32" s="56">
        <v>69</v>
      </c>
      <c r="C32" s="56">
        <v>60</v>
      </c>
      <c r="D32" s="56">
        <v>69.3</v>
      </c>
      <c r="E32" s="56">
        <v>60</v>
      </c>
      <c r="F32" s="56">
        <v>60</v>
      </c>
      <c r="G32" s="56">
        <v>69.5</v>
      </c>
      <c r="H32" s="56">
        <v>69</v>
      </c>
      <c r="I32" s="56">
        <v>70.7</v>
      </c>
      <c r="J32" s="56">
        <v>68.599999999999994</v>
      </c>
      <c r="K32" s="56">
        <v>70.5</v>
      </c>
      <c r="L32" s="70">
        <v>70.7</v>
      </c>
      <c r="M32" s="70">
        <v>70.400000000000006</v>
      </c>
      <c r="N32" s="70">
        <v>71.7</v>
      </c>
      <c r="O32" s="70">
        <v>71.599999999999994</v>
      </c>
      <c r="P32" s="70">
        <v>60.4</v>
      </c>
      <c r="Q32" s="70">
        <v>60</v>
      </c>
      <c r="R32" s="70">
        <v>52.3</v>
      </c>
      <c r="S32" s="70">
        <v>48.8</v>
      </c>
      <c r="T32" s="70">
        <v>51.3</v>
      </c>
      <c r="U32" s="70">
        <v>71.8</v>
      </c>
      <c r="V32" s="70">
        <v>71.7</v>
      </c>
      <c r="W32" s="70">
        <v>47.6</v>
      </c>
      <c r="X32" s="70">
        <v>72</v>
      </c>
      <c r="Y32" s="70">
        <v>71.8</v>
      </c>
      <c r="Z32" s="70">
        <v>71.3</v>
      </c>
      <c r="AA32" s="56">
        <v>69.5</v>
      </c>
      <c r="AB32" s="56">
        <v>69.7</v>
      </c>
      <c r="AC32" s="56">
        <v>69.5</v>
      </c>
      <c r="AD32" s="56">
        <v>46.1</v>
      </c>
      <c r="AE32" s="56">
        <v>35.1</v>
      </c>
      <c r="AF32" s="56">
        <v>34.799999999999997</v>
      </c>
      <c r="AG32" s="59">
        <v>70</v>
      </c>
      <c r="AH32" s="52">
        <f t="shared" si="2"/>
        <v>72</v>
      </c>
      <c r="AI32" s="53">
        <f t="shared" si="3"/>
        <v>34.799999999999997</v>
      </c>
      <c r="AK32" s="54"/>
    </row>
    <row r="33" spans="1:41" x14ac:dyDescent="0.25">
      <c r="A33" s="58" t="s">
        <v>40</v>
      </c>
      <c r="B33" s="56">
        <v>66</v>
      </c>
      <c r="C33" s="56">
        <v>32.5</v>
      </c>
      <c r="D33" s="56">
        <v>56.1</v>
      </c>
      <c r="E33" s="56">
        <v>56.1</v>
      </c>
      <c r="F33" s="56">
        <v>33.200000000000003</v>
      </c>
      <c r="G33" s="56">
        <v>33.6</v>
      </c>
      <c r="H33" s="56">
        <v>33</v>
      </c>
      <c r="I33" s="56">
        <v>37.6</v>
      </c>
      <c r="J33" s="56">
        <v>36</v>
      </c>
      <c r="K33" s="56">
        <v>46.3</v>
      </c>
      <c r="L33" s="70">
        <v>62.2</v>
      </c>
      <c r="M33" s="70">
        <v>67.900000000000006</v>
      </c>
      <c r="N33" s="70">
        <v>68.3</v>
      </c>
      <c r="O33" s="70">
        <v>69.2</v>
      </c>
      <c r="P33" s="70">
        <v>68.5</v>
      </c>
      <c r="Q33" s="70">
        <v>65.3</v>
      </c>
      <c r="R33" s="70">
        <v>52.3</v>
      </c>
      <c r="S33" s="70">
        <v>51.6</v>
      </c>
      <c r="T33" s="70">
        <v>52.6</v>
      </c>
      <c r="U33" s="70">
        <v>68.8</v>
      </c>
      <c r="V33" s="70">
        <v>68.599999999999994</v>
      </c>
      <c r="W33" s="70">
        <v>52</v>
      </c>
      <c r="X33" s="70">
        <v>69</v>
      </c>
      <c r="Y33" s="70">
        <v>68.5</v>
      </c>
      <c r="Z33" s="70">
        <v>66.7</v>
      </c>
      <c r="AA33" s="56">
        <v>52.4</v>
      </c>
      <c r="AB33" s="56">
        <v>66.7</v>
      </c>
      <c r="AC33" s="56">
        <v>67.099999999999994</v>
      </c>
      <c r="AD33" s="56">
        <v>51</v>
      </c>
      <c r="AE33" s="56">
        <v>36.6</v>
      </c>
      <c r="AF33" s="56">
        <v>36.5</v>
      </c>
      <c r="AG33" s="59">
        <v>69</v>
      </c>
      <c r="AH33" s="52">
        <f t="shared" si="2"/>
        <v>69.2</v>
      </c>
      <c r="AI33" s="53">
        <f t="shared" si="3"/>
        <v>32.5</v>
      </c>
      <c r="AK33" s="54"/>
    </row>
    <row r="34" spans="1:41" x14ac:dyDescent="0.25">
      <c r="A34" s="58" t="s">
        <v>41</v>
      </c>
      <c r="B34" s="56">
        <v>29</v>
      </c>
      <c r="C34" s="56">
        <v>29.2</v>
      </c>
      <c r="D34" s="56">
        <v>29</v>
      </c>
      <c r="E34" s="56">
        <v>29</v>
      </c>
      <c r="F34" s="56">
        <v>28.7</v>
      </c>
      <c r="G34" s="56">
        <v>29</v>
      </c>
      <c r="H34" s="56">
        <v>29</v>
      </c>
      <c r="I34" s="56">
        <v>29</v>
      </c>
      <c r="J34" s="56">
        <v>29</v>
      </c>
      <c r="K34" s="56">
        <v>29</v>
      </c>
      <c r="L34" s="70">
        <v>29.2</v>
      </c>
      <c r="M34" s="70">
        <v>29</v>
      </c>
      <c r="N34" s="70">
        <v>29.21</v>
      </c>
      <c r="O34" s="70">
        <v>29</v>
      </c>
      <c r="P34" s="70">
        <v>29.2</v>
      </c>
      <c r="Q34" s="70">
        <v>29</v>
      </c>
      <c r="R34" s="70">
        <v>29</v>
      </c>
      <c r="S34" s="70">
        <v>29</v>
      </c>
      <c r="T34" s="70">
        <v>29</v>
      </c>
      <c r="U34" s="70">
        <v>29</v>
      </c>
      <c r="V34" s="70">
        <v>29</v>
      </c>
      <c r="W34" s="70">
        <v>29</v>
      </c>
      <c r="X34" s="70">
        <v>29.2</v>
      </c>
      <c r="Y34" s="70">
        <v>29</v>
      </c>
      <c r="Z34" s="70">
        <v>29</v>
      </c>
      <c r="AA34" s="56">
        <v>29</v>
      </c>
      <c r="AB34" s="56">
        <v>29</v>
      </c>
      <c r="AC34" s="56">
        <v>29</v>
      </c>
      <c r="AD34" s="56">
        <v>29</v>
      </c>
      <c r="AE34" s="56">
        <v>28.7</v>
      </c>
      <c r="AF34" s="56">
        <v>28.7</v>
      </c>
      <c r="AG34" s="59">
        <v>60</v>
      </c>
      <c r="AH34" s="52">
        <f t="shared" si="2"/>
        <v>29.21</v>
      </c>
      <c r="AI34" s="53">
        <f t="shared" si="3"/>
        <v>28.7</v>
      </c>
      <c r="AK34" s="54"/>
    </row>
    <row r="35" spans="1:41" x14ac:dyDescent="0.25">
      <c r="A35" s="58" t="s">
        <v>42</v>
      </c>
      <c r="B35" s="56">
        <v>28</v>
      </c>
      <c r="C35" s="56">
        <v>30</v>
      </c>
      <c r="D35" s="56">
        <v>20</v>
      </c>
      <c r="E35" s="56">
        <v>20</v>
      </c>
      <c r="F35" s="56">
        <v>20</v>
      </c>
      <c r="G35" s="56">
        <v>20</v>
      </c>
      <c r="H35" s="56">
        <v>20</v>
      </c>
      <c r="I35" s="56">
        <v>20.5</v>
      </c>
      <c r="J35" s="56">
        <v>20</v>
      </c>
      <c r="K35" s="56">
        <v>20.6</v>
      </c>
      <c r="L35" s="49">
        <v>19.8</v>
      </c>
      <c r="M35" s="49">
        <v>20</v>
      </c>
      <c r="N35" s="49">
        <v>21.1</v>
      </c>
      <c r="O35" s="49">
        <v>20.399999999999999</v>
      </c>
      <c r="P35" s="49">
        <v>21.1</v>
      </c>
      <c r="Q35" s="49">
        <v>20.6</v>
      </c>
      <c r="R35" s="49">
        <v>20.2</v>
      </c>
      <c r="S35" s="49">
        <v>20.9</v>
      </c>
      <c r="T35" s="49">
        <v>20.399999999999999</v>
      </c>
      <c r="U35" s="49">
        <v>20.5</v>
      </c>
      <c r="V35" s="70">
        <v>20.3</v>
      </c>
      <c r="W35" s="70">
        <v>20.3</v>
      </c>
      <c r="X35" s="70">
        <v>20.9</v>
      </c>
      <c r="Y35" s="70">
        <v>20.9</v>
      </c>
      <c r="Z35" s="70">
        <v>28.1</v>
      </c>
      <c r="AA35" s="56">
        <v>29.5</v>
      </c>
      <c r="AB35" s="56">
        <v>29.5</v>
      </c>
      <c r="AC35" s="56">
        <v>29.5</v>
      </c>
      <c r="AD35" s="56">
        <v>30</v>
      </c>
      <c r="AE35" s="56">
        <v>30</v>
      </c>
      <c r="AF35" s="56">
        <v>30</v>
      </c>
      <c r="AG35" s="59">
        <v>30</v>
      </c>
      <c r="AH35" s="52">
        <f t="shared" si="2"/>
        <v>30</v>
      </c>
      <c r="AI35" s="53">
        <f t="shared" si="3"/>
        <v>19.8</v>
      </c>
      <c r="AK35" s="54"/>
    </row>
    <row r="36" spans="1:41" x14ac:dyDescent="0.25">
      <c r="A36" s="58" t="s">
        <v>43</v>
      </c>
      <c r="B36" s="56">
        <v>14.4</v>
      </c>
      <c r="C36" s="56">
        <v>14.4</v>
      </c>
      <c r="D36" s="71">
        <v>12.7</v>
      </c>
      <c r="E36" s="71">
        <v>13.7</v>
      </c>
      <c r="F36" s="71">
        <v>13.7</v>
      </c>
      <c r="G36" s="71">
        <v>13.5</v>
      </c>
      <c r="H36" s="71">
        <v>13.5</v>
      </c>
      <c r="I36" s="71">
        <v>13.5</v>
      </c>
      <c r="J36" s="71">
        <v>13.4</v>
      </c>
      <c r="K36" s="71">
        <v>13.3</v>
      </c>
      <c r="L36" s="49">
        <v>13.2</v>
      </c>
      <c r="M36" s="49">
        <v>12.3</v>
      </c>
      <c r="N36" s="49">
        <v>12.6</v>
      </c>
      <c r="O36" s="49">
        <v>12.1</v>
      </c>
      <c r="P36" s="49">
        <v>15.3</v>
      </c>
      <c r="Q36" s="49">
        <v>15.2</v>
      </c>
      <c r="R36" s="49">
        <v>15.4</v>
      </c>
      <c r="S36" s="49">
        <v>15.3</v>
      </c>
      <c r="T36" s="49">
        <v>15.3</v>
      </c>
      <c r="U36" s="49">
        <v>15.2</v>
      </c>
      <c r="V36" s="49">
        <v>15.2</v>
      </c>
      <c r="W36" s="49">
        <v>15.5</v>
      </c>
      <c r="X36" s="49">
        <v>15.1</v>
      </c>
      <c r="Y36" s="49">
        <v>14.8</v>
      </c>
      <c r="Z36" s="49">
        <v>14.6</v>
      </c>
      <c r="AA36" s="56">
        <v>14.1</v>
      </c>
      <c r="AB36" s="56">
        <v>13.7</v>
      </c>
      <c r="AC36" s="56">
        <v>13.8</v>
      </c>
      <c r="AD36" s="56">
        <v>13.6</v>
      </c>
      <c r="AE36" s="56">
        <v>13.6</v>
      </c>
      <c r="AF36" s="56">
        <v>13.6</v>
      </c>
      <c r="AG36" s="59">
        <v>24</v>
      </c>
      <c r="AH36" s="52">
        <f t="shared" si="2"/>
        <v>15.5</v>
      </c>
      <c r="AI36" s="53">
        <f t="shared" si="3"/>
        <v>12.1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11</v>
      </c>
      <c r="C38" s="56">
        <v>11</v>
      </c>
      <c r="D38" s="56">
        <v>11</v>
      </c>
      <c r="E38" s="56">
        <v>11</v>
      </c>
      <c r="F38" s="56">
        <v>11</v>
      </c>
      <c r="G38" s="56">
        <v>11</v>
      </c>
      <c r="H38" s="56">
        <v>11</v>
      </c>
      <c r="I38" s="56">
        <v>11</v>
      </c>
      <c r="J38" s="56">
        <v>11</v>
      </c>
      <c r="K38" s="56">
        <v>11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49">
        <v>10</v>
      </c>
      <c r="AD38" s="49">
        <v>10</v>
      </c>
      <c r="AE38" s="49">
        <v>10</v>
      </c>
      <c r="AF38" s="49">
        <v>10</v>
      </c>
      <c r="AG38" s="59">
        <v>14.1</v>
      </c>
      <c r="AH38" s="52">
        <f t="shared" si="2"/>
        <v>11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3.9</v>
      </c>
      <c r="C39" s="56">
        <v>8</v>
      </c>
      <c r="D39" s="56">
        <v>8</v>
      </c>
      <c r="E39" s="56">
        <v>8</v>
      </c>
      <c r="F39" s="56">
        <v>8</v>
      </c>
      <c r="G39" s="56">
        <v>8</v>
      </c>
      <c r="H39" s="56">
        <v>8</v>
      </c>
      <c r="I39" s="56">
        <v>8</v>
      </c>
      <c r="J39" s="56">
        <v>8</v>
      </c>
      <c r="K39" s="56">
        <v>8</v>
      </c>
      <c r="L39" s="49">
        <v>8</v>
      </c>
      <c r="M39" s="49">
        <v>8</v>
      </c>
      <c r="N39" s="49">
        <v>8</v>
      </c>
      <c r="O39" s="49">
        <v>8</v>
      </c>
      <c r="P39" s="49">
        <v>0</v>
      </c>
      <c r="Q39" s="49">
        <v>8</v>
      </c>
      <c r="R39" s="49">
        <v>8</v>
      </c>
      <c r="S39" s="49">
        <v>8</v>
      </c>
      <c r="T39" s="49">
        <v>8</v>
      </c>
      <c r="U39" s="49">
        <v>8</v>
      </c>
      <c r="V39" s="49">
        <v>8</v>
      </c>
      <c r="W39" s="49">
        <v>8</v>
      </c>
      <c r="X39" s="49">
        <v>8</v>
      </c>
      <c r="Y39" s="49">
        <v>3.9</v>
      </c>
      <c r="Z39" s="49">
        <v>3.9</v>
      </c>
      <c r="AA39" s="49">
        <v>3.9</v>
      </c>
      <c r="AB39" s="49">
        <v>3.9</v>
      </c>
      <c r="AC39" s="49">
        <v>3.9</v>
      </c>
      <c r="AD39" s="49">
        <v>3.9</v>
      </c>
      <c r="AE39" s="49">
        <v>3.9</v>
      </c>
      <c r="AF39" s="49">
        <v>3.9</v>
      </c>
      <c r="AG39" s="59">
        <v>14</v>
      </c>
      <c r="AH39" s="52">
        <f t="shared" si="2"/>
        <v>8</v>
      </c>
      <c r="AI39" s="53">
        <f t="shared" si="3"/>
        <v>0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7</v>
      </c>
      <c r="C40" s="56">
        <v>4.5999999999999996</v>
      </c>
      <c r="D40" s="56">
        <v>7</v>
      </c>
      <c r="E40" s="56">
        <v>7</v>
      </c>
      <c r="F40" s="56">
        <v>7</v>
      </c>
      <c r="G40" s="56">
        <v>7</v>
      </c>
      <c r="H40" s="56">
        <v>7</v>
      </c>
      <c r="I40" s="56">
        <v>7</v>
      </c>
      <c r="J40" s="56">
        <v>7</v>
      </c>
      <c r="K40" s="56">
        <v>7</v>
      </c>
      <c r="L40" s="49">
        <v>7</v>
      </c>
      <c r="M40" s="49">
        <v>7</v>
      </c>
      <c r="N40" s="49">
        <v>8.8000000000000007</v>
      </c>
      <c r="O40" s="49">
        <v>8.4</v>
      </c>
      <c r="P40" s="49">
        <v>8.8000000000000007</v>
      </c>
      <c r="Q40" s="49">
        <v>8.6</v>
      </c>
      <c r="R40" s="49">
        <v>8.6</v>
      </c>
      <c r="S40" s="49">
        <v>9</v>
      </c>
      <c r="T40" s="49">
        <v>8.9</v>
      </c>
      <c r="U40" s="49">
        <v>8.6</v>
      </c>
      <c r="V40" s="49">
        <v>8.6</v>
      </c>
      <c r="W40" s="49">
        <v>8.1</v>
      </c>
      <c r="X40" s="49">
        <v>8.9</v>
      </c>
      <c r="Y40" s="49">
        <v>8.9</v>
      </c>
      <c r="Z40" s="49">
        <v>8.8000000000000007</v>
      </c>
      <c r="AA40" s="49">
        <v>8.8000000000000007</v>
      </c>
      <c r="AB40" s="49">
        <v>8.8000000000000007</v>
      </c>
      <c r="AC40" s="49">
        <v>8.8000000000000007</v>
      </c>
      <c r="AD40" s="49">
        <v>8.8000000000000007</v>
      </c>
      <c r="AE40" s="49">
        <v>8.6999999999999993</v>
      </c>
      <c r="AF40" s="49">
        <v>8.8000000000000007</v>
      </c>
      <c r="AG40" s="59">
        <v>10.050000000000001</v>
      </c>
      <c r="AH40" s="52">
        <f t="shared" si="2"/>
        <v>9</v>
      </c>
      <c r="AI40" s="53">
        <f t="shared" si="3"/>
        <v>4.5999999999999996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2.5</v>
      </c>
      <c r="S41" s="49">
        <v>2.5</v>
      </c>
      <c r="T41" s="49">
        <v>2.5</v>
      </c>
      <c r="U41" s="49">
        <v>2.5</v>
      </c>
      <c r="V41" s="49">
        <v>2.5</v>
      </c>
      <c r="W41" s="49">
        <v>2.5</v>
      </c>
      <c r="X41" s="49">
        <v>2.5</v>
      </c>
      <c r="Y41" s="49">
        <v>2.5</v>
      </c>
      <c r="Z41" s="49">
        <v>2.5</v>
      </c>
      <c r="AA41" s="49">
        <v>2.5</v>
      </c>
      <c r="AB41" s="49">
        <v>2.5</v>
      </c>
      <c r="AC41" s="49">
        <v>2.5</v>
      </c>
      <c r="AD41" s="49">
        <v>2.5</v>
      </c>
      <c r="AE41" s="49">
        <v>2.5</v>
      </c>
      <c r="AF41" s="49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 t="shared" ref="B42:AF42" si="5">B179</f>
        <v>3.54</v>
      </c>
      <c r="C42" s="73">
        <f t="shared" si="5"/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331.34</v>
      </c>
      <c r="C43" s="69">
        <f t="shared" si="6"/>
        <v>281.74000000000007</v>
      </c>
      <c r="D43" s="69">
        <f t="shared" si="6"/>
        <v>315.94</v>
      </c>
      <c r="E43" s="69">
        <f t="shared" si="6"/>
        <v>301.74</v>
      </c>
      <c r="F43" s="69">
        <f t="shared" si="6"/>
        <v>284.33999999999997</v>
      </c>
      <c r="G43" s="69">
        <f t="shared" si="6"/>
        <v>294.44</v>
      </c>
      <c r="H43" s="69">
        <f t="shared" si="6"/>
        <v>292.94</v>
      </c>
      <c r="I43" s="69">
        <f t="shared" si="6"/>
        <v>300.14000000000004</v>
      </c>
      <c r="J43" s="69">
        <f t="shared" si="6"/>
        <v>296.04000000000002</v>
      </c>
      <c r="K43" s="69">
        <f t="shared" si="6"/>
        <v>308.74000000000007</v>
      </c>
      <c r="L43" s="69">
        <f t="shared" si="6"/>
        <v>323.04000000000002</v>
      </c>
      <c r="M43" s="69">
        <f t="shared" si="6"/>
        <v>327.74</v>
      </c>
      <c r="N43" s="69">
        <f t="shared" si="6"/>
        <v>332.75000000000006</v>
      </c>
      <c r="O43" s="69">
        <f t="shared" si="6"/>
        <v>331.64</v>
      </c>
      <c r="P43" s="69">
        <f t="shared" si="6"/>
        <v>316.74000000000007</v>
      </c>
      <c r="Q43" s="69">
        <f t="shared" si="6"/>
        <v>319.64000000000004</v>
      </c>
      <c r="R43" s="69">
        <f t="shared" si="6"/>
        <v>282.44</v>
      </c>
      <c r="S43" s="69">
        <f t="shared" si="6"/>
        <v>294.24</v>
      </c>
      <c r="T43" s="69">
        <f t="shared" si="6"/>
        <v>298.33999999999997</v>
      </c>
      <c r="U43" s="69">
        <f t="shared" si="6"/>
        <v>334.74</v>
      </c>
      <c r="V43" s="69">
        <f t="shared" si="6"/>
        <v>334.24000000000007</v>
      </c>
      <c r="W43" s="69">
        <f t="shared" si="6"/>
        <v>293.24000000000007</v>
      </c>
      <c r="X43" s="69">
        <f t="shared" si="6"/>
        <v>335.84</v>
      </c>
      <c r="Y43" s="69">
        <f t="shared" si="6"/>
        <v>330.84</v>
      </c>
      <c r="Z43" s="69">
        <f t="shared" si="6"/>
        <v>335.44000000000005</v>
      </c>
      <c r="AA43" s="69">
        <f t="shared" si="6"/>
        <v>320.24</v>
      </c>
      <c r="AB43" s="69">
        <f t="shared" si="6"/>
        <v>334.14</v>
      </c>
      <c r="AC43" s="69">
        <f t="shared" si="6"/>
        <v>334.84</v>
      </c>
      <c r="AD43" s="69">
        <f t="shared" si="6"/>
        <v>279.34000000000003</v>
      </c>
      <c r="AE43" s="69">
        <f t="shared" si="6"/>
        <v>203.03999999999996</v>
      </c>
      <c r="AF43" s="69">
        <f t="shared" si="6"/>
        <v>202.64</v>
      </c>
      <c r="AG43" s="74">
        <f>SUM(AG31:AG42)</f>
        <v>464.91</v>
      </c>
      <c r="AH43" s="52">
        <f t="shared" si="2"/>
        <v>335.84</v>
      </c>
      <c r="AI43" s="53">
        <f t="shared" si="3"/>
        <v>202.64</v>
      </c>
      <c r="AK43" s="54"/>
    </row>
    <row r="44" spans="1:41" x14ac:dyDescent="0.25">
      <c r="A44" s="55" t="s">
        <v>51</v>
      </c>
      <c r="B44" s="49">
        <v>0</v>
      </c>
      <c r="C44" s="49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29.4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29.4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0</v>
      </c>
      <c r="C45" s="70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70">
        <v>14.5</v>
      </c>
      <c r="AA45" s="49">
        <v>0</v>
      </c>
      <c r="AB45" s="49">
        <v>0</v>
      </c>
      <c r="AC45" s="49">
        <v>0</v>
      </c>
      <c r="AD45" s="49">
        <v>0</v>
      </c>
      <c r="AE45" s="49">
        <v>0</v>
      </c>
      <c r="AF45" s="49">
        <v>0</v>
      </c>
      <c r="AG45" s="59">
        <v>32</v>
      </c>
      <c r="AH45" s="52">
        <f t="shared" si="2"/>
        <v>14.5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0</v>
      </c>
      <c r="C46" s="77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77">
        <v>5</v>
      </c>
      <c r="AA46" s="49">
        <v>0</v>
      </c>
      <c r="AB46" s="49">
        <v>0</v>
      </c>
      <c r="AC46" s="49">
        <v>0</v>
      </c>
      <c r="AD46" s="49">
        <v>0</v>
      </c>
      <c r="AE46" s="49">
        <v>0</v>
      </c>
      <c r="AF46" s="49">
        <v>0</v>
      </c>
      <c r="AG46" s="78">
        <v>14</v>
      </c>
      <c r="AH46" s="52">
        <f t="shared" si="2"/>
        <v>5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0</v>
      </c>
      <c r="C47" s="69">
        <f t="shared" si="7"/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48.9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48.9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57</v>
      </c>
      <c r="C48" s="49">
        <v>20</v>
      </c>
      <c r="D48" s="49">
        <v>29</v>
      </c>
      <c r="E48" s="49">
        <v>26</v>
      </c>
      <c r="F48" s="49">
        <v>34.31</v>
      </c>
      <c r="G48" s="49">
        <v>30.29</v>
      </c>
      <c r="H48" s="49">
        <v>18.8</v>
      </c>
      <c r="I48" s="49">
        <v>17.63</v>
      </c>
      <c r="J48" s="49">
        <v>15.9</v>
      </c>
      <c r="K48" s="49">
        <v>46</v>
      </c>
      <c r="L48" s="49">
        <v>48.5</v>
      </c>
      <c r="M48" s="49">
        <v>49.2</v>
      </c>
      <c r="N48" s="49">
        <v>46.3</v>
      </c>
      <c r="O48" s="49">
        <v>48.8</v>
      </c>
      <c r="P48" s="49">
        <v>44</v>
      </c>
      <c r="Q48" s="49">
        <v>46.9</v>
      </c>
      <c r="R48" s="49">
        <v>50.2</v>
      </c>
      <c r="S48" s="49">
        <v>42.52</v>
      </c>
      <c r="T48" s="49">
        <v>42.06</v>
      </c>
      <c r="U48" s="49">
        <v>42.71</v>
      </c>
      <c r="V48" s="49">
        <v>42.45</v>
      </c>
      <c r="W48" s="49">
        <v>43.6</v>
      </c>
      <c r="X48" s="49">
        <v>45.86</v>
      </c>
      <c r="Y48" s="49">
        <v>57.6</v>
      </c>
      <c r="Z48" s="49">
        <v>59.39</v>
      </c>
      <c r="AA48" s="49">
        <v>63.74</v>
      </c>
      <c r="AB48" s="49">
        <v>63.35</v>
      </c>
      <c r="AC48" s="49">
        <v>62.07</v>
      </c>
      <c r="AD48" s="49">
        <v>52.34</v>
      </c>
      <c r="AE48" s="49">
        <v>50.01</v>
      </c>
      <c r="AF48" s="49">
        <v>30.15</v>
      </c>
      <c r="AG48" s="57"/>
      <c r="AH48" s="52">
        <f t="shared" si="2"/>
        <v>63.74</v>
      </c>
      <c r="AI48" s="53">
        <f t="shared" si="3"/>
        <v>15.9</v>
      </c>
      <c r="AK48" s="54"/>
    </row>
    <row r="49" spans="1:37" x14ac:dyDescent="0.25">
      <c r="A49" s="58" t="s">
        <v>56</v>
      </c>
      <c r="B49" s="70">
        <v>52</v>
      </c>
      <c r="C49" s="70">
        <v>42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-30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0">
        <v>0</v>
      </c>
      <c r="AB49" s="70">
        <v>0</v>
      </c>
      <c r="AC49" s="70">
        <v>0</v>
      </c>
      <c r="AD49" s="70">
        <v>-40</v>
      </c>
      <c r="AE49" s="70">
        <v>-2.5</v>
      </c>
      <c r="AF49" s="70">
        <v>0</v>
      </c>
      <c r="AG49" s="59"/>
      <c r="AH49" s="52">
        <f t="shared" si="2"/>
        <v>52</v>
      </c>
      <c r="AI49" s="53">
        <f t="shared" si="3"/>
        <v>-40</v>
      </c>
      <c r="AK49" s="54"/>
    </row>
    <row r="50" spans="1:37" x14ac:dyDescent="0.25">
      <c r="A50" s="58" t="s">
        <v>57</v>
      </c>
      <c r="B50" s="70">
        <v>25</v>
      </c>
      <c r="C50" s="70">
        <v>15</v>
      </c>
      <c r="D50" s="70">
        <v>24</v>
      </c>
      <c r="E50" s="70">
        <v>-2</v>
      </c>
      <c r="F50" s="70">
        <v>-15</v>
      </c>
      <c r="G50" s="49">
        <v>-16</v>
      </c>
      <c r="H50" s="49">
        <v>-18</v>
      </c>
      <c r="I50" s="49">
        <v>-5</v>
      </c>
      <c r="J50" s="49">
        <v>15</v>
      </c>
      <c r="K50" s="49">
        <v>40</v>
      </c>
      <c r="L50" s="70">
        <v>48</v>
      </c>
      <c r="M50" s="70">
        <v>89</v>
      </c>
      <c r="N50" s="70">
        <f>23.13+23.49</f>
        <v>46.62</v>
      </c>
      <c r="O50" s="70">
        <v>7</v>
      </c>
      <c r="P50" s="70">
        <v>19</v>
      </c>
      <c r="Q50" s="70">
        <v>0</v>
      </c>
      <c r="R50" s="70">
        <v>0</v>
      </c>
      <c r="S50" s="70">
        <v>66.5</v>
      </c>
      <c r="T50" s="70">
        <v>61</v>
      </c>
      <c r="U50" s="80">
        <v>20</v>
      </c>
      <c r="V50" s="80">
        <v>40</v>
      </c>
      <c r="W50" s="80">
        <v>69</v>
      </c>
      <c r="X50" s="80">
        <v>94</v>
      </c>
      <c r="Y50" s="80">
        <v>170</v>
      </c>
      <c r="Z50" s="80">
        <v>151</v>
      </c>
      <c r="AA50" s="70">
        <v>135</v>
      </c>
      <c r="AB50" s="70">
        <v>65.319999999999993</v>
      </c>
      <c r="AC50" s="70">
        <v>10</v>
      </c>
      <c r="AD50" s="70">
        <v>-36</v>
      </c>
      <c r="AE50" s="70">
        <v>-2</v>
      </c>
      <c r="AF50" s="70">
        <v>-20</v>
      </c>
      <c r="AG50" s="81"/>
      <c r="AH50" s="52">
        <f t="shared" si="2"/>
        <v>170</v>
      </c>
      <c r="AI50" s="53">
        <f t="shared" si="3"/>
        <v>-36</v>
      </c>
      <c r="AK50" s="54"/>
    </row>
    <row r="51" spans="1:37" x14ac:dyDescent="0.25">
      <c r="A51" s="58" t="s">
        <v>58</v>
      </c>
      <c r="B51" s="82">
        <v>11.5</v>
      </c>
      <c r="C51" s="82">
        <v>11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81"/>
      <c r="AH51" s="52">
        <f t="shared" si="2"/>
        <v>11.5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31</v>
      </c>
      <c r="C52" s="82">
        <v>30.4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31</v>
      </c>
      <c r="AI52" s="53">
        <f t="shared" si="3"/>
        <v>0</v>
      </c>
      <c r="AK52" s="54"/>
    </row>
    <row r="53" spans="1:37" x14ac:dyDescent="0.25">
      <c r="A53" s="58" t="s">
        <v>60</v>
      </c>
      <c r="B53" s="70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49">
        <v>0</v>
      </c>
      <c r="C54" s="70">
        <v>0</v>
      </c>
      <c r="D54" s="70">
        <v>0</v>
      </c>
      <c r="E54" s="70">
        <v>0</v>
      </c>
      <c r="F54" s="70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5</v>
      </c>
      <c r="G55" s="82">
        <v>5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1"/>
      <c r="AH55" s="52">
        <f t="shared" si="2"/>
        <v>5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49">
        <v>0</v>
      </c>
      <c r="C58" s="70">
        <v>0</v>
      </c>
      <c r="D58" s="70">
        <v>0</v>
      </c>
      <c r="E58" s="70">
        <v>0</v>
      </c>
      <c r="F58" s="70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 t="shared" ref="B59:AF59" si="8">SUM(B48:B58)</f>
        <v>176.5</v>
      </c>
      <c r="C59" s="69">
        <f t="shared" si="8"/>
        <v>118.4</v>
      </c>
      <c r="D59" s="69">
        <f t="shared" si="8"/>
        <v>53</v>
      </c>
      <c r="E59" s="69">
        <f t="shared" si="8"/>
        <v>24</v>
      </c>
      <c r="F59" s="69">
        <f t="shared" si="8"/>
        <v>24.310000000000002</v>
      </c>
      <c r="G59" s="69">
        <f t="shared" si="8"/>
        <v>19.29</v>
      </c>
      <c r="H59" s="69">
        <f t="shared" si="8"/>
        <v>0.80000000000000071</v>
      </c>
      <c r="I59" s="69">
        <f t="shared" si="8"/>
        <v>12.629999999999999</v>
      </c>
      <c r="J59" s="69">
        <f t="shared" si="8"/>
        <v>30.9</v>
      </c>
      <c r="K59" s="69">
        <f t="shared" si="8"/>
        <v>86</v>
      </c>
      <c r="L59" s="69">
        <f t="shared" si="8"/>
        <v>96.5</v>
      </c>
      <c r="M59" s="69">
        <f t="shared" si="8"/>
        <v>138.19999999999999</v>
      </c>
      <c r="N59" s="69">
        <f t="shared" si="8"/>
        <v>92.919999999999987</v>
      </c>
      <c r="O59" s="69">
        <f t="shared" si="8"/>
        <v>55.8</v>
      </c>
      <c r="P59" s="69">
        <f t="shared" si="8"/>
        <v>63</v>
      </c>
      <c r="Q59" s="69">
        <f t="shared" si="8"/>
        <v>46.9</v>
      </c>
      <c r="R59" s="69">
        <f t="shared" si="8"/>
        <v>50.2</v>
      </c>
      <c r="S59" s="69">
        <f t="shared" si="8"/>
        <v>79.02000000000001</v>
      </c>
      <c r="T59" s="69">
        <f t="shared" si="8"/>
        <v>103.06</v>
      </c>
      <c r="U59" s="69">
        <f t="shared" si="8"/>
        <v>62.71</v>
      </c>
      <c r="V59" s="69">
        <f t="shared" si="8"/>
        <v>82.45</v>
      </c>
      <c r="W59" s="69">
        <f t="shared" si="8"/>
        <v>112.6</v>
      </c>
      <c r="X59" s="69">
        <f t="shared" si="8"/>
        <v>139.86000000000001</v>
      </c>
      <c r="Y59" s="69">
        <f t="shared" si="8"/>
        <v>227.6</v>
      </c>
      <c r="Z59" s="69">
        <f t="shared" si="8"/>
        <v>210.39</v>
      </c>
      <c r="AA59" s="69">
        <f t="shared" si="8"/>
        <v>198.74</v>
      </c>
      <c r="AB59" s="69">
        <f t="shared" si="8"/>
        <v>128.66999999999999</v>
      </c>
      <c r="AC59" s="69">
        <f t="shared" si="8"/>
        <v>72.069999999999993</v>
      </c>
      <c r="AD59" s="69">
        <f t="shared" si="8"/>
        <v>-23.659999999999997</v>
      </c>
      <c r="AE59" s="69">
        <f t="shared" si="8"/>
        <v>45.51</v>
      </c>
      <c r="AF59" s="69">
        <f t="shared" si="8"/>
        <v>10.149999999999999</v>
      </c>
      <c r="AG59" s="74">
        <f>SUM(AG48:AG58)</f>
        <v>0</v>
      </c>
      <c r="AH59" s="52">
        <f t="shared" si="2"/>
        <v>227.6</v>
      </c>
      <c r="AI59" s="53">
        <f t="shared" si="3"/>
        <v>-23.659999999999997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 t="shared" ref="B63:AF63" si="9">SUM(B60:B62)</f>
        <v>0</v>
      </c>
      <c r="C63" s="69">
        <f t="shared" si="9"/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>
        <v>70</v>
      </c>
      <c r="D64" s="89">
        <v>70</v>
      </c>
      <c r="E64" s="89">
        <v>70</v>
      </c>
      <c r="F64" s="89">
        <v>70</v>
      </c>
      <c r="G64" s="89">
        <v>70</v>
      </c>
      <c r="H64" s="89">
        <v>70</v>
      </c>
      <c r="I64" s="89">
        <v>70</v>
      </c>
      <c r="J64" s="89">
        <v>70</v>
      </c>
      <c r="K64" s="89">
        <v>60</v>
      </c>
      <c r="L64" s="89">
        <v>60</v>
      </c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70</v>
      </c>
      <c r="AI64" s="53">
        <f t="shared" si="3"/>
        <v>60</v>
      </c>
    </row>
    <row r="65" spans="1:35" ht="15.75" thickBot="1" x14ac:dyDescent="0.3">
      <c r="A65" s="90" t="s">
        <v>72</v>
      </c>
      <c r="B65" s="91">
        <f t="shared" ref="B65:AF65" si="10">B63+B59+B47+B43+B30+B64</f>
        <v>923.7399999999999</v>
      </c>
      <c r="C65" s="91">
        <f t="shared" si="10"/>
        <v>891.24</v>
      </c>
      <c r="D65" s="91">
        <f t="shared" si="10"/>
        <v>866.64</v>
      </c>
      <c r="E65" s="91">
        <f t="shared" si="10"/>
        <v>842.64</v>
      </c>
      <c r="F65" s="91">
        <f t="shared" si="10"/>
        <v>840.75</v>
      </c>
      <c r="G65" s="91">
        <f t="shared" si="10"/>
        <v>849.32999999999993</v>
      </c>
      <c r="H65" s="91">
        <f t="shared" si="10"/>
        <v>836.54</v>
      </c>
      <c r="I65" s="91">
        <f t="shared" si="10"/>
        <v>858.27</v>
      </c>
      <c r="J65" s="91">
        <f t="shared" si="10"/>
        <v>875.24</v>
      </c>
      <c r="K65" s="91">
        <f t="shared" si="10"/>
        <v>931.44</v>
      </c>
      <c r="L65" s="91">
        <f t="shared" si="10"/>
        <v>971.44</v>
      </c>
      <c r="M65" s="91">
        <f t="shared" si="10"/>
        <v>950.44</v>
      </c>
      <c r="N65" s="91">
        <f t="shared" si="10"/>
        <v>913.07</v>
      </c>
      <c r="O65" s="91">
        <f t="shared" si="10"/>
        <v>872.24</v>
      </c>
      <c r="P65" s="91">
        <f t="shared" si="10"/>
        <v>838.1400000000001</v>
      </c>
      <c r="Q65" s="91">
        <f t="shared" si="10"/>
        <v>850.24</v>
      </c>
      <c r="R65" s="91">
        <f t="shared" si="10"/>
        <v>817.64</v>
      </c>
      <c r="S65" s="91">
        <f t="shared" si="10"/>
        <v>832.26</v>
      </c>
      <c r="T65" s="91">
        <f t="shared" si="10"/>
        <v>861.9</v>
      </c>
      <c r="U65" s="91">
        <f t="shared" si="10"/>
        <v>869.34999999999991</v>
      </c>
      <c r="V65" s="91">
        <f t="shared" si="10"/>
        <v>894.29000000000008</v>
      </c>
      <c r="W65" s="91">
        <f t="shared" si="10"/>
        <v>891.84</v>
      </c>
      <c r="X65" s="91">
        <f t="shared" si="10"/>
        <v>960.7</v>
      </c>
      <c r="Y65" s="91">
        <f t="shared" si="10"/>
        <v>1020.04</v>
      </c>
      <c r="Z65" s="91">
        <f t="shared" si="10"/>
        <v>1069.03</v>
      </c>
      <c r="AA65" s="91">
        <f t="shared" si="10"/>
        <v>1005.5799999999999</v>
      </c>
      <c r="AB65" s="91">
        <f t="shared" si="10"/>
        <v>948.31</v>
      </c>
      <c r="AC65" s="91">
        <f t="shared" si="10"/>
        <v>892.51</v>
      </c>
      <c r="AD65" s="91">
        <f t="shared" si="10"/>
        <v>741.38</v>
      </c>
      <c r="AE65" s="91">
        <f t="shared" si="10"/>
        <v>735.25</v>
      </c>
      <c r="AF65" s="91">
        <f t="shared" si="10"/>
        <v>699.29</v>
      </c>
      <c r="AG65" s="74">
        <f>AG63+AG59+AG47+AG43+AG30+AG64</f>
        <v>1355.5100000000002</v>
      </c>
      <c r="AH65" s="52">
        <f t="shared" si="2"/>
        <v>1069.03</v>
      </c>
      <c r="AI65" s="53">
        <f t="shared" si="3"/>
        <v>699.29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>IF(Z51&lt;0,Z51*-1,0)</f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30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40</v>
      </c>
      <c r="AE67" s="82">
        <f t="shared" si="14"/>
        <v>2.5</v>
      </c>
      <c r="AF67" s="82">
        <f t="shared" si="14"/>
        <v>0</v>
      </c>
      <c r="AG67" s="59"/>
      <c r="AH67" s="52">
        <f t="shared" si="2"/>
        <v>40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 t="shared" ref="B69:AF69" si="17">IF(B50&lt;0,B50*-1,0)</f>
        <v>0</v>
      </c>
      <c r="C69" s="82">
        <f t="shared" si="17"/>
        <v>0</v>
      </c>
      <c r="D69" s="82">
        <f t="shared" si="17"/>
        <v>0</v>
      </c>
      <c r="E69" s="82">
        <f t="shared" si="17"/>
        <v>2</v>
      </c>
      <c r="F69" s="82">
        <f t="shared" si="17"/>
        <v>15</v>
      </c>
      <c r="G69" s="82">
        <f t="shared" si="17"/>
        <v>16</v>
      </c>
      <c r="H69" s="82">
        <f t="shared" si="17"/>
        <v>18</v>
      </c>
      <c r="I69" s="82">
        <f t="shared" si="17"/>
        <v>5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36</v>
      </c>
      <c r="AE69" s="82">
        <f t="shared" si="17"/>
        <v>2</v>
      </c>
      <c r="AF69" s="82">
        <f t="shared" si="17"/>
        <v>20</v>
      </c>
      <c r="AG69" s="92"/>
      <c r="AH69" s="52">
        <f t="shared" si="2"/>
        <v>36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 t="shared" ref="B71:AF71" si="18">SUM(B66:B70)</f>
        <v>0</v>
      </c>
      <c r="C71" s="69">
        <f t="shared" si="18"/>
        <v>0</v>
      </c>
      <c r="D71" s="69">
        <f t="shared" si="18"/>
        <v>0</v>
      </c>
      <c r="E71" s="69">
        <f t="shared" si="18"/>
        <v>2</v>
      </c>
      <c r="F71" s="69">
        <f t="shared" si="18"/>
        <v>15</v>
      </c>
      <c r="G71" s="69">
        <f t="shared" si="18"/>
        <v>16</v>
      </c>
      <c r="H71" s="69">
        <f t="shared" si="18"/>
        <v>18</v>
      </c>
      <c r="I71" s="69">
        <f t="shared" si="18"/>
        <v>5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30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76</v>
      </c>
      <c r="AE71" s="69">
        <f t="shared" si="18"/>
        <v>4.5</v>
      </c>
      <c r="AF71" s="69">
        <f t="shared" si="18"/>
        <v>20</v>
      </c>
      <c r="AG71" s="74">
        <f>SUM(AG66:AG70)</f>
        <v>0</v>
      </c>
      <c r="AH71" s="52">
        <f t="shared" si="2"/>
        <v>76</v>
      </c>
      <c r="AI71" s="53">
        <f t="shared" si="3"/>
        <v>0</v>
      </c>
    </row>
    <row r="72" spans="1:35" x14ac:dyDescent="0.25">
      <c r="A72" s="93" t="s">
        <v>79</v>
      </c>
      <c r="B72" s="96">
        <v>50.045000000000002</v>
      </c>
      <c r="C72" s="94">
        <v>50.012999999999998</v>
      </c>
      <c r="D72" s="94">
        <v>50.042999999999999</v>
      </c>
      <c r="E72" s="94">
        <v>49.987000000000002</v>
      </c>
      <c r="F72" s="94">
        <v>50.04</v>
      </c>
      <c r="G72" s="94">
        <v>50.000999999999998</v>
      </c>
      <c r="H72" s="94">
        <v>50.045000000000002</v>
      </c>
      <c r="I72" s="94">
        <v>49.884999999999998</v>
      </c>
      <c r="J72" s="94">
        <v>50.034999999999997</v>
      </c>
      <c r="K72" s="94">
        <v>50.037999999999997</v>
      </c>
      <c r="L72" s="94">
        <v>50.0458</v>
      </c>
      <c r="M72" s="94">
        <v>50.051000000000002</v>
      </c>
      <c r="N72" s="94">
        <v>50.012</v>
      </c>
      <c r="O72" s="94">
        <v>50.000999999999998</v>
      </c>
      <c r="P72" s="94">
        <v>49.965000000000003</v>
      </c>
      <c r="Q72" s="95">
        <v>49.942999999999998</v>
      </c>
      <c r="R72" s="94">
        <v>49.932000000000002</v>
      </c>
      <c r="S72" s="94">
        <v>50.042000000000002</v>
      </c>
      <c r="T72" s="94">
        <v>49.972999999999999</v>
      </c>
      <c r="U72" s="94">
        <v>50.034999999999997</v>
      </c>
      <c r="V72" s="94">
        <v>49.981999999999999</v>
      </c>
      <c r="W72" s="94">
        <v>49.994999999999997</v>
      </c>
      <c r="X72" s="94">
        <v>50.015000000000001</v>
      </c>
      <c r="Y72" s="94">
        <v>49.988</v>
      </c>
      <c r="Z72" s="94">
        <v>50.081000000000003</v>
      </c>
      <c r="AA72" s="94">
        <v>50.02</v>
      </c>
      <c r="AB72" s="94">
        <v>50</v>
      </c>
      <c r="AC72" s="94">
        <v>50</v>
      </c>
      <c r="AD72" s="94">
        <v>50</v>
      </c>
      <c r="AE72" s="94">
        <v>50.015000000000001</v>
      </c>
      <c r="AF72" s="96">
        <v>50.031999999999996</v>
      </c>
      <c r="AG72" s="97"/>
      <c r="AH72" s="52">
        <f t="shared" si="2"/>
        <v>50.081000000000003</v>
      </c>
      <c r="AI72" s="53">
        <f t="shared" si="3"/>
        <v>49.884999999999998</v>
      </c>
    </row>
    <row r="73" spans="1:35" x14ac:dyDescent="0.25">
      <c r="A73" s="98" t="s">
        <v>80</v>
      </c>
      <c r="B73" s="100">
        <v>129.19999999999999</v>
      </c>
      <c r="C73" s="100">
        <v>129.19999999999999</v>
      </c>
      <c r="D73" s="70">
        <v>127.2</v>
      </c>
      <c r="E73" s="70">
        <v>127.5</v>
      </c>
      <c r="F73" s="70">
        <v>128.4</v>
      </c>
      <c r="G73" s="70">
        <v>127.4</v>
      </c>
      <c r="H73" s="70">
        <v>126.6</v>
      </c>
      <c r="I73" s="70">
        <v>125.6</v>
      </c>
      <c r="J73" s="70">
        <v>125.6</v>
      </c>
      <c r="K73" s="70">
        <v>124.6</v>
      </c>
      <c r="L73" s="70">
        <v>124.5</v>
      </c>
      <c r="M73" s="70">
        <v>124.9</v>
      </c>
      <c r="N73" s="70">
        <v>123.9</v>
      </c>
      <c r="O73" s="70">
        <v>124.5</v>
      </c>
      <c r="P73" s="70">
        <v>127.3</v>
      </c>
      <c r="Q73" s="99">
        <v>126</v>
      </c>
      <c r="R73" s="99">
        <v>126.5</v>
      </c>
      <c r="S73" s="99">
        <v>126.6</v>
      </c>
      <c r="T73" s="99">
        <v>125.9</v>
      </c>
      <c r="U73" s="99">
        <v>126.2</v>
      </c>
      <c r="V73" s="99">
        <v>126.9</v>
      </c>
      <c r="W73" s="99">
        <v>127.3</v>
      </c>
      <c r="X73" s="99">
        <v>127.1</v>
      </c>
      <c r="Y73" s="99">
        <v>126.6</v>
      </c>
      <c r="Z73" s="99">
        <v>126.8</v>
      </c>
      <c r="AA73" s="70">
        <v>126.5</v>
      </c>
      <c r="AB73" s="70">
        <v>125.8</v>
      </c>
      <c r="AC73" s="70">
        <v>125.6</v>
      </c>
      <c r="AD73" s="70">
        <v>127.3</v>
      </c>
      <c r="AE73" s="70">
        <v>127.7</v>
      </c>
      <c r="AF73" s="70">
        <v>128.4</v>
      </c>
      <c r="AG73" s="101"/>
      <c r="AH73" s="52">
        <f t="shared" si="2"/>
        <v>129.19999999999999</v>
      </c>
      <c r="AI73" s="53">
        <f t="shared" si="3"/>
        <v>123.9</v>
      </c>
    </row>
    <row r="74" spans="1:35" x14ac:dyDescent="0.25">
      <c r="A74" s="98" t="s">
        <v>81</v>
      </c>
      <c r="B74" s="100">
        <v>131.9</v>
      </c>
      <c r="C74" s="100">
        <v>131.9</v>
      </c>
      <c r="D74" s="70">
        <v>130.4</v>
      </c>
      <c r="E74" s="70">
        <v>130.5</v>
      </c>
      <c r="F74" s="70">
        <v>131.19999999999999</v>
      </c>
      <c r="G74" s="70">
        <v>130.19999999999999</v>
      </c>
      <c r="H74" s="70">
        <v>129.4</v>
      </c>
      <c r="I74" s="70">
        <v>128.30000000000001</v>
      </c>
      <c r="J74" s="70">
        <v>128.19999999999999</v>
      </c>
      <c r="K74" s="70">
        <v>127.1</v>
      </c>
      <c r="L74" s="70">
        <v>127.3</v>
      </c>
      <c r="M74" s="70">
        <v>127.7</v>
      </c>
      <c r="N74" s="70">
        <v>126.7</v>
      </c>
      <c r="O74" s="70">
        <v>127.5</v>
      </c>
      <c r="P74" s="70">
        <v>130.1</v>
      </c>
      <c r="Q74" s="99">
        <v>129</v>
      </c>
      <c r="R74" s="99">
        <v>129.30000000000001</v>
      </c>
      <c r="S74" s="99">
        <v>129.5</v>
      </c>
      <c r="T74" s="99">
        <v>129.1</v>
      </c>
      <c r="U74" s="99">
        <v>129.19999999999999</v>
      </c>
      <c r="V74" s="99">
        <v>129.5</v>
      </c>
      <c r="W74" s="99">
        <v>129.5</v>
      </c>
      <c r="X74" s="99">
        <v>129.6</v>
      </c>
      <c r="Y74" s="99">
        <v>128.80000000000001</v>
      </c>
      <c r="Z74" s="99">
        <v>129.19999999999999</v>
      </c>
      <c r="AA74" s="70">
        <v>128.9</v>
      </c>
      <c r="AB74" s="70">
        <v>128.5</v>
      </c>
      <c r="AC74" s="70">
        <v>128.5</v>
      </c>
      <c r="AD74" s="70">
        <v>130.30000000000001</v>
      </c>
      <c r="AE74" s="70">
        <v>130.80000000000001</v>
      </c>
      <c r="AF74" s="70">
        <v>131.4</v>
      </c>
      <c r="AG74" s="101"/>
      <c r="AH74" s="52">
        <f t="shared" si="2"/>
        <v>131.9</v>
      </c>
      <c r="AI74" s="53">
        <f t="shared" si="3"/>
        <v>126.7</v>
      </c>
    </row>
    <row r="75" spans="1:35" x14ac:dyDescent="0.25">
      <c r="A75" s="98" t="s">
        <v>82</v>
      </c>
      <c r="B75" s="100">
        <v>129.9</v>
      </c>
      <c r="C75" s="100">
        <v>130.9</v>
      </c>
      <c r="D75" s="70">
        <v>128.1</v>
      </c>
      <c r="E75" s="70">
        <v>129.5</v>
      </c>
      <c r="F75" s="70">
        <v>131</v>
      </c>
      <c r="G75" s="70">
        <v>131.1</v>
      </c>
      <c r="H75" s="70">
        <v>131.30000000000001</v>
      </c>
      <c r="I75" s="70">
        <v>128</v>
      </c>
      <c r="J75" s="70">
        <v>129.1</v>
      </c>
      <c r="K75" s="70">
        <v>127.6</v>
      </c>
      <c r="L75" s="70">
        <v>129.5</v>
      </c>
      <c r="M75" s="70">
        <v>129.5</v>
      </c>
      <c r="N75" s="70">
        <v>127.8</v>
      </c>
      <c r="O75" s="70">
        <v>127</v>
      </c>
      <c r="P75" s="70">
        <v>129.5</v>
      </c>
      <c r="Q75" s="70">
        <v>128.4</v>
      </c>
      <c r="R75" s="70">
        <v>129.5</v>
      </c>
      <c r="S75" s="70">
        <v>131.4</v>
      </c>
      <c r="T75" s="99">
        <v>128.4</v>
      </c>
      <c r="U75" s="99">
        <v>130.19999999999999</v>
      </c>
      <c r="V75" s="99">
        <v>129.4</v>
      </c>
      <c r="W75" s="99">
        <v>128.80000000000001</v>
      </c>
      <c r="X75" s="99">
        <v>129.4</v>
      </c>
      <c r="Y75" s="99">
        <v>128.30000000000001</v>
      </c>
      <c r="Z75" s="99">
        <v>128.80000000000001</v>
      </c>
      <c r="AA75" s="70">
        <v>128.19999999999999</v>
      </c>
      <c r="AB75" s="70">
        <v>129.19999999999999</v>
      </c>
      <c r="AC75" s="70">
        <v>129.5</v>
      </c>
      <c r="AD75" s="70">
        <v>132.5</v>
      </c>
      <c r="AE75" s="70">
        <v>132</v>
      </c>
      <c r="AF75" s="70">
        <v>129.1</v>
      </c>
      <c r="AG75" s="101"/>
      <c r="AH75" s="52">
        <f t="shared" si="2"/>
        <v>132.5</v>
      </c>
      <c r="AI75" s="53">
        <f t="shared" si="3"/>
        <v>127</v>
      </c>
    </row>
    <row r="76" spans="1:35" x14ac:dyDescent="0.25">
      <c r="A76" s="102" t="s">
        <v>83</v>
      </c>
      <c r="B76" s="100">
        <v>132.80000000000001</v>
      </c>
      <c r="C76" s="100">
        <v>133.5</v>
      </c>
      <c r="D76" s="70">
        <v>132</v>
      </c>
      <c r="E76" s="70">
        <v>133.30000000000001</v>
      </c>
      <c r="F76" s="70">
        <v>134.5</v>
      </c>
      <c r="G76" s="70">
        <v>134</v>
      </c>
      <c r="H76" s="70">
        <v>134.5</v>
      </c>
      <c r="I76" s="70">
        <v>131.69999999999999</v>
      </c>
      <c r="J76" s="70">
        <v>131.4</v>
      </c>
      <c r="K76" s="70">
        <v>129.1</v>
      </c>
      <c r="L76" s="70">
        <v>131</v>
      </c>
      <c r="M76" s="70">
        <v>132.6</v>
      </c>
      <c r="N76" s="70">
        <v>130.4</v>
      </c>
      <c r="O76" s="70">
        <v>129.19999999999999</v>
      </c>
      <c r="P76" s="70">
        <v>132.1</v>
      </c>
      <c r="Q76" s="70">
        <v>134.1</v>
      </c>
      <c r="R76" s="70">
        <v>132.9</v>
      </c>
      <c r="S76" s="70">
        <v>133.80000000000001</v>
      </c>
      <c r="T76" s="99">
        <v>132.4</v>
      </c>
      <c r="U76" s="99">
        <v>132.69999999999999</v>
      </c>
      <c r="V76" s="99">
        <v>132</v>
      </c>
      <c r="W76" s="99">
        <v>131.30000000000001</v>
      </c>
      <c r="X76" s="99">
        <v>130.9</v>
      </c>
      <c r="Y76" s="99">
        <v>130.19999999999999</v>
      </c>
      <c r="Z76" s="99">
        <v>130.9</v>
      </c>
      <c r="AA76" s="70">
        <v>131.6</v>
      </c>
      <c r="AB76" s="70">
        <v>132.30000000000001</v>
      </c>
      <c r="AC76" s="70">
        <v>132</v>
      </c>
      <c r="AD76" s="70">
        <v>134.19999999999999</v>
      </c>
      <c r="AE76" s="70">
        <v>134.69999999999999</v>
      </c>
      <c r="AF76" s="70">
        <v>132.4</v>
      </c>
      <c r="AG76" s="101"/>
      <c r="AH76" s="52">
        <f t="shared" si="2"/>
        <v>134.69999999999999</v>
      </c>
      <c r="AI76" s="53">
        <f t="shared" si="3"/>
        <v>129.1</v>
      </c>
    </row>
    <row r="77" spans="1:35" x14ac:dyDescent="0.25">
      <c r="A77" s="102" t="s">
        <v>84</v>
      </c>
      <c r="B77" s="104">
        <v>135.9</v>
      </c>
      <c r="C77" s="104">
        <v>134.5</v>
      </c>
      <c r="D77" s="103">
        <v>97</v>
      </c>
      <c r="E77" s="103">
        <v>135.19999999999999</v>
      </c>
      <c r="F77" s="103">
        <v>136.4</v>
      </c>
      <c r="G77" s="103">
        <v>135.1</v>
      </c>
      <c r="H77" s="103">
        <v>133.69999999999999</v>
      </c>
      <c r="I77" s="103">
        <v>130.69999999999999</v>
      </c>
      <c r="J77" s="103">
        <v>131.19999999999999</v>
      </c>
      <c r="K77" s="103">
        <v>133.5</v>
      </c>
      <c r="L77" s="103">
        <v>132.80000000000001</v>
      </c>
      <c r="M77" s="103">
        <v>133.6</v>
      </c>
      <c r="N77" s="103">
        <v>131.9</v>
      </c>
      <c r="O77" s="103">
        <v>132.4</v>
      </c>
      <c r="P77" s="103">
        <v>129.19999999999999</v>
      </c>
      <c r="Q77" s="103">
        <v>136.1</v>
      </c>
      <c r="R77" s="103">
        <v>135.69999999999999</v>
      </c>
      <c r="S77" s="103">
        <v>134</v>
      </c>
      <c r="T77" s="99">
        <v>132.19999999999999</v>
      </c>
      <c r="U77" s="99">
        <v>135.80000000000001</v>
      </c>
      <c r="V77" s="99">
        <v>135.6</v>
      </c>
      <c r="W77" s="99">
        <v>134.80000000000001</v>
      </c>
      <c r="X77" s="99">
        <v>134.80000000000001</v>
      </c>
      <c r="Y77" s="99">
        <v>134.4</v>
      </c>
      <c r="Z77" s="99">
        <v>133.6</v>
      </c>
      <c r="AA77" s="103">
        <v>135.69999999999999</v>
      </c>
      <c r="AB77" s="103">
        <v>96.9</v>
      </c>
      <c r="AC77" s="103">
        <v>96.8</v>
      </c>
      <c r="AD77" s="103">
        <v>53.9</v>
      </c>
      <c r="AE77" s="103">
        <v>131.69999999999999</v>
      </c>
      <c r="AF77" s="103">
        <v>132.6</v>
      </c>
      <c r="AG77" s="105"/>
      <c r="AH77" s="52">
        <f t="shared" si="2"/>
        <v>136.4</v>
      </c>
      <c r="AI77" s="53">
        <f t="shared" si="3"/>
        <v>53.9</v>
      </c>
    </row>
    <row r="78" spans="1:35" x14ac:dyDescent="0.25">
      <c r="A78" s="98" t="s">
        <v>85</v>
      </c>
      <c r="B78" s="100">
        <v>133.6</v>
      </c>
      <c r="C78" s="100">
        <v>125.8</v>
      </c>
      <c r="D78" s="70">
        <v>126.2</v>
      </c>
      <c r="E78" s="70">
        <v>128.19999999999999</v>
      </c>
      <c r="F78" s="70">
        <v>128.80000000000001</v>
      </c>
      <c r="G78" s="70">
        <v>127.1</v>
      </c>
      <c r="H78" s="70">
        <v>127.3</v>
      </c>
      <c r="I78" s="70">
        <v>125.4</v>
      </c>
      <c r="J78" s="70">
        <v>126.6</v>
      </c>
      <c r="K78" s="70">
        <v>126.8</v>
      </c>
      <c r="L78" s="70">
        <v>134.1</v>
      </c>
      <c r="M78" s="70">
        <v>131.80000000000001</v>
      </c>
      <c r="N78" s="70">
        <v>129.19999999999999</v>
      </c>
      <c r="O78" s="70">
        <v>130.6</v>
      </c>
      <c r="P78" s="70">
        <v>128.80000000000001</v>
      </c>
      <c r="Q78" s="70">
        <v>139.6</v>
      </c>
      <c r="R78" s="70">
        <v>131.4</v>
      </c>
      <c r="S78" s="70">
        <v>133</v>
      </c>
      <c r="T78" s="99">
        <v>132</v>
      </c>
      <c r="U78" s="99">
        <v>134.30000000000001</v>
      </c>
      <c r="V78" s="99">
        <v>134.1</v>
      </c>
      <c r="W78" s="99">
        <v>134.5</v>
      </c>
      <c r="X78" s="99">
        <v>135.1</v>
      </c>
      <c r="Y78" s="99">
        <v>133.6</v>
      </c>
      <c r="Z78" s="99">
        <v>131.30000000000001</v>
      </c>
      <c r="AA78" s="70">
        <v>128.1</v>
      </c>
      <c r="AB78" s="70">
        <v>127.3</v>
      </c>
      <c r="AC78" s="70">
        <v>127</v>
      </c>
      <c r="AD78" s="70">
        <v>126.8</v>
      </c>
      <c r="AE78" s="70">
        <v>128.1</v>
      </c>
      <c r="AF78" s="70">
        <v>128.19999999999999</v>
      </c>
      <c r="AG78" s="101"/>
      <c r="AH78" s="52">
        <f>MAX(B78:AF78)</f>
        <v>139.6</v>
      </c>
      <c r="AI78" s="53">
        <f>MIN(B78:AF78)</f>
        <v>125.4</v>
      </c>
    </row>
    <row r="79" spans="1:35" ht="15.75" thickBot="1" x14ac:dyDescent="0.3">
      <c r="A79" s="98" t="s">
        <v>86</v>
      </c>
      <c r="B79" s="107">
        <v>67.7</v>
      </c>
      <c r="C79" s="107">
        <v>67.7</v>
      </c>
      <c r="D79" s="106">
        <v>66.8</v>
      </c>
      <c r="E79" s="106">
        <v>67</v>
      </c>
      <c r="F79" s="106">
        <v>67.2</v>
      </c>
      <c r="G79" s="106">
        <v>66.7</v>
      </c>
      <c r="H79" s="106">
        <v>66.2</v>
      </c>
      <c r="I79" s="106">
        <v>65.7</v>
      </c>
      <c r="J79" s="106">
        <v>65.400000000000006</v>
      </c>
      <c r="K79" s="106">
        <v>64.7</v>
      </c>
      <c r="L79" s="106">
        <v>64.7</v>
      </c>
      <c r="M79" s="106">
        <v>65.099999999999994</v>
      </c>
      <c r="N79" s="106">
        <v>64.7</v>
      </c>
      <c r="O79" s="106">
        <v>65.2</v>
      </c>
      <c r="P79" s="106">
        <v>66.5</v>
      </c>
      <c r="Q79" s="106">
        <v>66.2</v>
      </c>
      <c r="R79" s="106">
        <v>66.2</v>
      </c>
      <c r="S79" s="106">
        <v>66.400000000000006</v>
      </c>
      <c r="T79" s="106">
        <v>66</v>
      </c>
      <c r="U79" s="106">
        <v>66.099999999999994</v>
      </c>
      <c r="V79" s="106">
        <v>66.3</v>
      </c>
      <c r="W79" s="106">
        <v>66</v>
      </c>
      <c r="X79" s="106">
        <v>66.2</v>
      </c>
      <c r="Y79" s="106">
        <v>65.8</v>
      </c>
      <c r="Z79" s="106">
        <v>65.900000000000006</v>
      </c>
      <c r="AA79" s="106">
        <v>65.8</v>
      </c>
      <c r="AB79" s="106">
        <v>65.7</v>
      </c>
      <c r="AC79" s="106">
        <v>65.5</v>
      </c>
      <c r="AD79" s="106">
        <v>66.3</v>
      </c>
      <c r="AE79" s="106">
        <v>66.5</v>
      </c>
      <c r="AF79" s="106">
        <v>66.900000000000006</v>
      </c>
      <c r="AG79" s="108"/>
      <c r="AH79" s="52">
        <f>MAX(B79:AF79)</f>
        <v>67.7</v>
      </c>
      <c r="AI79" s="53">
        <f>MIN(B79:AF79)</f>
        <v>64.7</v>
      </c>
    </row>
    <row r="80" spans="1:35" x14ac:dyDescent="0.25">
      <c r="A80" s="109" t="s">
        <v>87</v>
      </c>
      <c r="B80" s="110">
        <f t="shared" ref="B80:AF80" si="19">SUMIF(B48:B57,"&gt;0")</f>
        <v>176.5</v>
      </c>
      <c r="C80" s="110">
        <f t="shared" si="19"/>
        <v>118.4</v>
      </c>
      <c r="D80" s="110">
        <f t="shared" si="19"/>
        <v>53</v>
      </c>
      <c r="E80" s="110">
        <f t="shared" si="19"/>
        <v>26</v>
      </c>
      <c r="F80" s="110">
        <f t="shared" si="19"/>
        <v>39.31</v>
      </c>
      <c r="G80" s="110">
        <f t="shared" si="19"/>
        <v>35.29</v>
      </c>
      <c r="H80" s="110">
        <f t="shared" si="19"/>
        <v>18.8</v>
      </c>
      <c r="I80" s="110">
        <f t="shared" si="19"/>
        <v>17.63</v>
      </c>
      <c r="J80" s="110">
        <f t="shared" si="19"/>
        <v>30.9</v>
      </c>
      <c r="K80" s="110">
        <f t="shared" si="19"/>
        <v>86</v>
      </c>
      <c r="L80" s="110">
        <f t="shared" si="19"/>
        <v>96.5</v>
      </c>
      <c r="M80" s="110">
        <f t="shared" si="19"/>
        <v>138.19999999999999</v>
      </c>
      <c r="N80" s="110">
        <f t="shared" si="19"/>
        <v>92.919999999999987</v>
      </c>
      <c r="O80" s="110">
        <f t="shared" si="19"/>
        <v>55.8</v>
      </c>
      <c r="P80" s="110">
        <f t="shared" si="19"/>
        <v>63</v>
      </c>
      <c r="Q80" s="110">
        <f t="shared" si="19"/>
        <v>46.9</v>
      </c>
      <c r="R80" s="110">
        <f t="shared" si="19"/>
        <v>50.2</v>
      </c>
      <c r="S80" s="110">
        <f t="shared" si="19"/>
        <v>109.02000000000001</v>
      </c>
      <c r="T80" s="110">
        <f t="shared" si="19"/>
        <v>103.06</v>
      </c>
      <c r="U80" s="110">
        <f t="shared" si="19"/>
        <v>62.71</v>
      </c>
      <c r="V80" s="110">
        <f t="shared" si="19"/>
        <v>82.45</v>
      </c>
      <c r="W80" s="110">
        <f t="shared" si="19"/>
        <v>112.6</v>
      </c>
      <c r="X80" s="110">
        <f t="shared" si="19"/>
        <v>139.86000000000001</v>
      </c>
      <c r="Y80" s="110">
        <f t="shared" si="19"/>
        <v>227.6</v>
      </c>
      <c r="Z80" s="110">
        <f t="shared" si="19"/>
        <v>210.39</v>
      </c>
      <c r="AA80" s="110">
        <f t="shared" si="19"/>
        <v>198.74</v>
      </c>
      <c r="AB80" s="110">
        <f t="shared" si="19"/>
        <v>128.66999999999999</v>
      </c>
      <c r="AC80" s="110">
        <f t="shared" si="19"/>
        <v>72.069999999999993</v>
      </c>
      <c r="AD80" s="110">
        <f t="shared" si="19"/>
        <v>52.34</v>
      </c>
      <c r="AE80" s="110">
        <f t="shared" si="19"/>
        <v>50.01</v>
      </c>
      <c r="AF80" s="110">
        <f t="shared" si="19"/>
        <v>30.15</v>
      </c>
      <c r="AG80" s="111"/>
      <c r="AH80" s="52">
        <f>MAX(B80:AF80)</f>
        <v>227.6</v>
      </c>
      <c r="AI80" s="53">
        <f>MIN(B80:AF80)</f>
        <v>17.63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 t="shared" ref="B82:AF82" si="20">B11+B13+B17+B34+B36+B38+B40+B94+B108+B110+B121+B127+B130+B139+B143+B144+B147+B154+B159+B162+B163+B164+B172+B177+B83+B84+B85+B86+B99</f>
        <v>117.32</v>
      </c>
      <c r="C82" s="115">
        <f t="shared" si="20"/>
        <v>109.21999999999996</v>
      </c>
      <c r="D82" s="115">
        <f t="shared" si="20"/>
        <v>114.91999999999999</v>
      </c>
      <c r="E82" s="115">
        <f t="shared" si="20"/>
        <v>109.01999999999998</v>
      </c>
      <c r="F82" s="115">
        <f t="shared" si="20"/>
        <v>119.71999999999993</v>
      </c>
      <c r="G82" s="115">
        <f t="shared" si="20"/>
        <v>132.31999999999996</v>
      </c>
      <c r="H82" s="115">
        <f t="shared" si="20"/>
        <v>150.91999999999999</v>
      </c>
      <c r="I82" s="115">
        <f t="shared" si="20"/>
        <v>171.02</v>
      </c>
      <c r="J82" s="115">
        <f t="shared" si="20"/>
        <v>187.92</v>
      </c>
      <c r="K82" s="115">
        <f t="shared" si="20"/>
        <v>211.62</v>
      </c>
      <c r="L82" s="115">
        <f t="shared" si="20"/>
        <v>213.91999999999993</v>
      </c>
      <c r="M82" s="115">
        <f t="shared" si="20"/>
        <v>224.31999999999996</v>
      </c>
      <c r="N82" s="115">
        <f t="shared" si="20"/>
        <v>221.73</v>
      </c>
      <c r="O82" s="115">
        <f t="shared" si="20"/>
        <v>195.12</v>
      </c>
      <c r="P82" s="115">
        <f t="shared" si="20"/>
        <v>179.12</v>
      </c>
      <c r="Q82" s="115">
        <f t="shared" si="20"/>
        <v>175.71999999999997</v>
      </c>
      <c r="R82" s="115">
        <f t="shared" si="20"/>
        <v>182.22</v>
      </c>
      <c r="S82" s="115">
        <f t="shared" si="20"/>
        <v>180.52</v>
      </c>
      <c r="T82" s="115">
        <f t="shared" si="20"/>
        <v>194.72</v>
      </c>
      <c r="U82" s="115">
        <f t="shared" si="20"/>
        <v>198.42</v>
      </c>
      <c r="V82" s="115">
        <f t="shared" si="20"/>
        <v>205.61999999999998</v>
      </c>
      <c r="W82" s="115">
        <f t="shared" si="20"/>
        <v>202.52</v>
      </c>
      <c r="X82" s="115">
        <f t="shared" si="20"/>
        <v>215.51999999999995</v>
      </c>
      <c r="Y82" s="115">
        <f t="shared" si="20"/>
        <v>260.12</v>
      </c>
      <c r="Z82" s="115">
        <f>Z11+Z13+Z17+Z34+Z36+Z38+Z40+Z94+Z108+Z110+Z121+Z127+Z130+Z139+Z143+Z144+Z147+Z154+Z159+Z162+Z163+Z164+Z172+Z177+Z83+Z84+Z85+Z86+Z99</f>
        <v>202.32</v>
      </c>
      <c r="AA82" s="115">
        <f>AA11+AA13+AA17+AA34+AA36+AA38+AA40+AA94+AA108+AA110+AA121+AA127+AA130+AA139+AA143+AA144+AA147+AA154+AA159+AA162+AA163+AA164+AA172+AA177+AA83+AA84+AA85+AA86+AA99</f>
        <v>298.21999999999997</v>
      </c>
      <c r="AB82" s="115">
        <f t="shared" si="20"/>
        <v>326.31999999999994</v>
      </c>
      <c r="AC82" s="115">
        <f t="shared" si="20"/>
        <v>330.11999999999995</v>
      </c>
      <c r="AD82" s="115">
        <f t="shared" si="20"/>
        <v>273.71999999999997</v>
      </c>
      <c r="AE82" s="115">
        <f t="shared" si="20"/>
        <v>205.31999999999996</v>
      </c>
      <c r="AF82" s="115">
        <f t="shared" si="20"/>
        <v>201.42</v>
      </c>
      <c r="AG82" s="116"/>
      <c r="AH82" s="52">
        <f>MAX(B82:AF82)</f>
        <v>330.11999999999995</v>
      </c>
      <c r="AI82" s="53">
        <f>MIN(B82:AF82)</f>
        <v>109.01999999999998</v>
      </c>
    </row>
    <row r="83" spans="1:37" x14ac:dyDescent="0.25">
      <c r="A83" s="117" t="s">
        <v>89</v>
      </c>
      <c r="B83" s="119">
        <v>64</v>
      </c>
      <c r="C83" s="118">
        <v>51</v>
      </c>
      <c r="D83" s="118">
        <v>59.7</v>
      </c>
      <c r="E83" s="118">
        <v>57.4</v>
      </c>
      <c r="F83" s="118">
        <v>45.3</v>
      </c>
      <c r="G83" s="118">
        <v>57.8</v>
      </c>
      <c r="H83" s="118">
        <v>64.3</v>
      </c>
      <c r="I83" s="118">
        <v>59.3</v>
      </c>
      <c r="J83" s="118">
        <v>60.6</v>
      </c>
      <c r="K83" s="118">
        <v>66.099999999999994</v>
      </c>
      <c r="L83" s="118">
        <v>74.900000000000006</v>
      </c>
      <c r="M83" s="118">
        <v>66</v>
      </c>
      <c r="N83" s="118">
        <v>63</v>
      </c>
      <c r="O83" s="118">
        <v>74.2</v>
      </c>
      <c r="P83" s="118">
        <v>45.5</v>
      </c>
      <c r="Q83" s="118">
        <v>51.3</v>
      </c>
      <c r="R83" s="118">
        <v>53.5</v>
      </c>
      <c r="S83" s="118">
        <v>41.9</v>
      </c>
      <c r="T83" s="118">
        <v>47.9</v>
      </c>
      <c r="U83" s="118">
        <v>70.7</v>
      </c>
      <c r="V83" s="118">
        <v>69.7</v>
      </c>
      <c r="W83" s="118">
        <v>68.400000000000006</v>
      </c>
      <c r="X83" s="118">
        <v>66.8</v>
      </c>
      <c r="Y83" s="118">
        <v>63.3</v>
      </c>
      <c r="Z83" s="118"/>
      <c r="AA83" s="50">
        <v>58.6</v>
      </c>
      <c r="AB83" s="50">
        <v>71.7</v>
      </c>
      <c r="AC83" s="50">
        <v>73</v>
      </c>
      <c r="AD83" s="50">
        <v>31</v>
      </c>
      <c r="AE83" s="50">
        <v>16.600000000000001</v>
      </c>
      <c r="AF83" s="119">
        <v>15.8</v>
      </c>
      <c r="AG83" s="120">
        <v>75</v>
      </c>
      <c r="AH83" s="52">
        <f>IF(ABS(MAX(B83:AF83))&gt;ABS(MIN(B83:AF83)),MAX(B83:AF83),MIN(B83:AF83))</f>
        <v>74.900000000000006</v>
      </c>
      <c r="AI83" s="121">
        <f>INDEX($B$9:$AF$9,1,MATCH(AH83,B83:AF83,0))</f>
        <v>0.33333333333333331</v>
      </c>
    </row>
    <row r="84" spans="1:37" x14ac:dyDescent="0.25">
      <c r="A84" s="122" t="s">
        <v>90</v>
      </c>
      <c r="B84" s="123">
        <v>-67</v>
      </c>
      <c r="C84" s="83">
        <v>-58</v>
      </c>
      <c r="D84" s="83">
        <v>-67</v>
      </c>
      <c r="E84" s="83">
        <v>-64</v>
      </c>
      <c r="F84" s="83">
        <v>-52</v>
      </c>
      <c r="G84" s="83">
        <v>-58</v>
      </c>
      <c r="H84" s="83">
        <v>-57</v>
      </c>
      <c r="I84" s="83">
        <v>-48</v>
      </c>
      <c r="J84" s="83">
        <v>-42.4</v>
      </c>
      <c r="K84" s="83">
        <v>-40</v>
      </c>
      <c r="L84" s="83">
        <v>-43</v>
      </c>
      <c r="M84" s="83">
        <v>-30</v>
      </c>
      <c r="N84" s="83">
        <v>-26</v>
      </c>
      <c r="O84" s="83">
        <v>-46</v>
      </c>
      <c r="P84" s="83">
        <v>-30</v>
      </c>
      <c r="Q84" s="83">
        <v>-34</v>
      </c>
      <c r="R84" s="83">
        <v>-34</v>
      </c>
      <c r="S84" s="83">
        <v>-24</v>
      </c>
      <c r="T84" s="83">
        <v>-26</v>
      </c>
      <c r="U84" s="83">
        <v>-45</v>
      </c>
      <c r="V84" s="83">
        <v>-40.700000000000003</v>
      </c>
      <c r="W84" s="83">
        <v>-41</v>
      </c>
      <c r="X84" s="83">
        <v>-36</v>
      </c>
      <c r="Y84" s="83">
        <v>-23</v>
      </c>
      <c r="Z84" s="83"/>
      <c r="AA84" s="70">
        <v>19.2</v>
      </c>
      <c r="AB84" s="70">
        <v>37.200000000000003</v>
      </c>
      <c r="AC84" s="70">
        <v>43.7</v>
      </c>
      <c r="AD84" s="70">
        <v>28.1</v>
      </c>
      <c r="AE84" s="70">
        <v>-24</v>
      </c>
      <c r="AF84" s="123">
        <v>-26</v>
      </c>
      <c r="AG84" s="120">
        <v>240</v>
      </c>
      <c r="AH84" s="52">
        <f>IF(ABS(MAX(B84:AF84))&gt;ABS(MIN(B84:AF84)),MAX(B84:AF84),MIN(B84:AF84))</f>
        <v>-67</v>
      </c>
      <c r="AI84" s="121">
        <f>INDEX($B$9:$AF$9,1,MATCH(AH84,B84:AF84,0))</f>
        <v>4.1666666666666664E-2</v>
      </c>
    </row>
    <row r="85" spans="1:37" x14ac:dyDescent="0.25">
      <c r="A85" s="122" t="s">
        <v>91</v>
      </c>
      <c r="B85" s="123">
        <v>-1.7</v>
      </c>
      <c r="C85" s="83">
        <v>0.6</v>
      </c>
      <c r="D85" s="83">
        <v>-0.2</v>
      </c>
      <c r="E85" s="83">
        <v>0</v>
      </c>
      <c r="F85" s="83">
        <v>1.6</v>
      </c>
      <c r="G85" s="83">
        <v>2.7</v>
      </c>
      <c r="H85" s="83">
        <v>4.0999999999999996</v>
      </c>
      <c r="I85" s="83">
        <v>9.1</v>
      </c>
      <c r="J85" s="83">
        <v>9</v>
      </c>
      <c r="K85" s="83">
        <v>10</v>
      </c>
      <c r="L85" s="83">
        <v>9.6999999999999993</v>
      </c>
      <c r="M85" s="83">
        <v>14.2</v>
      </c>
      <c r="N85" s="83">
        <v>13.2</v>
      </c>
      <c r="O85" s="83">
        <v>8.1</v>
      </c>
      <c r="P85" s="83">
        <v>12.5</v>
      </c>
      <c r="Q85" s="83">
        <v>11.7</v>
      </c>
      <c r="R85" s="83">
        <v>11.6</v>
      </c>
      <c r="S85" s="83">
        <v>11.3</v>
      </c>
      <c r="T85" s="83">
        <v>10.7</v>
      </c>
      <c r="U85" s="83">
        <v>8.6999999999999993</v>
      </c>
      <c r="V85" s="83">
        <v>10</v>
      </c>
      <c r="W85" s="83">
        <v>10.8</v>
      </c>
      <c r="X85" s="83">
        <v>12.7</v>
      </c>
      <c r="Y85" s="83">
        <v>15.6</v>
      </c>
      <c r="Z85" s="83"/>
      <c r="AA85" s="70">
        <v>15.5</v>
      </c>
      <c r="AB85" s="70">
        <v>13</v>
      </c>
      <c r="AC85" s="70">
        <v>9.1999999999999993</v>
      </c>
      <c r="AD85" s="70">
        <v>10.3</v>
      </c>
      <c r="AE85" s="70">
        <v>8.5</v>
      </c>
      <c r="AF85" s="123">
        <v>7.2</v>
      </c>
      <c r="AG85" s="120">
        <v>60</v>
      </c>
      <c r="AH85" s="52">
        <f>IF(ABS(MAX(B85:AF85))&gt;ABS(MIN(B85:AF85)),MAX(B85:AF85),MIN(B85:AF85))</f>
        <v>15.6</v>
      </c>
      <c r="AI85" s="121">
        <f>INDEX($B$9:$AF$9,1,MATCH(AH85,B85:AF85,0))</f>
        <v>0.79166666666666663</v>
      </c>
    </row>
    <row r="86" spans="1:37" x14ac:dyDescent="0.25">
      <c r="A86" s="124" t="s">
        <v>92</v>
      </c>
      <c r="B86" s="126">
        <v>-75</v>
      </c>
      <c r="C86" s="85">
        <v>-79.7</v>
      </c>
      <c r="D86" s="85">
        <v>-73.400000000000006</v>
      </c>
      <c r="E86" s="85">
        <v>-81</v>
      </c>
      <c r="F86" s="85">
        <v>-73.2</v>
      </c>
      <c r="G86" s="85">
        <v>-68.599999999999994</v>
      </c>
      <c r="H86" s="85">
        <v>-61.5</v>
      </c>
      <c r="I86" s="85">
        <v>-46.8</v>
      </c>
      <c r="J86" s="85">
        <v>-39.299999999999997</v>
      </c>
      <c r="K86" s="85">
        <v>-26.9</v>
      </c>
      <c r="L86" s="85">
        <v>-29.5</v>
      </c>
      <c r="M86" s="85">
        <v>-24.7</v>
      </c>
      <c r="N86" s="85">
        <v>-32.5</v>
      </c>
      <c r="O86" s="85">
        <v>-41.5</v>
      </c>
      <c r="P86" s="85">
        <v>-51.6</v>
      </c>
      <c r="Q86" s="85">
        <v>-56.1</v>
      </c>
      <c r="R86" s="85">
        <v>-53.1</v>
      </c>
      <c r="S86" s="85">
        <v>-52.2</v>
      </c>
      <c r="T86" s="85">
        <v>-42.6</v>
      </c>
      <c r="U86" s="85">
        <v>-38.700000000000003</v>
      </c>
      <c r="V86" s="85">
        <v>-39</v>
      </c>
      <c r="W86" s="85">
        <v>-39.299999999999997</v>
      </c>
      <c r="X86" s="85">
        <v>-31</v>
      </c>
      <c r="Y86" s="85">
        <v>0</v>
      </c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-81</v>
      </c>
      <c r="AI86" s="121">
        <f>INDEX($B$9:$AF$9,1,MATCH(AH86,B86:AF86,0))</f>
        <v>0.16666666666666699</v>
      </c>
    </row>
    <row r="87" spans="1:37" ht="15.75" thickBot="1" x14ac:dyDescent="0.3">
      <c r="A87" s="124" t="s">
        <v>93</v>
      </c>
      <c r="B87" s="126">
        <v>-30</v>
      </c>
      <c r="C87" s="85">
        <v>-28</v>
      </c>
      <c r="D87" s="85">
        <v>-18.2</v>
      </c>
      <c r="E87" s="85">
        <v>-15.1</v>
      </c>
      <c r="F87" s="85">
        <v>-3.5</v>
      </c>
      <c r="G87" s="85">
        <v>-15.8</v>
      </c>
      <c r="H87" s="85">
        <v>-22.6</v>
      </c>
      <c r="I87" s="85">
        <v>-7.2</v>
      </c>
      <c r="J87" s="85">
        <v>-3</v>
      </c>
      <c r="K87" s="85">
        <v>1.2</v>
      </c>
      <c r="L87" s="85">
        <v>-5.4</v>
      </c>
      <c r="M87" s="85">
        <v>15.8</v>
      </c>
      <c r="N87" s="85">
        <v>22.5</v>
      </c>
      <c r="O87" s="85">
        <v>2.5</v>
      </c>
      <c r="P87" s="85">
        <v>18.899999999999999</v>
      </c>
      <c r="Q87" s="85">
        <v>21.4</v>
      </c>
      <c r="R87" s="85">
        <v>15.9</v>
      </c>
      <c r="S87" s="85">
        <v>32.6</v>
      </c>
      <c r="T87" s="85">
        <v>29.2</v>
      </c>
      <c r="U87" s="85">
        <v>0</v>
      </c>
      <c r="V87" s="85">
        <v>2.8</v>
      </c>
      <c r="W87" s="85">
        <v>4.2</v>
      </c>
      <c r="X87" s="85">
        <v>11.1</v>
      </c>
      <c r="Y87" s="85">
        <v>24.4</v>
      </c>
      <c r="Z87" s="85"/>
      <c r="AA87" s="125"/>
      <c r="AB87" s="125"/>
      <c r="AC87" s="125"/>
      <c r="AD87" s="125"/>
      <c r="AE87" s="125"/>
      <c r="AF87" s="126"/>
      <c r="AG87" s="127"/>
      <c r="AH87" s="52">
        <f>IF(ABS(MAX(B87:AF87))&gt;ABS(MIN(B87:AF87)),MAX(B87:AF87),MIN(B87:AF87))</f>
        <v>32.6</v>
      </c>
      <c r="AI87" s="121">
        <f>INDEX($B$9:$AF$9,1,MATCH(AH87,B87:AF87,0))</f>
        <v>0.625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971.44</v>
      </c>
      <c r="C188" s="164">
        <f>INDEX(F9:M9,1,MATCH(MAX(F65:M65),F65:M65,0))</f>
        <v>0.33333333333333331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13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13)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13)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923.7399999999999</v>
      </c>
      <c r="U193" s="173">
        <f t="shared" si="37"/>
        <v>891.24</v>
      </c>
      <c r="V193" s="173">
        <f t="shared" si="37"/>
        <v>866.64</v>
      </c>
      <c r="W193" s="173">
        <f t="shared" si="37"/>
        <v>842.64</v>
      </c>
      <c r="X193" s="173">
        <f t="shared" si="37"/>
        <v>840.75</v>
      </c>
      <c r="Y193" s="173">
        <f t="shared" si="37"/>
        <v>849.32999999999993</v>
      </c>
      <c r="Z193" s="173">
        <f t="shared" si="37"/>
        <v>836.54</v>
      </c>
      <c r="AA193" s="173">
        <f t="shared" si="37"/>
        <v>858.27</v>
      </c>
      <c r="AB193" s="173">
        <f t="shared" si="37"/>
        <v>875.24</v>
      </c>
      <c r="AC193" s="173">
        <f t="shared" si="37"/>
        <v>931.44</v>
      </c>
      <c r="AD193" s="173">
        <f t="shared" si="37"/>
        <v>971.44</v>
      </c>
      <c r="AE193" s="173">
        <f t="shared" si="37"/>
        <v>950.44</v>
      </c>
      <c r="AF193" s="173">
        <f t="shared" si="37"/>
        <v>913.07</v>
      </c>
      <c r="AG193" s="173">
        <f t="shared" si="37"/>
        <v>872.24</v>
      </c>
      <c r="AH193" s="173">
        <f t="shared" si="37"/>
        <v>838.1400000000001</v>
      </c>
      <c r="AI193" s="173">
        <f t="shared" si="37"/>
        <v>850.24</v>
      </c>
      <c r="AJ193" s="173">
        <f t="shared" si="37"/>
        <v>817.64</v>
      </c>
      <c r="AK193" s="173">
        <f t="shared" si="37"/>
        <v>832.26</v>
      </c>
      <c r="AL193" s="173">
        <f t="shared" si="37"/>
        <v>861.9</v>
      </c>
      <c r="AM193" s="173">
        <f t="shared" si="37"/>
        <v>869.34999999999991</v>
      </c>
      <c r="AN193" s="173">
        <f t="shared" si="37"/>
        <v>894.29000000000008</v>
      </c>
      <c r="AO193" s="173">
        <f t="shared" si="37"/>
        <v>891.84</v>
      </c>
      <c r="AP193" s="173">
        <f t="shared" si="37"/>
        <v>960.7</v>
      </c>
      <c r="AQ193" s="173">
        <f t="shared" si="37"/>
        <v>1020.04</v>
      </c>
      <c r="AR193" s="173">
        <f t="shared" si="37"/>
        <v>1069.03</v>
      </c>
      <c r="AS193" s="173">
        <f t="shared" si="37"/>
        <v>1005.5799999999999</v>
      </c>
      <c r="AT193" s="173">
        <f t="shared" si="37"/>
        <v>948.31</v>
      </c>
      <c r="AU193" s="173">
        <f t="shared" si="37"/>
        <v>892.51</v>
      </c>
      <c r="AV193" s="173">
        <f t="shared" si="37"/>
        <v>741.38</v>
      </c>
      <c r="AW193" s="173">
        <f t="shared" si="37"/>
        <v>735.25</v>
      </c>
      <c r="AX193" s="173">
        <f t="shared" si="37"/>
        <v>699.29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733" priority="306">
      <formula>S$9&gt;=20/24</formula>
    </cfRule>
    <cfRule type="expression" dxfId="3732" priority="307">
      <formula>AND(S$9&gt;=14/24,S$9&lt;20/24)</formula>
    </cfRule>
    <cfRule type="expression" dxfId="3731" priority="308">
      <formula>AND(S$9&gt;=8/24,S$9&lt;14/24)</formula>
    </cfRule>
    <cfRule type="expression" dxfId="3730" priority="309">
      <formula>S$9&lt;8/24</formula>
    </cfRule>
  </conditionalFormatting>
  <conditionalFormatting sqref="B8:AF10 AA70:AF70 C70:Q70 M32:Z33 M31:Q31 C47:AF47 C71:AF71 C72:Q72 C173:AF179 L29:Q29 L49:T49 V35:W35 S34:W34 X34:Z35 D73:Z79 R11:T11 C48:K52 O34:Q38 M36:N38 M34:N34 S53:S58 AA72:AF79 C59:AF69 P39:Q39 L50:Q58 S50:T50 U11:Z12 AA48:AF50 X53:AF58 L44:AF46">
    <cfRule type="expression" dxfId="3729" priority="302">
      <formula>B$9&gt;=20/24</formula>
    </cfRule>
    <cfRule type="expression" dxfId="3728" priority="303">
      <formula>AND(B$9&gt;=14/24,B$9&lt;20/24)</formula>
    </cfRule>
    <cfRule type="expression" dxfId="3727" priority="304">
      <formula>AND(B$9&gt;=8/24,B$9&lt;14/24)</formula>
    </cfRule>
    <cfRule type="expression" dxfId="3726" priority="305">
      <formula>B$9&lt;8/24</formula>
    </cfRule>
  </conditionalFormatting>
  <conditionalFormatting sqref="B171:AF171">
    <cfRule type="expression" dxfId="3725" priority="298">
      <formula>B$9&gt;=20/24</formula>
    </cfRule>
    <cfRule type="expression" dxfId="3724" priority="299">
      <formula>AND(B$9&gt;=14/24,B$9&lt;20/24)</formula>
    </cfRule>
    <cfRule type="expression" dxfId="3723" priority="300">
      <formula>AND(B$9&gt;=8/24,B$9&lt;14/24)</formula>
    </cfRule>
    <cfRule type="expression" dxfId="3722" priority="301">
      <formula>B$9&lt;8/24</formula>
    </cfRule>
  </conditionalFormatting>
  <conditionalFormatting sqref="AL4:AL6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721" priority="293">
      <formula>L$9&gt;=20/24</formula>
    </cfRule>
    <cfRule type="expression" dxfId="3720" priority="294">
      <formula>AND(L$9&gt;=14/24,L$9&lt;20/24)</formula>
    </cfRule>
    <cfRule type="expression" dxfId="3719" priority="295">
      <formula>AND(L$9&gt;=8/24,L$9&lt;14/24)</formula>
    </cfRule>
    <cfRule type="expression" dxfId="3718" priority="296">
      <formula>L$9&lt;8/24</formula>
    </cfRule>
  </conditionalFormatting>
  <conditionalFormatting sqref="M35:N35">
    <cfRule type="expression" dxfId="3717" priority="289">
      <formula>M$9&gt;=20/24</formula>
    </cfRule>
    <cfRule type="expression" dxfId="3716" priority="290">
      <formula>AND(M$9&gt;=14/24,M$9&lt;20/24)</formula>
    </cfRule>
    <cfRule type="expression" dxfId="3715" priority="291">
      <formula>AND(M$9&gt;=8/24,M$9&lt;14/24)</formula>
    </cfRule>
    <cfRule type="expression" dxfId="3714" priority="292">
      <formula>M$9&lt;8/24</formula>
    </cfRule>
  </conditionalFormatting>
  <conditionalFormatting sqref="U13:Z13">
    <cfRule type="expression" dxfId="3713" priority="285">
      <formula>U$9&gt;=20/24</formula>
    </cfRule>
    <cfRule type="expression" dxfId="3712" priority="286">
      <formula>AND(U$9&gt;=14/24,U$9&lt;20/24)</formula>
    </cfRule>
    <cfRule type="expression" dxfId="3711" priority="287">
      <formula>AND(U$9&gt;=8/24,U$9&lt;14/24)</formula>
    </cfRule>
    <cfRule type="expression" dxfId="3710" priority="288">
      <formula>U$9&lt;8/24</formula>
    </cfRule>
  </conditionalFormatting>
  <conditionalFormatting sqref="R31:Z31">
    <cfRule type="expression" dxfId="3709" priority="281">
      <formula>R$9&gt;=20/24</formula>
    </cfRule>
    <cfRule type="expression" dxfId="3708" priority="282">
      <formula>AND(R$9&gt;=14/24,R$9&lt;20/24)</formula>
    </cfRule>
    <cfRule type="expression" dxfId="3707" priority="283">
      <formula>AND(R$9&gt;=8/24,R$9&lt;14/24)</formula>
    </cfRule>
    <cfRule type="expression" dxfId="3706" priority="284">
      <formula>R$9&lt;8/24</formula>
    </cfRule>
  </conditionalFormatting>
  <conditionalFormatting sqref="R48:Z48">
    <cfRule type="expression" dxfId="3705" priority="277">
      <formula>R$9&gt;=20/24</formula>
    </cfRule>
    <cfRule type="expression" dxfId="3704" priority="278">
      <formula>AND(R$9&gt;=14/24,R$9&lt;20/24)</formula>
    </cfRule>
    <cfRule type="expression" dxfId="3703" priority="279">
      <formula>AND(R$9&gt;=8/24,R$9&lt;14/24)</formula>
    </cfRule>
    <cfRule type="expression" dxfId="3702" priority="280">
      <formula>R$9&lt;8/24</formula>
    </cfRule>
  </conditionalFormatting>
  <conditionalFormatting sqref="R70:Z70">
    <cfRule type="expression" dxfId="3701" priority="273">
      <formula>R$9&gt;=20/24</formula>
    </cfRule>
    <cfRule type="expression" dxfId="3700" priority="274">
      <formula>AND(R$9&gt;=14/24,R$9&lt;20/24)</formula>
    </cfRule>
    <cfRule type="expression" dxfId="3699" priority="275">
      <formula>AND(R$9&gt;=8/24,R$9&lt;14/24)</formula>
    </cfRule>
    <cfRule type="expression" dxfId="3698" priority="276">
      <formula>R$9&lt;8/24</formula>
    </cfRule>
  </conditionalFormatting>
  <conditionalFormatting sqref="R72:Z72">
    <cfRule type="expression" dxfId="3697" priority="269">
      <formula>R$9&gt;=20/24</formula>
    </cfRule>
    <cfRule type="expression" dxfId="3696" priority="270">
      <formula>AND(R$9&gt;=14/24,R$9&lt;20/24)</formula>
    </cfRule>
    <cfRule type="expression" dxfId="3695" priority="271">
      <formula>AND(R$9&gt;=8/24,R$9&lt;14/24)</formula>
    </cfRule>
    <cfRule type="expression" dxfId="3694" priority="272">
      <formula>R$9&lt;8/24</formula>
    </cfRule>
  </conditionalFormatting>
  <conditionalFormatting sqref="L24:Q24 L11:Q19 M17:R17 N19:R19">
    <cfRule type="expression" dxfId="3693" priority="265">
      <formula>L$9&gt;=20/24</formula>
    </cfRule>
    <cfRule type="expression" dxfId="3692" priority="266">
      <formula>AND(L$9&gt;=14/24,L$9&lt;20/24)</formula>
    </cfRule>
    <cfRule type="expression" dxfId="3691" priority="267">
      <formula>AND(L$9&gt;=8/24,L$9&lt;14/24)</formula>
    </cfRule>
    <cfRule type="expression" dxfId="3690" priority="268">
      <formula>L$9&lt;8/24</formula>
    </cfRule>
  </conditionalFormatting>
  <conditionalFormatting sqref="L40:Q40">
    <cfRule type="expression" dxfId="3689" priority="261">
      <formula>L$9&gt;=20/24</formula>
    </cfRule>
    <cfRule type="expression" dxfId="3688" priority="262">
      <formula>AND(L$9&gt;=14/24,L$9&lt;20/24)</formula>
    </cfRule>
    <cfRule type="expression" dxfId="3687" priority="263">
      <formula>AND(L$9&gt;=8/24,L$9&lt;14/24)</formula>
    </cfRule>
    <cfRule type="expression" dxfId="3686" priority="264">
      <formula>L$9&lt;8/24</formula>
    </cfRule>
  </conditionalFormatting>
  <conditionalFormatting sqref="R29:AD29">
    <cfRule type="expression" dxfId="3685" priority="257">
      <formula>R$9&gt;=20/24</formula>
    </cfRule>
    <cfRule type="expression" dxfId="3684" priority="258">
      <formula>AND(R$9&gt;=14/24,R$9&lt;20/24)</formula>
    </cfRule>
    <cfRule type="expression" dxfId="3683" priority="259">
      <formula>AND(R$9&gt;=8/24,R$9&lt;14/24)</formula>
    </cfRule>
    <cfRule type="expression" dxfId="3682" priority="260">
      <formula>R$9&lt;8/24</formula>
    </cfRule>
  </conditionalFormatting>
  <conditionalFormatting sqref="R12:T19 AA14:AF14 U14:Z19 AA16:AF19">
    <cfRule type="expression" dxfId="3681" priority="253">
      <formula>R$9&gt;=20/24</formula>
    </cfRule>
    <cfRule type="expression" dxfId="3680" priority="254">
      <formula>AND(R$9&gt;=14/24,R$9&lt;20/24)</formula>
    </cfRule>
    <cfRule type="expression" dxfId="3679" priority="255">
      <formula>AND(R$9&gt;=8/24,R$9&lt;14/24)</formula>
    </cfRule>
    <cfRule type="expression" dxfId="3678" priority="256">
      <formula>R$9&lt;8/24</formula>
    </cfRule>
  </conditionalFormatting>
  <conditionalFormatting sqref="R34:R39 S35:U39 V36:Z39 AA38:AF39">
    <cfRule type="expression" dxfId="3677" priority="249">
      <formula>R$9&gt;=20/24</formula>
    </cfRule>
    <cfRule type="expression" dxfId="3676" priority="250">
      <formula>AND(R$9&gt;=14/24,R$9&lt;20/24)</formula>
    </cfRule>
    <cfRule type="expression" dxfId="3675" priority="251">
      <formula>AND(R$9&gt;=8/24,R$9&lt;14/24)</formula>
    </cfRule>
    <cfRule type="expression" dxfId="3674" priority="252">
      <formula>R$9&lt;8/24</formula>
    </cfRule>
  </conditionalFormatting>
  <conditionalFormatting sqref="R40:AF40">
    <cfRule type="expression" dxfId="3673" priority="245">
      <formula>R$9&gt;=20/24</formula>
    </cfRule>
    <cfRule type="expression" dxfId="3672" priority="246">
      <formula>AND(R$9&gt;=14/24,R$9&lt;20/24)</formula>
    </cfRule>
    <cfRule type="expression" dxfId="3671" priority="247">
      <formula>AND(R$9&gt;=8/24,R$9&lt;14/24)</formula>
    </cfRule>
    <cfRule type="expression" dxfId="3670" priority="248">
      <formula>R$9&lt;8/24</formula>
    </cfRule>
  </conditionalFormatting>
  <conditionalFormatting sqref="S51:S52 X51:AF52">
    <cfRule type="expression" dxfId="3669" priority="241">
      <formula>S$9&gt;=20/24</formula>
    </cfRule>
    <cfRule type="expression" dxfId="3668" priority="242">
      <formula>AND(S$9&gt;=14/24,S$9&lt;20/24)</formula>
    </cfRule>
    <cfRule type="expression" dxfId="3667" priority="243">
      <formula>AND(S$9&gt;=8/24,S$9&lt;14/24)</formula>
    </cfRule>
    <cfRule type="expression" dxfId="3666" priority="244">
      <formula>S$9&lt;8/24</formula>
    </cfRule>
  </conditionalFormatting>
  <conditionalFormatting sqref="AA83:AF86">
    <cfRule type="expression" dxfId="3665" priority="237">
      <formula>AA$9&gt;=20/24</formula>
    </cfRule>
    <cfRule type="expression" dxfId="3664" priority="238">
      <formula>AND(AA$9&gt;=14/24,AA$9&lt;20/24)</formula>
    </cfRule>
    <cfRule type="expression" dxfId="3663" priority="239">
      <formula>AND(AA$9&gt;=8/24,AA$9&lt;14/24)</formula>
    </cfRule>
    <cfRule type="expression" dxfId="3662" priority="240">
      <formula>AA$9&lt;8/24</formula>
    </cfRule>
  </conditionalFormatting>
  <conditionalFormatting sqref="C53:K58">
    <cfRule type="expression" dxfId="3661" priority="233">
      <formula>C$9&gt;=20/24</formula>
    </cfRule>
    <cfRule type="expression" dxfId="3660" priority="234">
      <formula>AND(C$9&gt;=14/24,C$9&lt;20/24)</formula>
    </cfRule>
    <cfRule type="expression" dxfId="3659" priority="235">
      <formula>AND(C$9&gt;=8/24,C$9&lt;14/24)</formula>
    </cfRule>
    <cfRule type="expression" dxfId="3658" priority="236">
      <formula>C$9&lt;8/24</formula>
    </cfRule>
  </conditionalFormatting>
  <conditionalFormatting sqref="C83:K86">
    <cfRule type="expression" dxfId="3657" priority="229">
      <formula>C$9&gt;=20/24</formula>
    </cfRule>
    <cfRule type="expression" dxfId="3656" priority="230">
      <formula>AND(C$9&gt;=14/24,C$9&lt;20/24)</formula>
    </cfRule>
    <cfRule type="expression" dxfId="3655" priority="231">
      <formula>AND(C$9&gt;=8/24,C$9&lt;14/24)</formula>
    </cfRule>
    <cfRule type="expression" dxfId="3654" priority="232">
      <formula>C$9&lt;8/24</formula>
    </cfRule>
  </conditionalFormatting>
  <conditionalFormatting sqref="L83:Q86">
    <cfRule type="expression" dxfId="3653" priority="225">
      <formula>L$9&gt;=20/24</formula>
    </cfRule>
    <cfRule type="expression" dxfId="3652" priority="226">
      <formula>AND(L$9&gt;=14/24,L$9&lt;20/24)</formula>
    </cfRule>
    <cfRule type="expression" dxfId="3651" priority="227">
      <formula>AND(L$9&gt;=8/24,L$9&lt;14/24)</formula>
    </cfRule>
    <cfRule type="expression" dxfId="3650" priority="228">
      <formula>L$9&lt;8/24</formula>
    </cfRule>
  </conditionalFormatting>
  <conditionalFormatting sqref="R83:Z86">
    <cfRule type="expression" dxfId="3649" priority="221">
      <formula>R$9&gt;=20/24</formula>
    </cfRule>
    <cfRule type="expression" dxfId="3648" priority="222">
      <formula>AND(R$9&gt;=14/24,R$9&lt;20/24)</formula>
    </cfRule>
    <cfRule type="expression" dxfId="3647" priority="223">
      <formula>AND(R$9&gt;=8/24,R$9&lt;14/24)</formula>
    </cfRule>
    <cfRule type="expression" dxfId="3646" priority="224">
      <formula>R$9&lt;8/24</formula>
    </cfRule>
  </conditionalFormatting>
  <conditionalFormatting sqref="AG42 C30:AF30 D34:K36 D29:AF29 C31:K33 L40:Q40 P39:Q39 R39:U40 L14:U14 C42:AF43 C47:AF47 AA28:AF28 D24:Q24 D15:U16 E11:U13 B17:U18 D19:U19 M36:U38 V11:AF19 V36:AF40 M34:AF35 M31:AF31 M32:AA33 AC32:AF33 D44:AF46">
    <cfRule type="expression" dxfId="3645" priority="220">
      <formula>B11&gt;$AG11</formula>
    </cfRule>
  </conditionalFormatting>
  <conditionalFormatting sqref="T192:AX192">
    <cfRule type="expression" dxfId="3644" priority="216">
      <formula>T$9&gt;=20/24</formula>
    </cfRule>
    <cfRule type="expression" dxfId="3643" priority="217">
      <formula>AND(T$9&gt;=14/24,T$9&lt;20/24)</formula>
    </cfRule>
    <cfRule type="expression" dxfId="3642" priority="218">
      <formula>AND(T$9&gt;=8/24,T$9&lt;14/24)</formula>
    </cfRule>
    <cfRule type="expression" dxfId="3641" priority="219">
      <formula>T$9&lt;8/24</formula>
    </cfRule>
  </conditionalFormatting>
  <conditionalFormatting sqref="A11:A86 A88:A180">
    <cfRule type="expression" dxfId="3640" priority="215">
      <formula>$AH11=0</formula>
    </cfRule>
  </conditionalFormatting>
  <conditionalFormatting sqref="AA87:AF87">
    <cfRule type="expression" dxfId="3639" priority="211">
      <formula>AA$9&gt;=20/24</formula>
    </cfRule>
    <cfRule type="expression" dxfId="3638" priority="212">
      <formula>AND(AA$9&gt;=14/24,AA$9&lt;20/24)</formula>
    </cfRule>
    <cfRule type="expression" dxfId="3637" priority="213">
      <formula>AND(AA$9&gt;=8/24,AA$9&lt;14/24)</formula>
    </cfRule>
    <cfRule type="expression" dxfId="3636" priority="214">
      <formula>AA$9&lt;8/24</formula>
    </cfRule>
  </conditionalFormatting>
  <conditionalFormatting sqref="C87:K87">
    <cfRule type="expression" dxfId="3635" priority="207">
      <formula>C$9&gt;=20/24</formula>
    </cfRule>
    <cfRule type="expression" dxfId="3634" priority="208">
      <formula>AND(C$9&gt;=14/24,C$9&lt;20/24)</formula>
    </cfRule>
    <cfRule type="expression" dxfId="3633" priority="209">
      <formula>AND(C$9&gt;=8/24,C$9&lt;14/24)</formula>
    </cfRule>
    <cfRule type="expression" dxfId="3632" priority="210">
      <formula>C$9&lt;8/24</formula>
    </cfRule>
  </conditionalFormatting>
  <conditionalFormatting sqref="L87:Q87">
    <cfRule type="expression" dxfId="3631" priority="203">
      <formula>L$9&gt;=20/24</formula>
    </cfRule>
    <cfRule type="expression" dxfId="3630" priority="204">
      <formula>AND(L$9&gt;=14/24,L$9&lt;20/24)</formula>
    </cfRule>
    <cfRule type="expression" dxfId="3629" priority="205">
      <formula>AND(L$9&gt;=8/24,L$9&lt;14/24)</formula>
    </cfRule>
    <cfRule type="expression" dxfId="3628" priority="206">
      <formula>L$9&lt;8/24</formula>
    </cfRule>
  </conditionalFormatting>
  <conditionalFormatting sqref="R87:Z87">
    <cfRule type="expression" dxfId="3627" priority="199">
      <formula>R$9&gt;=20/24</formula>
    </cfRule>
    <cfRule type="expression" dxfId="3626" priority="200">
      <formula>AND(R$9&gt;=14/24,R$9&lt;20/24)</formula>
    </cfRule>
    <cfRule type="expression" dxfId="3625" priority="201">
      <formula>AND(R$9&gt;=8/24,R$9&lt;14/24)</formula>
    </cfRule>
    <cfRule type="expression" dxfId="3624" priority="202">
      <formula>R$9&lt;8/24</formula>
    </cfRule>
  </conditionalFormatting>
  <conditionalFormatting sqref="A87">
    <cfRule type="expression" dxfId="3623" priority="198">
      <formula>$AH87=0</formula>
    </cfRule>
  </conditionalFormatting>
  <conditionalFormatting sqref="AA28:AF28">
    <cfRule type="expression" dxfId="3622" priority="194">
      <formula>AA$9&gt;=20/24</formula>
    </cfRule>
    <cfRule type="expression" dxfId="3621" priority="195">
      <formula>AND(AA$9&gt;=14/24,AA$9&lt;20/24)</formula>
    </cfRule>
    <cfRule type="expression" dxfId="3620" priority="196">
      <formula>AND(AA$9&gt;=8/24,AA$9&lt;14/24)</formula>
    </cfRule>
    <cfRule type="expression" dxfId="3619" priority="197">
      <formula>AA$9&lt;8/24</formula>
    </cfRule>
  </conditionalFormatting>
  <conditionalFormatting sqref="AA28">
    <cfRule type="expression" dxfId="3618" priority="190">
      <formula>AA$9&gt;=20/24</formula>
    </cfRule>
    <cfRule type="expression" dxfId="3617" priority="191">
      <formula>AND(AA$9&gt;=14/24,AA$9&lt;20/24)</formula>
    </cfRule>
    <cfRule type="expression" dxfId="3616" priority="192">
      <formula>AND(AA$9&gt;=8/24,AA$9&lt;14/24)</formula>
    </cfRule>
    <cfRule type="expression" dxfId="3615" priority="193">
      <formula>AA$9&lt;8/24</formula>
    </cfRule>
  </conditionalFormatting>
  <conditionalFormatting sqref="B59:B79 B44:B51 C44:C46 C73:C79">
    <cfRule type="expression" dxfId="3614" priority="186">
      <formula>B$9&gt;=20/24</formula>
    </cfRule>
    <cfRule type="expression" dxfId="3613" priority="187">
      <formula>AND(B$9&gt;=14/24,B$9&lt;20/24)</formula>
    </cfRule>
    <cfRule type="expression" dxfId="3612" priority="188">
      <formula>AND(B$9&gt;=8/24,B$9&lt;14/24)</formula>
    </cfRule>
    <cfRule type="expression" dxfId="3611" priority="189">
      <formula>B$9&lt;8/24</formula>
    </cfRule>
  </conditionalFormatting>
  <conditionalFormatting sqref="B25:Q27 B20:Q23 AA20:AF20">
    <cfRule type="expression" dxfId="3610" priority="182">
      <formula>B$9&gt;=20/24</formula>
    </cfRule>
    <cfRule type="expression" dxfId="3609" priority="183">
      <formula>AND(B$9&gt;=14/24,B$9&lt;20/24)</formula>
    </cfRule>
    <cfRule type="expression" dxfId="3608" priority="184">
      <formula>AND(B$9&gt;=8/24,B$9&lt;14/24)</formula>
    </cfRule>
    <cfRule type="expression" dxfId="3607" priority="185">
      <formula>B$9&lt;8/24</formula>
    </cfRule>
  </conditionalFormatting>
  <conditionalFormatting sqref="B16:C16 B19:C27 D25:Q27 D20:Q23 AA20:AF20">
    <cfRule type="expression" dxfId="3606" priority="178">
      <formula>B$9&gt;=20/24</formula>
    </cfRule>
    <cfRule type="expression" dxfId="3605" priority="179">
      <formula>AND(B$9&gt;=14/24,B$9&lt;20/24)</formula>
    </cfRule>
    <cfRule type="expression" dxfId="3604" priority="180">
      <formula>AND(B$9&gt;=8/24,B$9&lt;14/24)</formula>
    </cfRule>
    <cfRule type="expression" dxfId="3603" priority="181">
      <formula>B$9&lt;8/24</formula>
    </cfRule>
  </conditionalFormatting>
  <conditionalFormatting sqref="B52">
    <cfRule type="expression" dxfId="3602" priority="174">
      <formula>B$9&gt;=20/24</formula>
    </cfRule>
    <cfRule type="expression" dxfId="3601" priority="175">
      <formula>AND(B$9&gt;=14/24,B$9&lt;20/24)</formula>
    </cfRule>
    <cfRule type="expression" dxfId="3600" priority="176">
      <formula>AND(B$9&gt;=8/24,B$9&lt;14/24)</formula>
    </cfRule>
    <cfRule type="expression" dxfId="3599" priority="177">
      <formula>B$9&lt;8/24</formula>
    </cfRule>
  </conditionalFormatting>
  <conditionalFormatting sqref="B83:B86">
    <cfRule type="expression" dxfId="3598" priority="170">
      <formula>B$9&gt;=20/24</formula>
    </cfRule>
    <cfRule type="expression" dxfId="3597" priority="171">
      <formula>AND(B$9&gt;=14/24,B$9&lt;20/24)</formula>
    </cfRule>
    <cfRule type="expression" dxfId="3596" priority="172">
      <formula>AND(B$9&gt;=8/24,B$9&lt;14/24)</formula>
    </cfRule>
    <cfRule type="expression" dxfId="3595" priority="173">
      <formula>B$9&lt;8/24</formula>
    </cfRule>
  </conditionalFormatting>
  <conditionalFormatting sqref="C34:C37 D37:K37 C44:C46 C29 B11:D13 C19:C27 B19:B47 C38:K41 C28:Q28 B15:C16 B14:K14 D25:Q27 D20:Q23 AA20:AF20">
    <cfRule type="expression" dxfId="3594" priority="169">
      <formula>B11&gt;$AG11</formula>
    </cfRule>
  </conditionalFormatting>
  <conditionalFormatting sqref="B87">
    <cfRule type="expression" dxfId="3593" priority="165">
      <formula>B$9&gt;=20/24</formula>
    </cfRule>
    <cfRule type="expression" dxfId="3592" priority="166">
      <formula>AND(B$9&gt;=14/24,B$9&lt;20/24)</formula>
    </cfRule>
    <cfRule type="expression" dxfId="3591" priority="167">
      <formula>AND(B$9&gt;=8/24,B$9&lt;14/24)</formula>
    </cfRule>
    <cfRule type="expression" dxfId="3590" priority="168">
      <formula>B$9&lt;8/24</formula>
    </cfRule>
  </conditionalFormatting>
  <conditionalFormatting sqref="B28:Q28">
    <cfRule type="expression" dxfId="3589" priority="161">
      <formula>B$9&gt;=20/24</formula>
    </cfRule>
    <cfRule type="expression" dxfId="3588" priority="162">
      <formula>AND(B$9&gt;=14/24,B$9&lt;20/24)</formula>
    </cfRule>
    <cfRule type="expression" dxfId="3587" priority="163">
      <formula>AND(B$9&gt;=8/24,B$9&lt;14/24)</formula>
    </cfRule>
    <cfRule type="expression" dxfId="3586" priority="164">
      <formula>B$9&lt;8/24</formula>
    </cfRule>
  </conditionalFormatting>
  <conditionalFormatting sqref="B53:B58">
    <cfRule type="expression" dxfId="3585" priority="157">
      <formula>B$9&gt;=20/24</formula>
    </cfRule>
    <cfRule type="expression" dxfId="3584" priority="158">
      <formula>AND(B$9&gt;=14/24,B$9&lt;20/24)</formula>
    </cfRule>
    <cfRule type="expression" dxfId="3583" priority="159">
      <formula>AND(B$9&gt;=8/24,B$9&lt;14/24)</formula>
    </cfRule>
    <cfRule type="expression" dxfId="3582" priority="160">
      <formula>B$9&lt;8/24</formula>
    </cfRule>
  </conditionalFormatting>
  <conditionalFormatting sqref="L36:L39 L31:L34 M39:O39">
    <cfRule type="expression" dxfId="3581" priority="153">
      <formula>L$9&gt;=20/24</formula>
    </cfRule>
    <cfRule type="expression" dxfId="3580" priority="154">
      <formula>AND(L$9&gt;=14/24,L$9&lt;20/24)</formula>
    </cfRule>
    <cfRule type="expression" dxfId="3579" priority="155">
      <formula>AND(L$9&gt;=8/24,L$9&lt;14/24)</formula>
    </cfRule>
    <cfRule type="expression" dxfId="3578" priority="156">
      <formula>L$9&lt;8/24</formula>
    </cfRule>
  </conditionalFormatting>
  <conditionalFormatting sqref="L35">
    <cfRule type="expression" dxfId="3577" priority="149">
      <formula>L$9&gt;=20/24</formula>
    </cfRule>
    <cfRule type="expression" dxfId="3576" priority="150">
      <formula>AND(L$9&gt;=14/24,L$9&lt;20/24)</formula>
    </cfRule>
    <cfRule type="expression" dxfId="3575" priority="151">
      <formula>AND(L$9&gt;=8/24,L$9&lt;14/24)</formula>
    </cfRule>
    <cfRule type="expression" dxfId="3574" priority="152">
      <formula>L$9&lt;8/24</formula>
    </cfRule>
  </conditionalFormatting>
  <conditionalFormatting sqref="L41:AF41">
    <cfRule type="expression" dxfId="3573" priority="145">
      <formula>L$9&gt;=20/24</formula>
    </cfRule>
    <cfRule type="expression" dxfId="3572" priority="146">
      <formula>AND(L$9&gt;=14/24,L$9&lt;20/24)</formula>
    </cfRule>
    <cfRule type="expression" dxfId="3571" priority="147">
      <formula>AND(L$9&gt;=8/24,L$9&lt;14/24)</formula>
    </cfRule>
    <cfRule type="expression" dxfId="3570" priority="148">
      <formula>L$9&lt;8/24</formula>
    </cfRule>
  </conditionalFormatting>
  <conditionalFormatting sqref="L31:L39 M39:O39 L41:AF41">
    <cfRule type="expression" dxfId="3569" priority="144">
      <formula>L31&gt;$AG31</formula>
    </cfRule>
  </conditionalFormatting>
  <conditionalFormatting sqref="R24">
    <cfRule type="expression" dxfId="3568" priority="140">
      <formula>R$9&gt;=20/24</formula>
    </cfRule>
    <cfRule type="expression" dxfId="3567" priority="141">
      <formula>AND(R$9&gt;=14/24,R$9&lt;20/24)</formula>
    </cfRule>
    <cfRule type="expression" dxfId="3566" priority="142">
      <formula>AND(R$9&gt;=8/24,R$9&lt;14/24)</formula>
    </cfRule>
    <cfRule type="expression" dxfId="3565" priority="143">
      <formula>R$9&lt;8/24</formula>
    </cfRule>
  </conditionalFormatting>
  <conditionalFormatting sqref="R24">
    <cfRule type="expression" dxfId="3564" priority="139">
      <formula>R24&gt;$AG24</formula>
    </cfRule>
  </conditionalFormatting>
  <conditionalFormatting sqref="R25:R27 R20:R23">
    <cfRule type="expression" dxfId="3563" priority="135">
      <formula>R$9&gt;=20/24</formula>
    </cfRule>
    <cfRule type="expression" dxfId="3562" priority="136">
      <formula>AND(R$9&gt;=14/24,R$9&lt;20/24)</formula>
    </cfRule>
    <cfRule type="expression" dxfId="3561" priority="137">
      <formula>AND(R$9&gt;=8/24,R$9&lt;14/24)</formula>
    </cfRule>
    <cfRule type="expression" dxfId="3560" priority="138">
      <formula>R$9&lt;8/24</formula>
    </cfRule>
  </conditionalFormatting>
  <conditionalFormatting sqref="R25:R27 R20:R23">
    <cfRule type="expression" dxfId="3559" priority="131">
      <formula>R$9&gt;=20/24</formula>
    </cfRule>
    <cfRule type="expression" dxfId="3558" priority="132">
      <formula>AND(R$9&gt;=14/24,R$9&lt;20/24)</formula>
    </cfRule>
    <cfRule type="expression" dxfId="3557" priority="133">
      <formula>AND(R$9&gt;=8/24,R$9&lt;14/24)</formula>
    </cfRule>
    <cfRule type="expression" dxfId="3556" priority="134">
      <formula>R$9&lt;8/24</formula>
    </cfRule>
  </conditionalFormatting>
  <conditionalFormatting sqref="R25:R27 R20:R23">
    <cfRule type="expression" dxfId="3555" priority="130">
      <formula>R20&gt;$AG20</formula>
    </cfRule>
  </conditionalFormatting>
  <conditionalFormatting sqref="R28">
    <cfRule type="expression" dxfId="3554" priority="129">
      <formula>R28&gt;$AG28</formula>
    </cfRule>
  </conditionalFormatting>
  <conditionalFormatting sqref="R28">
    <cfRule type="expression" dxfId="3553" priority="125">
      <formula>R$9&gt;=20/24</formula>
    </cfRule>
    <cfRule type="expression" dxfId="3552" priority="126">
      <formula>AND(R$9&gt;=14/24,R$9&lt;20/24)</formula>
    </cfRule>
    <cfRule type="expression" dxfId="3551" priority="127">
      <formula>AND(R$9&gt;=8/24,R$9&lt;14/24)</formula>
    </cfRule>
    <cfRule type="expression" dxfId="3550" priority="128">
      <formula>R$9&lt;8/24</formula>
    </cfRule>
  </conditionalFormatting>
  <conditionalFormatting sqref="R50:R58">
    <cfRule type="expression" dxfId="3549" priority="121">
      <formula>R$9&gt;=20/24</formula>
    </cfRule>
    <cfRule type="expression" dxfId="3548" priority="122">
      <formula>AND(R$9&gt;=14/24,R$9&lt;20/24)</formula>
    </cfRule>
    <cfRule type="expression" dxfId="3547" priority="123">
      <formula>AND(R$9&gt;=8/24,R$9&lt;14/24)</formula>
    </cfRule>
    <cfRule type="expression" dxfId="3546" priority="124">
      <formula>R$9&lt;8/24</formula>
    </cfRule>
  </conditionalFormatting>
  <conditionalFormatting sqref="S24">
    <cfRule type="expression" dxfId="3545" priority="117">
      <formula>S$9&gt;=20/24</formula>
    </cfRule>
    <cfRule type="expression" dxfId="3544" priority="118">
      <formula>AND(S$9&gt;=14/24,S$9&lt;20/24)</formula>
    </cfRule>
    <cfRule type="expression" dxfId="3543" priority="119">
      <formula>AND(S$9&gt;=8/24,S$9&lt;14/24)</formula>
    </cfRule>
    <cfRule type="expression" dxfId="3542" priority="120">
      <formula>S$9&lt;8/24</formula>
    </cfRule>
  </conditionalFormatting>
  <conditionalFormatting sqref="S24">
    <cfRule type="expression" dxfId="3541" priority="116">
      <formula>S24&gt;$AG24</formula>
    </cfRule>
  </conditionalFormatting>
  <conditionalFormatting sqref="S25:S27 S20:S23">
    <cfRule type="expression" dxfId="3540" priority="112">
      <formula>S$9&gt;=20/24</formula>
    </cfRule>
    <cfRule type="expression" dxfId="3539" priority="113">
      <formula>AND(S$9&gt;=14/24,S$9&lt;20/24)</formula>
    </cfRule>
    <cfRule type="expression" dxfId="3538" priority="114">
      <formula>AND(S$9&gt;=8/24,S$9&lt;14/24)</formula>
    </cfRule>
    <cfRule type="expression" dxfId="3537" priority="115">
      <formula>S$9&lt;8/24</formula>
    </cfRule>
  </conditionalFormatting>
  <conditionalFormatting sqref="S25:S27 S20:S23">
    <cfRule type="expression" dxfId="3536" priority="108">
      <formula>S$9&gt;=20/24</formula>
    </cfRule>
    <cfRule type="expression" dxfId="3535" priority="109">
      <formula>AND(S$9&gt;=14/24,S$9&lt;20/24)</formula>
    </cfRule>
    <cfRule type="expression" dxfId="3534" priority="110">
      <formula>AND(S$9&gt;=8/24,S$9&lt;14/24)</formula>
    </cfRule>
    <cfRule type="expression" dxfId="3533" priority="111">
      <formula>S$9&lt;8/24</formula>
    </cfRule>
  </conditionalFormatting>
  <conditionalFormatting sqref="S25:S27 S20:S23">
    <cfRule type="expression" dxfId="3532" priority="107">
      <formula>S20&gt;$AG20</formula>
    </cfRule>
  </conditionalFormatting>
  <conditionalFormatting sqref="S28">
    <cfRule type="expression" dxfId="3531" priority="106">
      <formula>S28&gt;$AG28</formula>
    </cfRule>
  </conditionalFormatting>
  <conditionalFormatting sqref="S28">
    <cfRule type="expression" dxfId="3530" priority="102">
      <formula>S$9&gt;=20/24</formula>
    </cfRule>
    <cfRule type="expression" dxfId="3529" priority="103">
      <formula>AND(S$9&gt;=14/24,S$9&lt;20/24)</formula>
    </cfRule>
    <cfRule type="expression" dxfId="3528" priority="104">
      <formula>AND(S$9&gt;=8/24,S$9&lt;14/24)</formula>
    </cfRule>
    <cfRule type="expression" dxfId="3527" priority="105">
      <formula>S$9&lt;8/24</formula>
    </cfRule>
  </conditionalFormatting>
  <conditionalFormatting sqref="T24">
    <cfRule type="expression" dxfId="3526" priority="98">
      <formula>T$9&gt;=20/24</formula>
    </cfRule>
    <cfRule type="expression" dxfId="3525" priority="99">
      <formula>AND(T$9&gt;=14/24,T$9&lt;20/24)</formula>
    </cfRule>
    <cfRule type="expression" dxfId="3524" priority="100">
      <formula>AND(T$9&gt;=8/24,T$9&lt;14/24)</formula>
    </cfRule>
    <cfRule type="expression" dxfId="3523" priority="101">
      <formula>T$9&lt;8/24</formula>
    </cfRule>
  </conditionalFormatting>
  <conditionalFormatting sqref="T24">
    <cfRule type="expression" dxfId="3522" priority="97">
      <formula>T24&gt;$AG24</formula>
    </cfRule>
  </conditionalFormatting>
  <conditionalFormatting sqref="T25:T27 T20:T23">
    <cfRule type="expression" dxfId="3521" priority="93">
      <formula>T$9&gt;=20/24</formula>
    </cfRule>
    <cfRule type="expression" dxfId="3520" priority="94">
      <formula>AND(T$9&gt;=14/24,T$9&lt;20/24)</formula>
    </cfRule>
    <cfRule type="expression" dxfId="3519" priority="95">
      <formula>AND(T$9&gt;=8/24,T$9&lt;14/24)</formula>
    </cfRule>
    <cfRule type="expression" dxfId="3518" priority="96">
      <formula>T$9&lt;8/24</formula>
    </cfRule>
  </conditionalFormatting>
  <conditionalFormatting sqref="T25:T27 T20:T23">
    <cfRule type="expression" dxfId="3517" priority="89">
      <formula>T$9&gt;=20/24</formula>
    </cfRule>
    <cfRule type="expression" dxfId="3516" priority="90">
      <formula>AND(T$9&gt;=14/24,T$9&lt;20/24)</formula>
    </cfRule>
    <cfRule type="expression" dxfId="3515" priority="91">
      <formula>AND(T$9&gt;=8/24,T$9&lt;14/24)</formula>
    </cfRule>
    <cfRule type="expression" dxfId="3514" priority="92">
      <formula>T$9&lt;8/24</formula>
    </cfRule>
  </conditionalFormatting>
  <conditionalFormatting sqref="T25:T27 T20:T23">
    <cfRule type="expression" dxfId="3513" priority="88">
      <formula>T20&gt;$AG20</formula>
    </cfRule>
  </conditionalFormatting>
  <conditionalFormatting sqref="T28">
    <cfRule type="expression" dxfId="3512" priority="87">
      <formula>T28&gt;$AG28</formula>
    </cfRule>
  </conditionalFormatting>
  <conditionalFormatting sqref="T28">
    <cfRule type="expression" dxfId="3511" priority="83">
      <formula>T$9&gt;=20/24</formula>
    </cfRule>
    <cfRule type="expression" dxfId="3510" priority="84">
      <formula>AND(T$9&gt;=14/24,T$9&lt;20/24)</formula>
    </cfRule>
    <cfRule type="expression" dxfId="3509" priority="85">
      <formula>AND(T$9&gt;=8/24,T$9&lt;14/24)</formula>
    </cfRule>
    <cfRule type="expression" dxfId="3508" priority="86">
      <formula>T$9&lt;8/24</formula>
    </cfRule>
  </conditionalFormatting>
  <conditionalFormatting sqref="T53:T58">
    <cfRule type="expression" dxfId="3507" priority="79">
      <formula>T$9&gt;=20/24</formula>
    </cfRule>
    <cfRule type="expression" dxfId="3506" priority="80">
      <formula>AND(T$9&gt;=14/24,T$9&lt;20/24)</formula>
    </cfRule>
    <cfRule type="expression" dxfId="3505" priority="81">
      <formula>AND(T$9&gt;=8/24,T$9&lt;14/24)</formula>
    </cfRule>
    <cfRule type="expression" dxfId="3504" priority="82">
      <formula>T$9&lt;8/24</formula>
    </cfRule>
  </conditionalFormatting>
  <conditionalFormatting sqref="T51:T52">
    <cfRule type="expression" dxfId="3503" priority="75">
      <formula>T$9&gt;=20/24</formula>
    </cfRule>
    <cfRule type="expression" dxfId="3502" priority="76">
      <formula>AND(T$9&gt;=14/24,T$9&lt;20/24)</formula>
    </cfRule>
    <cfRule type="expression" dxfId="3501" priority="77">
      <formula>AND(T$9&gt;=8/24,T$9&lt;14/24)</formula>
    </cfRule>
    <cfRule type="expression" dxfId="3500" priority="78">
      <formula>T$9&lt;8/24</formula>
    </cfRule>
  </conditionalFormatting>
  <conditionalFormatting sqref="U24:V24">
    <cfRule type="expression" dxfId="3499" priority="71">
      <formula>U$9&gt;=20/24</formula>
    </cfRule>
    <cfRule type="expression" dxfId="3498" priority="72">
      <formula>AND(U$9&gt;=14/24,U$9&lt;20/24)</formula>
    </cfRule>
    <cfRule type="expression" dxfId="3497" priority="73">
      <formula>AND(U$9&gt;=8/24,U$9&lt;14/24)</formula>
    </cfRule>
    <cfRule type="expression" dxfId="3496" priority="74">
      <formula>U$9&lt;8/24</formula>
    </cfRule>
  </conditionalFormatting>
  <conditionalFormatting sqref="U24:V24">
    <cfRule type="expression" dxfId="3495" priority="70">
      <formula>U24&gt;$AG24</formula>
    </cfRule>
  </conditionalFormatting>
  <conditionalFormatting sqref="U25:V27 U20:V23">
    <cfRule type="expression" dxfId="3494" priority="66">
      <formula>U$9&gt;=20/24</formula>
    </cfRule>
    <cfRule type="expression" dxfId="3493" priority="67">
      <formula>AND(U$9&gt;=14/24,U$9&lt;20/24)</formula>
    </cfRule>
    <cfRule type="expression" dxfId="3492" priority="68">
      <formula>AND(U$9&gt;=8/24,U$9&lt;14/24)</formula>
    </cfRule>
    <cfRule type="expression" dxfId="3491" priority="69">
      <formula>U$9&lt;8/24</formula>
    </cfRule>
  </conditionalFormatting>
  <conditionalFormatting sqref="U25:V27 U20:V23">
    <cfRule type="expression" dxfId="3490" priority="62">
      <formula>U$9&gt;=20/24</formula>
    </cfRule>
    <cfRule type="expression" dxfId="3489" priority="63">
      <formula>AND(U$9&gt;=14/24,U$9&lt;20/24)</formula>
    </cfRule>
    <cfRule type="expression" dxfId="3488" priority="64">
      <formula>AND(U$9&gt;=8/24,U$9&lt;14/24)</formula>
    </cfRule>
    <cfRule type="expression" dxfId="3487" priority="65">
      <formula>U$9&lt;8/24</formula>
    </cfRule>
  </conditionalFormatting>
  <conditionalFormatting sqref="U25:V27 U20:V23">
    <cfRule type="expression" dxfId="3486" priority="61">
      <formula>U20&gt;$AG20</formula>
    </cfRule>
  </conditionalFormatting>
  <conditionalFormatting sqref="U28:V28">
    <cfRule type="expression" dxfId="3485" priority="60">
      <formula>U28&gt;$AG28</formula>
    </cfRule>
  </conditionalFormatting>
  <conditionalFormatting sqref="U28:V28">
    <cfRule type="expression" dxfId="3484" priority="56">
      <formula>U$9&gt;=20/24</formula>
    </cfRule>
    <cfRule type="expression" dxfId="3483" priority="57">
      <formula>AND(U$9&gt;=14/24,U$9&lt;20/24)</formula>
    </cfRule>
    <cfRule type="expression" dxfId="3482" priority="58">
      <formula>AND(U$9&gt;=8/24,U$9&lt;14/24)</formula>
    </cfRule>
    <cfRule type="expression" dxfId="3481" priority="59">
      <formula>U$9&lt;8/24</formula>
    </cfRule>
  </conditionalFormatting>
  <conditionalFormatting sqref="U53:V58">
    <cfRule type="expression" dxfId="3480" priority="52">
      <formula>U$9&gt;=20/24</formula>
    </cfRule>
    <cfRule type="expression" dxfId="3479" priority="53">
      <formula>AND(U$9&gt;=14/24,U$9&lt;20/24)</formula>
    </cfRule>
    <cfRule type="expression" dxfId="3478" priority="54">
      <formula>AND(U$9&gt;=8/24,U$9&lt;14/24)</formula>
    </cfRule>
    <cfRule type="expression" dxfId="3477" priority="55">
      <formula>U$9&lt;8/24</formula>
    </cfRule>
  </conditionalFormatting>
  <conditionalFormatting sqref="U51:V52">
    <cfRule type="expression" dxfId="3476" priority="48">
      <formula>U$9&gt;=20/24</formula>
    </cfRule>
    <cfRule type="expression" dxfId="3475" priority="49">
      <formula>AND(U$9&gt;=14/24,U$9&lt;20/24)</formula>
    </cfRule>
    <cfRule type="expression" dxfId="3474" priority="50">
      <formula>AND(U$9&gt;=8/24,U$9&lt;14/24)</formula>
    </cfRule>
    <cfRule type="expression" dxfId="3473" priority="51">
      <formula>U$9&lt;8/24</formula>
    </cfRule>
  </conditionalFormatting>
  <conditionalFormatting sqref="W24">
    <cfRule type="expression" dxfId="3472" priority="44">
      <formula>W$9&gt;=20/24</formula>
    </cfRule>
    <cfRule type="expression" dxfId="3471" priority="45">
      <formula>AND(W$9&gt;=14/24,W$9&lt;20/24)</formula>
    </cfRule>
    <cfRule type="expression" dxfId="3470" priority="46">
      <formula>AND(W$9&gt;=8/24,W$9&lt;14/24)</formula>
    </cfRule>
    <cfRule type="expression" dxfId="3469" priority="47">
      <formula>W$9&lt;8/24</formula>
    </cfRule>
  </conditionalFormatting>
  <conditionalFormatting sqref="W24">
    <cfRule type="expression" dxfId="3468" priority="43">
      <formula>W24&gt;$AG24</formula>
    </cfRule>
  </conditionalFormatting>
  <conditionalFormatting sqref="W25:W27 W20:W23">
    <cfRule type="expression" dxfId="3467" priority="39">
      <formula>W$9&gt;=20/24</formula>
    </cfRule>
    <cfRule type="expression" dxfId="3466" priority="40">
      <formula>AND(W$9&gt;=14/24,W$9&lt;20/24)</formula>
    </cfRule>
    <cfRule type="expression" dxfId="3465" priority="41">
      <formula>AND(W$9&gt;=8/24,W$9&lt;14/24)</formula>
    </cfRule>
    <cfRule type="expression" dxfId="3464" priority="42">
      <formula>W$9&lt;8/24</formula>
    </cfRule>
  </conditionalFormatting>
  <conditionalFormatting sqref="W25:W27 W20:W23">
    <cfRule type="expression" dxfId="3463" priority="35">
      <formula>W$9&gt;=20/24</formula>
    </cfRule>
    <cfRule type="expression" dxfId="3462" priority="36">
      <formula>AND(W$9&gt;=14/24,W$9&lt;20/24)</formula>
    </cfRule>
    <cfRule type="expression" dxfId="3461" priority="37">
      <formula>AND(W$9&gt;=8/24,W$9&lt;14/24)</formula>
    </cfRule>
    <cfRule type="expression" dxfId="3460" priority="38">
      <formula>W$9&lt;8/24</formula>
    </cfRule>
  </conditionalFormatting>
  <conditionalFormatting sqref="W25:W27 W20:W23">
    <cfRule type="expression" dxfId="3459" priority="34">
      <formula>W20&gt;$AG20</formula>
    </cfRule>
  </conditionalFormatting>
  <conditionalFormatting sqref="W28">
    <cfRule type="expression" dxfId="3458" priority="33">
      <formula>W28&gt;$AG28</formula>
    </cfRule>
  </conditionalFormatting>
  <conditionalFormatting sqref="W28">
    <cfRule type="expression" dxfId="3457" priority="29">
      <formula>W$9&gt;=20/24</formula>
    </cfRule>
    <cfRule type="expression" dxfId="3456" priority="30">
      <formula>AND(W$9&gt;=14/24,W$9&lt;20/24)</formula>
    </cfRule>
    <cfRule type="expression" dxfId="3455" priority="31">
      <formula>AND(W$9&gt;=8/24,W$9&lt;14/24)</formula>
    </cfRule>
    <cfRule type="expression" dxfId="3454" priority="32">
      <formula>W$9&lt;8/24</formula>
    </cfRule>
  </conditionalFormatting>
  <conditionalFormatting sqref="W53:W58">
    <cfRule type="expression" dxfId="3453" priority="25">
      <formula>W$9&gt;=20/24</formula>
    </cfRule>
    <cfRule type="expression" dxfId="3452" priority="26">
      <formula>AND(W$9&gt;=14/24,W$9&lt;20/24)</formula>
    </cfRule>
    <cfRule type="expression" dxfId="3451" priority="27">
      <formula>AND(W$9&gt;=8/24,W$9&lt;14/24)</formula>
    </cfRule>
    <cfRule type="expression" dxfId="3450" priority="28">
      <formula>W$9&lt;8/24</formula>
    </cfRule>
  </conditionalFormatting>
  <conditionalFormatting sqref="W51:W52">
    <cfRule type="expression" dxfId="3449" priority="21">
      <formula>W$9&gt;=20/24</formula>
    </cfRule>
    <cfRule type="expression" dxfId="3448" priority="22">
      <formula>AND(W$9&gt;=14/24,W$9&lt;20/24)</formula>
    </cfRule>
    <cfRule type="expression" dxfId="3447" priority="23">
      <formula>AND(W$9&gt;=8/24,W$9&lt;14/24)</formula>
    </cfRule>
    <cfRule type="expression" dxfId="3446" priority="24">
      <formula>W$9&lt;8/24</formula>
    </cfRule>
  </conditionalFormatting>
  <conditionalFormatting sqref="X24:AF24">
    <cfRule type="expression" dxfId="3445" priority="17">
      <formula>X$9&gt;=20/24</formula>
    </cfRule>
    <cfRule type="expression" dxfId="3444" priority="18">
      <formula>AND(X$9&gt;=14/24,X$9&lt;20/24)</formula>
    </cfRule>
    <cfRule type="expression" dxfId="3443" priority="19">
      <formula>AND(X$9&gt;=8/24,X$9&lt;14/24)</formula>
    </cfRule>
    <cfRule type="expression" dxfId="3442" priority="20">
      <formula>X$9&lt;8/24</formula>
    </cfRule>
  </conditionalFormatting>
  <conditionalFormatting sqref="X24:AF24">
    <cfRule type="expression" dxfId="3441" priority="16">
      <formula>X24&gt;$AG24</formula>
    </cfRule>
  </conditionalFormatting>
  <conditionalFormatting sqref="X20:Z23 X25:AF27 AA21:AF23">
    <cfRule type="expression" dxfId="3440" priority="12">
      <formula>X$9&gt;=20/24</formula>
    </cfRule>
    <cfRule type="expression" dxfId="3439" priority="13">
      <formula>AND(X$9&gt;=14/24,X$9&lt;20/24)</formula>
    </cfRule>
    <cfRule type="expression" dxfId="3438" priority="14">
      <formula>AND(X$9&gt;=8/24,X$9&lt;14/24)</formula>
    </cfRule>
    <cfRule type="expression" dxfId="3437" priority="15">
      <formula>X$9&lt;8/24</formula>
    </cfRule>
  </conditionalFormatting>
  <conditionalFormatting sqref="X20:Z23 X25:AF27 AA21:AF23">
    <cfRule type="expression" dxfId="3436" priority="8">
      <formula>X$9&gt;=20/24</formula>
    </cfRule>
    <cfRule type="expression" dxfId="3435" priority="9">
      <formula>AND(X$9&gt;=14/24,X$9&lt;20/24)</formula>
    </cfRule>
    <cfRule type="expression" dxfId="3434" priority="10">
      <formula>AND(X$9&gt;=8/24,X$9&lt;14/24)</formula>
    </cfRule>
    <cfRule type="expression" dxfId="3433" priority="11">
      <formula>X$9&lt;8/24</formula>
    </cfRule>
  </conditionalFormatting>
  <conditionalFormatting sqref="X20:Z23 X25:AF27 AA21:AF23">
    <cfRule type="expression" dxfId="3432" priority="7">
      <formula>X20&gt;$AG20</formula>
    </cfRule>
  </conditionalFormatting>
  <conditionalFormatting sqref="X28:Z28">
    <cfRule type="expression" dxfId="3431" priority="6">
      <formula>X28&gt;$AG28</formula>
    </cfRule>
  </conditionalFormatting>
  <conditionalFormatting sqref="X28:Z28">
    <cfRule type="expression" dxfId="3430" priority="2">
      <formula>X$9&gt;=20/24</formula>
    </cfRule>
    <cfRule type="expression" dxfId="3429" priority="3">
      <formula>AND(X$9&gt;=14/24,X$9&lt;20/24)</formula>
    </cfRule>
    <cfRule type="expression" dxfId="3428" priority="4">
      <formula>AND(X$9&gt;=8/24,X$9&lt;14/24)</formula>
    </cfRule>
    <cfRule type="expression" dxfId="3427" priority="5">
      <formula>X$9&lt;8/24</formula>
    </cfRule>
  </conditionalFormatting>
  <conditionalFormatting sqref="AB33">
    <cfRule type="expression" dxfId="3426" priority="314">
      <formula>AB33&gt;$AG32</formula>
    </cfRule>
  </conditionalFormatting>
  <conditionalFormatting sqref="AB32">
    <cfRule type="expression" dxfId="3425" priority="1">
      <formula>AB32&gt;$AG31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S29" sqref="S29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14</v>
      </c>
      <c r="D4" s="324">
        <f ca="1">IFERROR(DATE(2021,5,14)+C4,"")</f>
        <v>44344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3.3900000000000006</v>
      </c>
      <c r="C5" s="32">
        <f t="shared" ref="C5:AF5" si="0">C59</f>
        <v>5.5800000000000018</v>
      </c>
      <c r="D5" s="32">
        <f t="shared" si="0"/>
        <v>-24</v>
      </c>
      <c r="E5" s="32">
        <f t="shared" si="0"/>
        <v>-15</v>
      </c>
      <c r="F5" s="32">
        <f t="shared" si="0"/>
        <v>-22.190000000000005</v>
      </c>
      <c r="G5" s="32">
        <f t="shared" si="0"/>
        <v>30.799999999999997</v>
      </c>
      <c r="H5" s="32">
        <f t="shared" si="0"/>
        <v>15.310000000000002</v>
      </c>
      <c r="I5" s="32">
        <f t="shared" si="0"/>
        <v>25.299999999999997</v>
      </c>
      <c r="J5" s="32">
        <f t="shared" si="0"/>
        <v>24</v>
      </c>
      <c r="K5" s="32">
        <f t="shared" si="0"/>
        <v>30.9</v>
      </c>
      <c r="L5" s="32">
        <f t="shared" si="0"/>
        <v>76.12</v>
      </c>
      <c r="M5" s="32">
        <f t="shared" si="0"/>
        <v>83</v>
      </c>
      <c r="N5" s="32">
        <f t="shared" si="0"/>
        <v>60</v>
      </c>
      <c r="O5" s="32">
        <f t="shared" si="0"/>
        <v>58</v>
      </c>
      <c r="P5" s="32">
        <f t="shared" si="0"/>
        <v>14</v>
      </c>
      <c r="Q5" s="32">
        <f t="shared" si="0"/>
        <v>-13</v>
      </c>
      <c r="R5" s="32">
        <f t="shared" si="0"/>
        <v>-19.240000000000002</v>
      </c>
      <c r="S5" s="32">
        <f t="shared" si="0"/>
        <v>29.340000000000003</v>
      </c>
      <c r="T5" s="32">
        <f t="shared" si="0"/>
        <v>29.409999999999997</v>
      </c>
      <c r="U5" s="32">
        <f t="shared" si="0"/>
        <v>54.42</v>
      </c>
      <c r="V5" s="32">
        <f t="shared" si="0"/>
        <v>64.55</v>
      </c>
      <c r="W5" s="32">
        <f t="shared" si="0"/>
        <v>56.86</v>
      </c>
      <c r="X5" s="32">
        <f t="shared" si="0"/>
        <v>101.64</v>
      </c>
      <c r="Y5" s="32">
        <f t="shared" si="0"/>
        <v>86.28</v>
      </c>
      <c r="Z5" s="32">
        <f t="shared" si="0"/>
        <v>123.87</v>
      </c>
      <c r="AA5" s="32">
        <f t="shared" si="0"/>
        <v>97.9</v>
      </c>
      <c r="AB5" s="32">
        <f t="shared" si="0"/>
        <v>97.9</v>
      </c>
      <c r="AC5" s="32">
        <f t="shared" si="0"/>
        <v>82.1</v>
      </c>
      <c r="AD5" s="32">
        <f t="shared" si="0"/>
        <v>-8.6000000000000014</v>
      </c>
      <c r="AE5" s="32">
        <f t="shared" si="0"/>
        <v>-83.3</v>
      </c>
      <c r="AF5" s="32">
        <f t="shared" si="0"/>
        <v>-48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846MW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Load=615</v>
      </c>
      <c r="B7" s="36">
        <f t="shared" ref="B7:AF7" si="1">B65</f>
        <v>690.03</v>
      </c>
      <c r="C7" s="36">
        <f t="shared" si="1"/>
        <v>672.52</v>
      </c>
      <c r="D7" s="36">
        <f t="shared" si="1"/>
        <v>634.44000000000005</v>
      </c>
      <c r="E7" s="36">
        <f t="shared" si="1"/>
        <v>634.33999999999992</v>
      </c>
      <c r="F7" s="36">
        <f t="shared" si="1"/>
        <v>627.44999999999993</v>
      </c>
      <c r="G7" s="36">
        <f t="shared" si="1"/>
        <v>684.1400000000001</v>
      </c>
      <c r="H7" s="36">
        <f t="shared" si="1"/>
        <v>686.75</v>
      </c>
      <c r="I7" s="36">
        <f t="shared" si="1"/>
        <v>703.74</v>
      </c>
      <c r="J7" s="36">
        <f t="shared" si="1"/>
        <v>723.1400000000001</v>
      </c>
      <c r="K7" s="36">
        <f t="shared" si="1"/>
        <v>737.64</v>
      </c>
      <c r="L7" s="36">
        <f>L65</f>
        <v>817.46</v>
      </c>
      <c r="M7" s="36">
        <f t="shared" si="1"/>
        <v>845.74</v>
      </c>
      <c r="N7" s="36">
        <f t="shared" si="1"/>
        <v>821.14</v>
      </c>
      <c r="O7" s="36">
        <f t="shared" si="1"/>
        <v>831.83999999999992</v>
      </c>
      <c r="P7" s="36">
        <f t="shared" si="1"/>
        <v>724.34</v>
      </c>
      <c r="Q7" s="36">
        <f t="shared" si="1"/>
        <v>664.43999999999994</v>
      </c>
      <c r="R7" s="36">
        <f t="shared" si="1"/>
        <v>636.59999999999991</v>
      </c>
      <c r="S7" s="36">
        <f t="shared" si="1"/>
        <v>689.57999999999993</v>
      </c>
      <c r="T7" s="36">
        <f t="shared" si="1"/>
        <v>695.35</v>
      </c>
      <c r="U7" s="36">
        <f t="shared" si="1"/>
        <v>764.66</v>
      </c>
      <c r="V7" s="36">
        <f t="shared" si="1"/>
        <v>787.19</v>
      </c>
      <c r="W7" s="36">
        <f t="shared" si="1"/>
        <v>801.09999999999991</v>
      </c>
      <c r="X7" s="36">
        <f t="shared" si="1"/>
        <v>814.98</v>
      </c>
      <c r="Y7" s="36">
        <f t="shared" si="1"/>
        <v>850.92</v>
      </c>
      <c r="Z7" s="36">
        <f t="shared" si="1"/>
        <v>888.81</v>
      </c>
      <c r="AA7" s="36">
        <f t="shared" si="1"/>
        <v>862.83999999999992</v>
      </c>
      <c r="AB7" s="36">
        <f t="shared" si="1"/>
        <v>862.83999999999992</v>
      </c>
      <c r="AC7" s="36">
        <f t="shared" si="1"/>
        <v>891.13999999999987</v>
      </c>
      <c r="AD7" s="36">
        <f t="shared" si="1"/>
        <v>734.93999999999994</v>
      </c>
      <c r="AE7" s="36">
        <f t="shared" si="1"/>
        <v>644.54</v>
      </c>
      <c r="AF7" s="36">
        <f t="shared" si="1"/>
        <v>614.64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46.5</v>
      </c>
      <c r="C11" s="48">
        <v>46.5</v>
      </c>
      <c r="D11" s="48">
        <v>40</v>
      </c>
      <c r="E11" s="48">
        <v>40</v>
      </c>
      <c r="F11" s="48">
        <v>40</v>
      </c>
      <c r="G11" s="48">
        <v>40</v>
      </c>
      <c r="H11" s="48">
        <v>40</v>
      </c>
      <c r="I11" s="48">
        <v>40</v>
      </c>
      <c r="J11" s="48">
        <v>40</v>
      </c>
      <c r="K11" s="48">
        <v>40</v>
      </c>
      <c r="L11" s="49">
        <v>42</v>
      </c>
      <c r="M11" s="49">
        <v>42</v>
      </c>
      <c r="N11" s="49">
        <v>42</v>
      </c>
      <c r="O11" s="49">
        <v>42</v>
      </c>
      <c r="P11" s="49">
        <v>42</v>
      </c>
      <c r="Q11" s="49">
        <v>42</v>
      </c>
      <c r="R11" s="50">
        <v>42</v>
      </c>
      <c r="S11" s="50">
        <v>42</v>
      </c>
      <c r="T11" s="50">
        <v>42</v>
      </c>
      <c r="U11" s="50">
        <v>42</v>
      </c>
      <c r="V11" s="50">
        <v>40</v>
      </c>
      <c r="W11" s="50">
        <v>40</v>
      </c>
      <c r="X11" s="50">
        <v>40</v>
      </c>
      <c r="Y11" s="50">
        <v>40</v>
      </c>
      <c r="Z11" s="50">
        <v>40</v>
      </c>
      <c r="AA11" s="48">
        <v>40</v>
      </c>
      <c r="AB11" s="48">
        <v>40</v>
      </c>
      <c r="AC11" s="48">
        <v>48</v>
      </c>
      <c r="AD11" s="48">
        <v>53.5</v>
      </c>
      <c r="AE11" s="48">
        <v>53.5</v>
      </c>
      <c r="AF11" s="48">
        <v>53.5</v>
      </c>
      <c r="AG11" s="51">
        <v>60</v>
      </c>
      <c r="AH11" s="52">
        <f>MAX(B11:AF11)</f>
        <v>53.5</v>
      </c>
      <c r="AI11" s="53">
        <f>MIN(B11:AF11)</f>
        <v>40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50.7</v>
      </c>
      <c r="C12" s="56">
        <v>50.7</v>
      </c>
      <c r="D12" s="56">
        <v>50.7</v>
      </c>
      <c r="E12" s="56">
        <v>50.7</v>
      </c>
      <c r="F12" s="56">
        <v>50.7</v>
      </c>
      <c r="G12" s="56">
        <v>50.8</v>
      </c>
      <c r="H12" s="56">
        <v>50.9</v>
      </c>
      <c r="I12" s="56">
        <v>50.9</v>
      </c>
      <c r="J12" s="56">
        <v>50.7</v>
      </c>
      <c r="K12" s="56">
        <v>50.7</v>
      </c>
      <c r="L12" s="49">
        <v>50.9</v>
      </c>
      <c r="M12" s="49">
        <v>50.7</v>
      </c>
      <c r="N12" s="49">
        <v>50.4</v>
      </c>
      <c r="O12" s="49">
        <v>50.2</v>
      </c>
      <c r="P12" s="49">
        <v>50.4</v>
      </c>
      <c r="Q12" s="49">
        <v>50.2</v>
      </c>
      <c r="R12" s="49">
        <v>50.6</v>
      </c>
      <c r="S12" s="49">
        <v>50.7</v>
      </c>
      <c r="T12" s="49">
        <v>50.4</v>
      </c>
      <c r="U12" s="49">
        <v>50.1</v>
      </c>
      <c r="V12" s="49">
        <v>50.5</v>
      </c>
      <c r="W12" s="49">
        <v>50.5</v>
      </c>
      <c r="X12" s="49">
        <v>0</v>
      </c>
      <c r="Y12" s="49">
        <v>50.6</v>
      </c>
      <c r="Z12" s="49">
        <v>50.5</v>
      </c>
      <c r="AA12" s="56">
        <v>50.8</v>
      </c>
      <c r="AB12" s="56">
        <v>50.8</v>
      </c>
      <c r="AC12" s="56">
        <v>50.3</v>
      </c>
      <c r="AD12" s="56">
        <v>49.7</v>
      </c>
      <c r="AE12" s="56">
        <v>50.4</v>
      </c>
      <c r="AF12" s="56">
        <v>50</v>
      </c>
      <c r="AG12" s="57">
        <v>50</v>
      </c>
      <c r="AH12" s="52">
        <f t="shared" ref="AH12:AH77" si="2">MAX(B12:AF12)</f>
        <v>50.9</v>
      </c>
      <c r="AI12" s="53">
        <f t="shared" ref="AI12:AI77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</v>
      </c>
      <c r="C13" s="56">
        <v>43.1</v>
      </c>
      <c r="D13" s="56">
        <v>43.1</v>
      </c>
      <c r="E13" s="56">
        <v>42.9</v>
      </c>
      <c r="F13" s="56">
        <v>43</v>
      </c>
      <c r="G13" s="56">
        <v>48</v>
      </c>
      <c r="H13" s="56">
        <v>42.9</v>
      </c>
      <c r="I13" s="56">
        <v>43</v>
      </c>
      <c r="J13" s="56">
        <v>43.1</v>
      </c>
      <c r="K13" s="56">
        <v>42.9</v>
      </c>
      <c r="L13" s="49">
        <v>43.2</v>
      </c>
      <c r="M13" s="49">
        <v>43.1</v>
      </c>
      <c r="N13" s="49">
        <v>43.2</v>
      </c>
      <c r="O13" s="49">
        <v>43</v>
      </c>
      <c r="P13" s="49">
        <v>43</v>
      </c>
      <c r="Q13" s="49">
        <v>43.8</v>
      </c>
      <c r="R13" s="49">
        <v>43</v>
      </c>
      <c r="S13" s="49">
        <v>43.1</v>
      </c>
      <c r="T13" s="49">
        <v>43.1</v>
      </c>
      <c r="U13" s="49">
        <v>43.1</v>
      </c>
      <c r="V13" s="49">
        <v>43</v>
      </c>
      <c r="W13" s="49">
        <v>43</v>
      </c>
      <c r="X13" s="49">
        <v>42.9</v>
      </c>
      <c r="Y13" s="49">
        <v>43.2</v>
      </c>
      <c r="Z13" s="49">
        <v>43.1</v>
      </c>
      <c r="AA13" s="56">
        <v>43.1</v>
      </c>
      <c r="AB13" s="56">
        <v>43.1</v>
      </c>
      <c r="AC13" s="56">
        <v>43.1</v>
      </c>
      <c r="AD13" s="56">
        <v>43</v>
      </c>
      <c r="AE13" s="56">
        <v>43.2</v>
      </c>
      <c r="AF13" s="56">
        <v>43</v>
      </c>
      <c r="AG13" s="59">
        <v>45</v>
      </c>
      <c r="AH13" s="52">
        <f t="shared" si="2"/>
        <v>48</v>
      </c>
      <c r="AI13" s="53">
        <f t="shared" si="3"/>
        <v>42.9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24</v>
      </c>
      <c r="C14" s="56">
        <v>24</v>
      </c>
      <c r="D14" s="56">
        <v>24</v>
      </c>
      <c r="E14" s="56">
        <v>24</v>
      </c>
      <c r="F14" s="56">
        <v>24</v>
      </c>
      <c r="G14" s="56">
        <v>24</v>
      </c>
      <c r="H14" s="56">
        <v>24</v>
      </c>
      <c r="I14" s="56">
        <v>24</v>
      </c>
      <c r="J14" s="56">
        <v>24</v>
      </c>
      <c r="K14" s="56">
        <v>24</v>
      </c>
      <c r="L14" s="56">
        <v>24</v>
      </c>
      <c r="M14" s="56">
        <v>24</v>
      </c>
      <c r="N14" s="56">
        <v>24</v>
      </c>
      <c r="O14" s="56">
        <v>24</v>
      </c>
      <c r="P14" s="56">
        <v>24</v>
      </c>
      <c r="Q14" s="56">
        <v>24</v>
      </c>
      <c r="R14" s="56">
        <v>24</v>
      </c>
      <c r="S14" s="56">
        <v>24</v>
      </c>
      <c r="T14" s="56">
        <v>24</v>
      </c>
      <c r="U14" s="56">
        <v>24</v>
      </c>
      <c r="V14" s="56">
        <v>24</v>
      </c>
      <c r="W14" s="56">
        <v>24</v>
      </c>
      <c r="X14" s="56">
        <v>24</v>
      </c>
      <c r="Y14" s="56">
        <v>24</v>
      </c>
      <c r="Z14" s="56">
        <v>24</v>
      </c>
      <c r="AA14" s="56">
        <v>24</v>
      </c>
      <c r="AB14" s="56">
        <v>24</v>
      </c>
      <c r="AC14" s="56">
        <v>24</v>
      </c>
      <c r="AD14" s="56">
        <v>24</v>
      </c>
      <c r="AE14" s="56">
        <v>24</v>
      </c>
      <c r="AF14" s="56">
        <v>24</v>
      </c>
      <c r="AG14" s="59">
        <v>25</v>
      </c>
      <c r="AH14" s="52">
        <f t="shared" si="2"/>
        <v>24</v>
      </c>
      <c r="AI14" s="53">
        <f t="shared" si="3"/>
        <v>24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26.3</v>
      </c>
      <c r="C15" s="56">
        <v>26.3</v>
      </c>
      <c r="D15" s="56">
        <v>26.4</v>
      </c>
      <c r="E15" s="56">
        <v>26.2</v>
      </c>
      <c r="F15" s="56">
        <v>26.2</v>
      </c>
      <c r="G15" s="56">
        <v>26.1</v>
      </c>
      <c r="H15" s="56">
        <v>26.2</v>
      </c>
      <c r="I15" s="56">
        <v>26.2</v>
      </c>
      <c r="J15" s="56">
        <v>26.4</v>
      </c>
      <c r="K15" s="56">
        <v>26.2</v>
      </c>
      <c r="L15" s="49">
        <v>0</v>
      </c>
      <c r="M15" s="49">
        <v>0</v>
      </c>
      <c r="N15" s="49">
        <v>0</v>
      </c>
      <c r="O15" s="49">
        <v>13.1</v>
      </c>
      <c r="P15" s="49">
        <v>25.2</v>
      </c>
      <c r="Q15" s="49">
        <v>25.1</v>
      </c>
      <c r="R15" s="49">
        <v>25.2</v>
      </c>
      <c r="S15" s="49">
        <v>25</v>
      </c>
      <c r="T15" s="49">
        <v>25.7</v>
      </c>
      <c r="U15" s="49">
        <v>25.9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9">
        <v>25</v>
      </c>
      <c r="AH15" s="52">
        <f t="shared" si="2"/>
        <v>26.4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</v>
      </c>
      <c r="C17" s="56">
        <v>22</v>
      </c>
      <c r="D17" s="56">
        <v>22</v>
      </c>
      <c r="E17" s="56">
        <v>22</v>
      </c>
      <c r="F17" s="56">
        <v>22</v>
      </c>
      <c r="G17" s="56">
        <v>22</v>
      </c>
      <c r="H17" s="56">
        <v>22</v>
      </c>
      <c r="I17" s="56">
        <v>22</v>
      </c>
      <c r="J17" s="56">
        <v>22</v>
      </c>
      <c r="K17" s="56">
        <v>22</v>
      </c>
      <c r="L17" s="56">
        <v>22</v>
      </c>
      <c r="M17" s="56">
        <v>22</v>
      </c>
      <c r="N17" s="49">
        <v>22</v>
      </c>
      <c r="O17" s="49">
        <v>22</v>
      </c>
      <c r="P17" s="49">
        <v>22</v>
      </c>
      <c r="Q17" s="49">
        <v>22</v>
      </c>
      <c r="R17" s="49">
        <v>22</v>
      </c>
      <c r="S17" s="49">
        <v>22</v>
      </c>
      <c r="T17" s="49">
        <v>22</v>
      </c>
      <c r="U17" s="49">
        <v>22</v>
      </c>
      <c r="V17" s="49">
        <v>22</v>
      </c>
      <c r="W17" s="49">
        <v>22</v>
      </c>
      <c r="X17" s="49">
        <v>22</v>
      </c>
      <c r="Y17" s="49">
        <v>22</v>
      </c>
      <c r="Z17" s="49">
        <v>22</v>
      </c>
      <c r="AA17" s="49">
        <v>22</v>
      </c>
      <c r="AB17" s="49">
        <v>22</v>
      </c>
      <c r="AC17" s="49">
        <v>22</v>
      </c>
      <c r="AD17" s="49">
        <v>22</v>
      </c>
      <c r="AE17" s="49">
        <v>22</v>
      </c>
      <c r="AF17" s="49">
        <v>22</v>
      </c>
      <c r="AG17" s="59">
        <v>22.1</v>
      </c>
      <c r="AH17" s="52">
        <f t="shared" si="2"/>
        <v>22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21.6</v>
      </c>
      <c r="C18" s="56">
        <v>21.6</v>
      </c>
      <c r="D18" s="56">
        <v>21.6</v>
      </c>
      <c r="E18" s="56">
        <v>21.6</v>
      </c>
      <c r="F18" s="56">
        <v>21.6</v>
      </c>
      <c r="G18" s="56">
        <v>21.6</v>
      </c>
      <c r="H18" s="56">
        <v>21.6</v>
      </c>
      <c r="I18" s="56">
        <v>21.6</v>
      </c>
      <c r="J18" s="56">
        <v>21.6</v>
      </c>
      <c r="K18" s="56">
        <v>21.6</v>
      </c>
      <c r="L18" s="49">
        <v>21.6</v>
      </c>
      <c r="M18" s="49">
        <v>21</v>
      </c>
      <c r="N18" s="49">
        <v>21</v>
      </c>
      <c r="O18" s="49">
        <v>21</v>
      </c>
      <c r="P18" s="49">
        <v>21</v>
      </c>
      <c r="Q18" s="49">
        <v>21</v>
      </c>
      <c r="R18" s="49">
        <v>21</v>
      </c>
      <c r="S18" s="49">
        <v>21</v>
      </c>
      <c r="T18" s="49">
        <v>21</v>
      </c>
      <c r="U18" s="49">
        <v>21</v>
      </c>
      <c r="V18" s="49">
        <v>21</v>
      </c>
      <c r="W18" s="49">
        <v>21</v>
      </c>
      <c r="X18" s="49">
        <v>21</v>
      </c>
      <c r="Y18" s="49">
        <v>21</v>
      </c>
      <c r="Z18" s="49">
        <v>21</v>
      </c>
      <c r="AA18" s="49">
        <v>21</v>
      </c>
      <c r="AB18" s="49">
        <v>21</v>
      </c>
      <c r="AC18" s="49">
        <v>21</v>
      </c>
      <c r="AD18" s="49">
        <v>21</v>
      </c>
      <c r="AE18" s="49">
        <v>21</v>
      </c>
      <c r="AF18" s="49">
        <v>21</v>
      </c>
      <c r="AG18" s="59">
        <v>22.1</v>
      </c>
      <c r="AH18" s="52">
        <f t="shared" si="2"/>
        <v>21.6</v>
      </c>
      <c r="AI18" s="53">
        <f t="shared" si="3"/>
        <v>21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24.5</v>
      </c>
      <c r="C19" s="56">
        <v>24.4</v>
      </c>
      <c r="D19" s="56">
        <v>24.2</v>
      </c>
      <c r="E19" s="56">
        <v>24.4</v>
      </c>
      <c r="F19" s="56">
        <v>24.5</v>
      </c>
      <c r="G19" s="56">
        <v>24.3</v>
      </c>
      <c r="H19" s="56">
        <v>24.2</v>
      </c>
      <c r="I19" s="56">
        <v>23.1</v>
      </c>
      <c r="J19" s="56">
        <v>23.1</v>
      </c>
      <c r="K19" s="56">
        <v>23.1</v>
      </c>
      <c r="L19" s="49">
        <v>21.2</v>
      </c>
      <c r="M19" s="49">
        <v>22.2</v>
      </c>
      <c r="N19" s="49">
        <v>21.9</v>
      </c>
      <c r="O19" s="49">
        <v>21.9</v>
      </c>
      <c r="P19" s="49">
        <v>21.9</v>
      </c>
      <c r="Q19" s="49">
        <v>19.5</v>
      </c>
      <c r="R19" s="49">
        <v>23.8</v>
      </c>
      <c r="S19" s="49">
        <v>26.5</v>
      </c>
      <c r="T19" s="49">
        <v>26.5</v>
      </c>
      <c r="U19" s="49">
        <v>24</v>
      </c>
      <c r="V19" s="49">
        <v>22</v>
      </c>
      <c r="W19" s="49">
        <v>22</v>
      </c>
      <c r="X19" s="49">
        <v>22</v>
      </c>
      <c r="Y19" s="49">
        <v>20</v>
      </c>
      <c r="Z19" s="49">
        <v>21</v>
      </c>
      <c r="AA19" s="49">
        <v>18</v>
      </c>
      <c r="AB19" s="49">
        <v>18</v>
      </c>
      <c r="AC19" s="49">
        <v>17.600000000000001</v>
      </c>
      <c r="AD19" s="49">
        <v>0</v>
      </c>
      <c r="AE19" s="49">
        <v>0</v>
      </c>
      <c r="AF19" s="49">
        <v>22</v>
      </c>
      <c r="AG19" s="59">
        <v>22</v>
      </c>
      <c r="AH19" s="52">
        <f t="shared" si="2"/>
        <v>26.5</v>
      </c>
      <c r="AI19" s="53">
        <f t="shared" si="3"/>
        <v>0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20</v>
      </c>
      <c r="C20" s="56">
        <v>20</v>
      </c>
      <c r="D20" s="56">
        <v>20</v>
      </c>
      <c r="E20" s="56">
        <v>20</v>
      </c>
      <c r="F20" s="56">
        <v>20</v>
      </c>
      <c r="G20" s="56">
        <v>20</v>
      </c>
      <c r="H20" s="56">
        <v>20</v>
      </c>
      <c r="I20" s="56">
        <v>20</v>
      </c>
      <c r="J20" s="56">
        <v>20</v>
      </c>
      <c r="K20" s="56">
        <v>20</v>
      </c>
      <c r="L20" s="56">
        <v>20</v>
      </c>
      <c r="M20" s="49">
        <v>22</v>
      </c>
      <c r="N20" s="49">
        <v>22</v>
      </c>
      <c r="O20" s="49">
        <v>22</v>
      </c>
      <c r="P20" s="49">
        <v>22</v>
      </c>
      <c r="Q20" s="49">
        <v>22</v>
      </c>
      <c r="R20" s="49">
        <v>22</v>
      </c>
      <c r="S20" s="49">
        <v>22</v>
      </c>
      <c r="T20" s="49">
        <v>22</v>
      </c>
      <c r="U20" s="49">
        <v>22</v>
      </c>
      <c r="V20" s="49">
        <v>22</v>
      </c>
      <c r="W20" s="49">
        <v>22</v>
      </c>
      <c r="X20" s="49">
        <v>22</v>
      </c>
      <c r="Y20" s="49">
        <v>22</v>
      </c>
      <c r="Z20" s="49">
        <v>22</v>
      </c>
      <c r="AA20" s="49">
        <v>22</v>
      </c>
      <c r="AB20" s="49">
        <v>22</v>
      </c>
      <c r="AC20" s="49">
        <v>22</v>
      </c>
      <c r="AD20" s="49">
        <v>22</v>
      </c>
      <c r="AE20" s="49">
        <v>22</v>
      </c>
      <c r="AF20" s="49">
        <v>22</v>
      </c>
      <c r="AG20" s="59">
        <v>22</v>
      </c>
      <c r="AH20" s="52">
        <f t="shared" si="2"/>
        <v>22</v>
      </c>
      <c r="AI20" s="53">
        <f t="shared" si="3"/>
        <v>20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7.8</v>
      </c>
      <c r="C21" s="56">
        <v>7.8</v>
      </c>
      <c r="D21" s="56">
        <v>7.8</v>
      </c>
      <c r="E21" s="56">
        <v>7.8</v>
      </c>
      <c r="F21" s="56">
        <v>7.8</v>
      </c>
      <c r="G21" s="56">
        <v>7.8</v>
      </c>
      <c r="H21" s="56">
        <v>7.8</v>
      </c>
      <c r="I21" s="56">
        <v>7.8</v>
      </c>
      <c r="J21" s="56">
        <v>7.8</v>
      </c>
      <c r="K21" s="56">
        <v>7.8</v>
      </c>
      <c r="L21" s="56">
        <v>7.8</v>
      </c>
      <c r="M21" s="49">
        <v>7.8</v>
      </c>
      <c r="N21" s="49">
        <v>7.8</v>
      </c>
      <c r="O21" s="49">
        <v>7.8</v>
      </c>
      <c r="P21" s="49">
        <v>7.8</v>
      </c>
      <c r="Q21" s="49">
        <v>7.8</v>
      </c>
      <c r="R21" s="49">
        <v>7.8</v>
      </c>
      <c r="S21" s="49">
        <v>7.8</v>
      </c>
      <c r="T21" s="49">
        <v>7.8</v>
      </c>
      <c r="U21" s="49">
        <v>7.8</v>
      </c>
      <c r="V21" s="49">
        <v>7.8</v>
      </c>
      <c r="W21" s="49">
        <v>7.8</v>
      </c>
      <c r="X21" s="49">
        <v>7.8</v>
      </c>
      <c r="Y21" s="49">
        <v>7.8</v>
      </c>
      <c r="Z21" s="49">
        <v>7.8</v>
      </c>
      <c r="AA21" s="49">
        <v>7.8</v>
      </c>
      <c r="AB21" s="49">
        <v>7.8</v>
      </c>
      <c r="AC21" s="49">
        <v>7.8</v>
      </c>
      <c r="AD21" s="49">
        <v>7.8</v>
      </c>
      <c r="AE21" s="49">
        <v>7.8</v>
      </c>
      <c r="AF21" s="49">
        <v>7.8</v>
      </c>
      <c r="AG21" s="59">
        <v>14.9</v>
      </c>
      <c r="AH21" s="52">
        <f t="shared" si="2"/>
        <v>7.8</v>
      </c>
      <c r="AI21" s="53">
        <f t="shared" si="3"/>
        <v>7.8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49">
        <v>5</v>
      </c>
      <c r="AB22" s="49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</v>
      </c>
      <c r="C23" s="56">
        <v>10</v>
      </c>
      <c r="D23" s="56">
        <v>10</v>
      </c>
      <c r="E23" s="56">
        <v>10</v>
      </c>
      <c r="F23" s="56">
        <v>10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56">
        <v>10</v>
      </c>
      <c r="M23" s="56">
        <v>10</v>
      </c>
      <c r="N23" s="56">
        <v>10</v>
      </c>
      <c r="O23" s="56">
        <v>10</v>
      </c>
      <c r="P23" s="56">
        <v>10</v>
      </c>
      <c r="Q23" s="56">
        <v>10</v>
      </c>
      <c r="R23" s="56">
        <v>10</v>
      </c>
      <c r="S23" s="56">
        <v>10</v>
      </c>
      <c r="T23" s="56">
        <v>10</v>
      </c>
      <c r="U23" s="56">
        <v>10</v>
      </c>
      <c r="V23" s="56">
        <v>10</v>
      </c>
      <c r="W23" s="56">
        <v>10</v>
      </c>
      <c r="X23" s="56">
        <v>10</v>
      </c>
      <c r="Y23" s="56">
        <v>10</v>
      </c>
      <c r="Z23" s="56">
        <v>10</v>
      </c>
      <c r="AA23" s="49">
        <v>10</v>
      </c>
      <c r="AB23" s="49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</v>
      </c>
      <c r="AH23" s="52">
        <f t="shared" si="2"/>
        <v>10</v>
      </c>
      <c r="AI23" s="53">
        <f t="shared" si="3"/>
        <v>10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12</v>
      </c>
      <c r="C24" s="56">
        <v>12</v>
      </c>
      <c r="D24" s="56">
        <v>12</v>
      </c>
      <c r="E24" s="56">
        <v>12</v>
      </c>
      <c r="F24" s="56">
        <v>12</v>
      </c>
      <c r="G24" s="56">
        <v>12</v>
      </c>
      <c r="H24" s="56">
        <v>12</v>
      </c>
      <c r="I24" s="56">
        <v>12</v>
      </c>
      <c r="J24" s="56">
        <v>12</v>
      </c>
      <c r="K24" s="56">
        <v>12</v>
      </c>
      <c r="L24" s="56">
        <v>12</v>
      </c>
      <c r="M24" s="56">
        <v>12</v>
      </c>
      <c r="N24" s="56">
        <v>12</v>
      </c>
      <c r="O24" s="56">
        <v>12</v>
      </c>
      <c r="P24" s="56">
        <v>12</v>
      </c>
      <c r="Q24" s="56">
        <v>12</v>
      </c>
      <c r="R24" s="56">
        <v>12</v>
      </c>
      <c r="S24" s="56">
        <v>12</v>
      </c>
      <c r="T24" s="56">
        <v>12</v>
      </c>
      <c r="U24" s="56">
        <v>12</v>
      </c>
      <c r="V24" s="56">
        <v>12</v>
      </c>
      <c r="W24" s="56">
        <v>12</v>
      </c>
      <c r="X24" s="56">
        <v>12</v>
      </c>
      <c r="Y24" s="56">
        <v>12</v>
      </c>
      <c r="Z24" s="56">
        <v>12</v>
      </c>
      <c r="AA24" s="49">
        <v>12</v>
      </c>
      <c r="AB24" s="49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0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49">
        <v>0</v>
      </c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59">
        <v>12</v>
      </c>
      <c r="AH26" s="52">
        <f>MAX(B26:AF26)</f>
        <v>0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167</v>
      </c>
      <c r="C28" s="56">
        <v>167</v>
      </c>
      <c r="D28" s="56">
        <v>167</v>
      </c>
      <c r="E28" s="56">
        <v>167</v>
      </c>
      <c r="F28" s="56">
        <v>167</v>
      </c>
      <c r="G28" s="56">
        <v>167</v>
      </c>
      <c r="H28" s="56">
        <v>167</v>
      </c>
      <c r="I28" s="56">
        <v>167</v>
      </c>
      <c r="J28" s="56">
        <v>167</v>
      </c>
      <c r="K28" s="56">
        <v>167</v>
      </c>
      <c r="L28" s="56">
        <v>167</v>
      </c>
      <c r="M28" s="56">
        <v>167</v>
      </c>
      <c r="N28" s="56">
        <v>167</v>
      </c>
      <c r="O28" s="56">
        <v>167</v>
      </c>
      <c r="P28" s="56">
        <v>167</v>
      </c>
      <c r="Q28" s="56">
        <v>167</v>
      </c>
      <c r="R28" s="56">
        <v>167</v>
      </c>
      <c r="S28" s="56">
        <v>167</v>
      </c>
      <c r="T28" s="56">
        <v>167</v>
      </c>
      <c r="U28" s="56">
        <v>167</v>
      </c>
      <c r="V28" s="56">
        <v>167</v>
      </c>
      <c r="W28" s="56">
        <v>167</v>
      </c>
      <c r="X28" s="56">
        <v>167</v>
      </c>
      <c r="Y28" s="56">
        <v>167</v>
      </c>
      <c r="Z28" s="56">
        <v>167</v>
      </c>
      <c r="AA28" s="56">
        <v>167</v>
      </c>
      <c r="AB28" s="56">
        <v>167</v>
      </c>
      <c r="AC28" s="56">
        <v>167</v>
      </c>
      <c r="AD28" s="56">
        <v>167</v>
      </c>
      <c r="AE28" s="56">
        <v>167</v>
      </c>
      <c r="AF28" s="56">
        <v>167</v>
      </c>
      <c r="AG28" s="59">
        <v>85</v>
      </c>
      <c r="AH28" s="52">
        <f t="shared" si="2"/>
        <v>167</v>
      </c>
      <c r="AI28" s="53">
        <f t="shared" si="3"/>
        <v>167</v>
      </c>
      <c r="AK28" s="54"/>
    </row>
    <row r="29" spans="1:88" ht="15.75" thickBot="1" x14ac:dyDescent="0.3">
      <c r="A29" s="66" t="s">
        <v>36</v>
      </c>
      <c r="B29" s="56">
        <v>120.4</v>
      </c>
      <c r="C29" s="56">
        <v>128.19999999999999</v>
      </c>
      <c r="D29" s="56">
        <v>130</v>
      </c>
      <c r="E29" s="56">
        <v>137.9</v>
      </c>
      <c r="F29" s="56">
        <v>137.4</v>
      </c>
      <c r="G29" s="56">
        <v>140</v>
      </c>
      <c r="H29" s="56">
        <v>144.30000000000001</v>
      </c>
      <c r="I29" s="56">
        <v>144.19999999999999</v>
      </c>
      <c r="J29" s="56">
        <v>142.4</v>
      </c>
      <c r="K29" s="56">
        <v>146.9</v>
      </c>
      <c r="L29" s="67">
        <v>147.6</v>
      </c>
      <c r="M29" s="67">
        <v>138</v>
      </c>
      <c r="N29" s="67">
        <v>140.69999999999999</v>
      </c>
      <c r="O29" s="67">
        <v>137</v>
      </c>
      <c r="P29" s="67">
        <v>115.5</v>
      </c>
      <c r="Q29" s="67">
        <v>134.4</v>
      </c>
      <c r="R29" s="67">
        <v>147.69999999999999</v>
      </c>
      <c r="S29" s="67">
        <v>133.30000000000001</v>
      </c>
      <c r="T29" s="67">
        <v>148.19999999999999</v>
      </c>
      <c r="U29" s="67">
        <v>146.30000000000001</v>
      </c>
      <c r="V29" s="67">
        <v>131.19999999999999</v>
      </c>
      <c r="W29" s="67">
        <v>123.1</v>
      </c>
      <c r="X29" s="67">
        <v>141.9</v>
      </c>
      <c r="Y29" s="67">
        <v>141.4</v>
      </c>
      <c r="Z29" s="67">
        <v>143.80000000000001</v>
      </c>
      <c r="AA29" s="67">
        <v>144</v>
      </c>
      <c r="AB29" s="67">
        <v>144</v>
      </c>
      <c r="AC29" s="67">
        <v>148.30000000000001</v>
      </c>
      <c r="AD29" s="67">
        <v>148.19999999999999</v>
      </c>
      <c r="AE29" s="56">
        <v>141.9</v>
      </c>
      <c r="AF29" s="56">
        <v>148</v>
      </c>
      <c r="AG29" s="59">
        <v>240</v>
      </c>
      <c r="AH29" s="52">
        <f t="shared" si="2"/>
        <v>148.30000000000001</v>
      </c>
      <c r="AI29" s="53">
        <f t="shared" si="3"/>
        <v>115.5</v>
      </c>
      <c r="AK29" s="54"/>
    </row>
    <row r="30" spans="1:88" ht="15.75" thickBot="1" x14ac:dyDescent="0.3">
      <c r="A30" s="68" t="s">
        <v>37</v>
      </c>
      <c r="B30" s="69">
        <f t="shared" ref="B30:AF30" si="4">SUM(B11:B28)</f>
        <v>492.79999999999995</v>
      </c>
      <c r="C30" s="69">
        <f t="shared" si="4"/>
        <v>492.8</v>
      </c>
      <c r="D30" s="69">
        <f t="shared" si="4"/>
        <v>486.2</v>
      </c>
      <c r="E30" s="69">
        <f t="shared" si="4"/>
        <v>485.99999999999994</v>
      </c>
      <c r="F30" s="69">
        <f t="shared" si="4"/>
        <v>486.19999999999993</v>
      </c>
      <c r="G30" s="69">
        <f t="shared" si="4"/>
        <v>491</v>
      </c>
      <c r="H30" s="69">
        <f t="shared" si="4"/>
        <v>486</v>
      </c>
      <c r="I30" s="69">
        <f t="shared" si="4"/>
        <v>485</v>
      </c>
      <c r="J30" s="69">
        <f t="shared" si="4"/>
        <v>485.1</v>
      </c>
      <c r="K30" s="69">
        <f t="shared" si="4"/>
        <v>484.7</v>
      </c>
      <c r="L30" s="69">
        <f t="shared" si="4"/>
        <v>459.09999999999997</v>
      </c>
      <c r="M30" s="69">
        <f t="shared" si="4"/>
        <v>461.2</v>
      </c>
      <c r="N30" s="69">
        <f t="shared" si="4"/>
        <v>460.7</v>
      </c>
      <c r="O30" s="69">
        <f t="shared" si="4"/>
        <v>473.4</v>
      </c>
      <c r="P30" s="69">
        <f t="shared" si="4"/>
        <v>485.7</v>
      </c>
      <c r="Q30" s="69">
        <f t="shared" si="4"/>
        <v>483.79999999999995</v>
      </c>
      <c r="R30" s="69">
        <f t="shared" si="4"/>
        <v>487.79999999999995</v>
      </c>
      <c r="S30" s="69">
        <f t="shared" si="4"/>
        <v>490.5</v>
      </c>
      <c r="T30" s="69">
        <f>SUM(T11:T28)</f>
        <v>490.9</v>
      </c>
      <c r="U30" s="69">
        <f t="shared" si="4"/>
        <v>488.29999999999995</v>
      </c>
      <c r="V30" s="69">
        <f>SUM(V11:V28)</f>
        <v>458.7</v>
      </c>
      <c r="W30" s="69">
        <f t="shared" si="4"/>
        <v>458.7</v>
      </c>
      <c r="X30" s="69">
        <f t="shared" si="4"/>
        <v>408.1</v>
      </c>
      <c r="Y30" s="69">
        <f t="shared" si="4"/>
        <v>457</v>
      </c>
      <c r="Z30" s="69">
        <f t="shared" si="4"/>
        <v>457.79999999999995</v>
      </c>
      <c r="AA30" s="69">
        <f t="shared" si="4"/>
        <v>455.09999999999997</v>
      </c>
      <c r="AB30" s="69">
        <f t="shared" si="4"/>
        <v>455.09999999999997</v>
      </c>
      <c r="AC30" s="69">
        <f t="shared" si="4"/>
        <v>462.2</v>
      </c>
      <c r="AD30" s="69">
        <f t="shared" si="4"/>
        <v>449.4</v>
      </c>
      <c r="AE30" s="69">
        <f t="shared" si="4"/>
        <v>450.3</v>
      </c>
      <c r="AF30" s="69">
        <f t="shared" si="4"/>
        <v>471.7</v>
      </c>
      <c r="AG30" s="59">
        <f>SUM(AG11:AG29)</f>
        <v>729.2</v>
      </c>
      <c r="AH30" s="52">
        <f t="shared" si="2"/>
        <v>492.8</v>
      </c>
      <c r="AI30" s="53">
        <f t="shared" si="3"/>
        <v>408.1</v>
      </c>
      <c r="AK30" s="54"/>
    </row>
    <row r="31" spans="1:88" x14ac:dyDescent="0.25">
      <c r="A31" s="55" t="s">
        <v>38</v>
      </c>
      <c r="B31" s="56">
        <v>30.3</v>
      </c>
      <c r="C31" s="56">
        <v>30.6</v>
      </c>
      <c r="D31" s="56">
        <v>30.4</v>
      </c>
      <c r="E31" s="56">
        <v>30.5</v>
      </c>
      <c r="F31" s="56">
        <v>30.3</v>
      </c>
      <c r="G31" s="56">
        <v>30.4</v>
      </c>
      <c r="H31" s="56">
        <v>44.3</v>
      </c>
      <c r="I31" s="56">
        <v>45.5</v>
      </c>
      <c r="J31" s="56">
        <v>66.2</v>
      </c>
      <c r="K31" s="56">
        <v>70.8</v>
      </c>
      <c r="L31" s="49">
        <v>96.7</v>
      </c>
      <c r="M31" s="49">
        <v>97</v>
      </c>
      <c r="N31" s="49">
        <v>97</v>
      </c>
      <c r="O31" s="49">
        <v>97</v>
      </c>
      <c r="P31" s="49">
        <v>60</v>
      </c>
      <c r="Q31" s="49">
        <v>30.4</v>
      </c>
      <c r="R31" s="49">
        <v>30.3</v>
      </c>
      <c r="S31" s="49">
        <v>30.3</v>
      </c>
      <c r="T31" s="49">
        <v>30.3</v>
      </c>
      <c r="U31" s="49">
        <v>48.3</v>
      </c>
      <c r="V31" s="49">
        <v>76.2</v>
      </c>
      <c r="W31" s="49">
        <v>97</v>
      </c>
      <c r="X31" s="49">
        <v>96.9</v>
      </c>
      <c r="Y31" s="49">
        <v>97.6</v>
      </c>
      <c r="Z31" s="49">
        <v>97</v>
      </c>
      <c r="AA31" s="48">
        <v>97</v>
      </c>
      <c r="AB31" s="48">
        <v>97</v>
      </c>
      <c r="AC31" s="48">
        <v>134.30000000000001</v>
      </c>
      <c r="AD31" s="48">
        <v>97</v>
      </c>
      <c r="AE31" s="48">
        <v>81</v>
      </c>
      <c r="AF31" s="48">
        <v>48</v>
      </c>
      <c r="AG31" s="57">
        <v>144</v>
      </c>
      <c r="AH31" s="52">
        <f t="shared" si="2"/>
        <v>134.30000000000001</v>
      </c>
      <c r="AI31" s="53">
        <f t="shared" si="3"/>
        <v>30.3</v>
      </c>
      <c r="AK31" s="54"/>
    </row>
    <row r="32" spans="1:88" x14ac:dyDescent="0.25">
      <c r="A32" s="58" t="s">
        <v>39</v>
      </c>
      <c r="B32" s="56">
        <v>35</v>
      </c>
      <c r="C32" s="56">
        <v>36.1</v>
      </c>
      <c r="D32" s="56">
        <v>34.6</v>
      </c>
      <c r="E32" s="56">
        <v>26.1</v>
      </c>
      <c r="F32" s="56">
        <v>26.4</v>
      </c>
      <c r="G32" s="56">
        <v>25.6</v>
      </c>
      <c r="H32" s="56">
        <v>34.9</v>
      </c>
      <c r="I32" s="56">
        <v>34.5</v>
      </c>
      <c r="J32" s="56">
        <v>35</v>
      </c>
      <c r="K32" s="56">
        <v>46.7</v>
      </c>
      <c r="L32" s="70">
        <v>69</v>
      </c>
      <c r="M32" s="70">
        <v>63.5</v>
      </c>
      <c r="N32" s="70">
        <v>64</v>
      </c>
      <c r="O32" s="70">
        <v>64</v>
      </c>
      <c r="P32" s="70">
        <v>35</v>
      </c>
      <c r="Q32" s="70">
        <v>34</v>
      </c>
      <c r="R32" s="70">
        <v>35.799999999999997</v>
      </c>
      <c r="S32" s="70">
        <v>26</v>
      </c>
      <c r="T32" s="70">
        <v>35.6</v>
      </c>
      <c r="U32" s="70">
        <v>34.200000000000003</v>
      </c>
      <c r="V32" s="70">
        <v>48.6</v>
      </c>
      <c r="W32" s="70">
        <v>49.4</v>
      </c>
      <c r="X32" s="70">
        <v>68.8</v>
      </c>
      <c r="Y32" s="70">
        <v>69.400000000000006</v>
      </c>
      <c r="Z32" s="70">
        <v>70.2</v>
      </c>
      <c r="AA32" s="56">
        <v>70.8</v>
      </c>
      <c r="AB32" s="56">
        <v>70.8</v>
      </c>
      <c r="AC32" s="56">
        <v>70.3</v>
      </c>
      <c r="AD32" s="56">
        <v>64.5</v>
      </c>
      <c r="AE32" s="56">
        <v>60.2</v>
      </c>
      <c r="AF32" s="56">
        <v>35</v>
      </c>
      <c r="AG32" s="59">
        <v>70</v>
      </c>
      <c r="AH32" s="52">
        <f t="shared" si="2"/>
        <v>70.8</v>
      </c>
      <c r="AI32" s="53">
        <f t="shared" si="3"/>
        <v>25.6</v>
      </c>
      <c r="AK32" s="54"/>
    </row>
    <row r="33" spans="1:41" x14ac:dyDescent="0.25">
      <c r="A33" s="58" t="s">
        <v>40</v>
      </c>
      <c r="B33" s="56">
        <v>37.5</v>
      </c>
      <c r="C33" s="56">
        <v>16</v>
      </c>
      <c r="D33" s="56">
        <v>15.9</v>
      </c>
      <c r="E33" s="56">
        <v>15.8</v>
      </c>
      <c r="F33" s="56">
        <v>15.9</v>
      </c>
      <c r="G33" s="56">
        <v>15.9</v>
      </c>
      <c r="H33" s="56">
        <v>15.9</v>
      </c>
      <c r="I33" s="56">
        <v>23.1</v>
      </c>
      <c r="J33" s="56">
        <v>22.5</v>
      </c>
      <c r="K33" s="56">
        <v>22.4</v>
      </c>
      <c r="L33" s="70">
        <v>44</v>
      </c>
      <c r="M33" s="70">
        <v>67.400000000000006</v>
      </c>
      <c r="N33" s="70">
        <v>65.8</v>
      </c>
      <c r="O33" s="70">
        <v>65.8</v>
      </c>
      <c r="P33" s="70">
        <v>46</v>
      </c>
      <c r="Q33" s="70">
        <v>45.6</v>
      </c>
      <c r="R33" s="70">
        <v>18.5</v>
      </c>
      <c r="S33" s="70">
        <v>18.5</v>
      </c>
      <c r="T33" s="70">
        <v>18.399999999999999</v>
      </c>
      <c r="U33" s="70">
        <v>44.3</v>
      </c>
      <c r="V33" s="70">
        <v>44.2</v>
      </c>
      <c r="W33" s="70">
        <v>44.1</v>
      </c>
      <c r="X33" s="70">
        <v>44.3</v>
      </c>
      <c r="Y33" s="70">
        <v>45.4</v>
      </c>
      <c r="Z33" s="70">
        <v>45.4</v>
      </c>
      <c r="AA33" s="56">
        <v>45.2</v>
      </c>
      <c r="AB33" s="56">
        <v>45.2</v>
      </c>
      <c r="AC33" s="56">
        <v>45.2</v>
      </c>
      <c r="AD33" s="56">
        <v>40</v>
      </c>
      <c r="AE33" s="56">
        <v>44.4</v>
      </c>
      <c r="AF33" s="56">
        <v>16</v>
      </c>
      <c r="AG33" s="59">
        <v>69</v>
      </c>
      <c r="AH33" s="52">
        <f t="shared" si="2"/>
        <v>67.400000000000006</v>
      </c>
      <c r="AI33" s="53">
        <f t="shared" si="3"/>
        <v>15.8</v>
      </c>
      <c r="AK33" s="54"/>
    </row>
    <row r="34" spans="1:41" x14ac:dyDescent="0.25">
      <c r="A34" s="58" t="s">
        <v>41</v>
      </c>
      <c r="B34" s="56">
        <v>28.7</v>
      </c>
      <c r="C34" s="56">
        <v>29</v>
      </c>
      <c r="D34" s="56">
        <v>29</v>
      </c>
      <c r="E34" s="56">
        <v>29</v>
      </c>
      <c r="F34" s="56">
        <v>29</v>
      </c>
      <c r="G34" s="56">
        <v>28.7</v>
      </c>
      <c r="H34" s="56">
        <v>28.7</v>
      </c>
      <c r="I34" s="56">
        <v>28.7</v>
      </c>
      <c r="J34" s="56">
        <v>28.7</v>
      </c>
      <c r="K34" s="56">
        <v>29</v>
      </c>
      <c r="L34" s="70">
        <v>29</v>
      </c>
      <c r="M34" s="70">
        <v>29</v>
      </c>
      <c r="N34" s="70">
        <v>29</v>
      </c>
      <c r="O34" s="70">
        <v>29</v>
      </c>
      <c r="P34" s="70">
        <v>29</v>
      </c>
      <c r="Q34" s="70">
        <v>29</v>
      </c>
      <c r="R34" s="70">
        <v>29</v>
      </c>
      <c r="S34" s="70">
        <v>29.2</v>
      </c>
      <c r="T34" s="70">
        <v>29</v>
      </c>
      <c r="U34" s="70">
        <v>29</v>
      </c>
      <c r="V34" s="70">
        <v>29</v>
      </c>
      <c r="W34" s="70">
        <v>29</v>
      </c>
      <c r="X34" s="70">
        <v>29</v>
      </c>
      <c r="Y34" s="70">
        <v>29</v>
      </c>
      <c r="Z34" s="70">
        <v>29</v>
      </c>
      <c r="AA34" s="56">
        <v>29</v>
      </c>
      <c r="AB34" s="56">
        <v>29</v>
      </c>
      <c r="AC34" s="56">
        <v>29</v>
      </c>
      <c r="AD34" s="56">
        <v>28.7</v>
      </c>
      <c r="AE34" s="56">
        <v>29</v>
      </c>
      <c r="AF34" s="56">
        <v>29</v>
      </c>
      <c r="AG34" s="59">
        <v>60</v>
      </c>
      <c r="AH34" s="52">
        <f t="shared" si="2"/>
        <v>29.2</v>
      </c>
      <c r="AI34" s="53">
        <f t="shared" si="3"/>
        <v>28.7</v>
      </c>
      <c r="AK34" s="54"/>
    </row>
    <row r="35" spans="1:41" x14ac:dyDescent="0.25">
      <c r="A35" s="58" t="s">
        <v>42</v>
      </c>
      <c r="B35" s="56">
        <v>20</v>
      </c>
      <c r="C35" s="56">
        <v>20</v>
      </c>
      <c r="D35" s="56">
        <v>20</v>
      </c>
      <c r="E35" s="56">
        <v>20</v>
      </c>
      <c r="F35" s="56">
        <v>20</v>
      </c>
      <c r="G35" s="56">
        <v>20</v>
      </c>
      <c r="H35" s="56">
        <v>20</v>
      </c>
      <c r="I35" s="56">
        <v>20</v>
      </c>
      <c r="J35" s="56">
        <v>20</v>
      </c>
      <c r="K35" s="56">
        <v>13.1</v>
      </c>
      <c r="L35" s="49">
        <v>0</v>
      </c>
      <c r="M35" s="49">
        <v>0</v>
      </c>
      <c r="N35" s="49">
        <v>0</v>
      </c>
      <c r="O35" s="49">
        <v>0</v>
      </c>
      <c r="P35" s="49">
        <v>10</v>
      </c>
      <c r="Q35" s="49">
        <v>10</v>
      </c>
      <c r="R35" s="49">
        <v>10</v>
      </c>
      <c r="S35" s="49">
        <v>20.7</v>
      </c>
      <c r="T35" s="49">
        <v>20.8</v>
      </c>
      <c r="U35" s="49">
        <v>20.6</v>
      </c>
      <c r="V35" s="70">
        <v>20.6</v>
      </c>
      <c r="W35" s="70">
        <v>20.7</v>
      </c>
      <c r="X35" s="70">
        <v>20.9</v>
      </c>
      <c r="Y35" s="70">
        <v>21</v>
      </c>
      <c r="Z35" s="70">
        <v>20.6</v>
      </c>
      <c r="AA35" s="56">
        <v>23</v>
      </c>
      <c r="AB35" s="56">
        <v>23</v>
      </c>
      <c r="AC35" s="56">
        <v>23.7</v>
      </c>
      <c r="AD35" s="56">
        <v>20</v>
      </c>
      <c r="AE35" s="56">
        <v>20</v>
      </c>
      <c r="AF35" s="56">
        <v>20</v>
      </c>
      <c r="AG35" s="59">
        <v>30</v>
      </c>
      <c r="AH35" s="52">
        <f t="shared" si="2"/>
        <v>23.7</v>
      </c>
      <c r="AI35" s="53">
        <f t="shared" si="3"/>
        <v>0</v>
      </c>
      <c r="AK35" s="54"/>
    </row>
    <row r="36" spans="1:41" x14ac:dyDescent="0.25">
      <c r="A36" s="58" t="s">
        <v>43</v>
      </c>
      <c r="B36" s="71">
        <v>13.6</v>
      </c>
      <c r="C36" s="71">
        <v>13.7</v>
      </c>
      <c r="D36" s="71">
        <v>13.6</v>
      </c>
      <c r="E36" s="71">
        <v>13.2</v>
      </c>
      <c r="F36" s="71">
        <v>13.1</v>
      </c>
      <c r="G36" s="71">
        <v>13</v>
      </c>
      <c r="H36" s="71">
        <v>12.9</v>
      </c>
      <c r="I36" s="71">
        <v>12.9</v>
      </c>
      <c r="J36" s="71">
        <v>12.9</v>
      </c>
      <c r="K36" s="71">
        <v>11.3</v>
      </c>
      <c r="L36" s="49">
        <v>14.8</v>
      </c>
      <c r="M36" s="49">
        <v>15.9</v>
      </c>
      <c r="N36" s="49">
        <v>15.9</v>
      </c>
      <c r="O36" s="49">
        <v>15.9</v>
      </c>
      <c r="P36" s="49">
        <v>15.9</v>
      </c>
      <c r="Q36" s="49">
        <v>15.9</v>
      </c>
      <c r="R36" s="49">
        <v>15.7</v>
      </c>
      <c r="S36" s="49">
        <v>15.9</v>
      </c>
      <c r="T36" s="49">
        <v>11.8</v>
      </c>
      <c r="U36" s="49">
        <v>16.399999999999999</v>
      </c>
      <c r="V36" s="49">
        <v>16.2</v>
      </c>
      <c r="W36" s="49">
        <v>16.2</v>
      </c>
      <c r="X36" s="49">
        <v>16.100000000000001</v>
      </c>
      <c r="Y36" s="49">
        <v>16</v>
      </c>
      <c r="Z36" s="49">
        <v>15.8</v>
      </c>
      <c r="AA36" s="56">
        <v>15.7</v>
      </c>
      <c r="AB36" s="56">
        <v>15.7</v>
      </c>
      <c r="AC36" s="56">
        <v>15.2</v>
      </c>
      <c r="AD36" s="56">
        <v>14.8</v>
      </c>
      <c r="AE36" s="56">
        <v>13.8</v>
      </c>
      <c r="AF36" s="56">
        <v>13.8</v>
      </c>
      <c r="AG36" s="59">
        <v>24</v>
      </c>
      <c r="AH36" s="52">
        <f t="shared" si="2"/>
        <v>16.399999999999999</v>
      </c>
      <c r="AI36" s="53">
        <f t="shared" si="3"/>
        <v>11.3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49">
        <v>3.9</v>
      </c>
      <c r="M39" s="49">
        <v>3.9</v>
      </c>
      <c r="N39" s="49">
        <v>3.9</v>
      </c>
      <c r="O39" s="49">
        <v>3.9</v>
      </c>
      <c r="P39" s="49">
        <v>3.9</v>
      </c>
      <c r="Q39" s="49">
        <v>3.9</v>
      </c>
      <c r="R39" s="49">
        <v>3.9</v>
      </c>
      <c r="S39" s="49">
        <v>3.9</v>
      </c>
      <c r="T39" s="49">
        <v>3.9</v>
      </c>
      <c r="U39" s="49">
        <v>3.9</v>
      </c>
      <c r="V39" s="49">
        <v>3.9</v>
      </c>
      <c r="W39" s="49">
        <v>3.9</v>
      </c>
      <c r="X39" s="49">
        <v>3.9</v>
      </c>
      <c r="Y39" s="49">
        <v>3.9</v>
      </c>
      <c r="Z39" s="49">
        <v>3.9</v>
      </c>
      <c r="AA39" s="56">
        <v>3.9</v>
      </c>
      <c r="AB39" s="56">
        <v>3.9</v>
      </c>
      <c r="AC39" s="56">
        <v>3.9</v>
      </c>
      <c r="AD39" s="56">
        <v>3.9</v>
      </c>
      <c r="AE39" s="56">
        <v>3.9</v>
      </c>
      <c r="AF39" s="56">
        <v>3.9</v>
      </c>
      <c r="AG39" s="59">
        <v>14</v>
      </c>
      <c r="AH39" s="52">
        <f t="shared" si="2"/>
        <v>3.9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8.8000000000000007</v>
      </c>
      <c r="C40" s="56">
        <v>8.8000000000000007</v>
      </c>
      <c r="D40" s="56">
        <v>8.8000000000000007</v>
      </c>
      <c r="E40" s="56">
        <v>8.8000000000000007</v>
      </c>
      <c r="F40" s="56">
        <v>8.8000000000000007</v>
      </c>
      <c r="G40" s="56">
        <v>8.8000000000000007</v>
      </c>
      <c r="H40" s="56">
        <v>8.8000000000000007</v>
      </c>
      <c r="I40" s="56">
        <v>8.8000000000000007</v>
      </c>
      <c r="J40" s="56">
        <v>8.8000000000000007</v>
      </c>
      <c r="K40" s="56">
        <v>8.8000000000000007</v>
      </c>
      <c r="L40" s="49">
        <v>8.8000000000000007</v>
      </c>
      <c r="M40" s="49">
        <v>8.8000000000000007</v>
      </c>
      <c r="N40" s="49">
        <v>8.8000000000000007</v>
      </c>
      <c r="O40" s="49">
        <v>8.8000000000000007</v>
      </c>
      <c r="P40" s="49">
        <v>8.8000000000000007</v>
      </c>
      <c r="Q40" s="49">
        <v>8.8000000000000007</v>
      </c>
      <c r="R40" s="49">
        <v>8.8000000000000007</v>
      </c>
      <c r="S40" s="49">
        <v>9.1999999999999993</v>
      </c>
      <c r="T40" s="49">
        <v>9.1999999999999993</v>
      </c>
      <c r="U40" s="49">
        <v>9.1999999999999993</v>
      </c>
      <c r="V40" s="49">
        <v>9.1999999999999993</v>
      </c>
      <c r="W40" s="49">
        <v>9.1999999999999993</v>
      </c>
      <c r="X40" s="49">
        <v>9.3000000000000007</v>
      </c>
      <c r="Y40" s="49">
        <v>9.3000000000000007</v>
      </c>
      <c r="Z40" s="49">
        <v>9.1999999999999993</v>
      </c>
      <c r="AA40" s="56">
        <v>9.1999999999999993</v>
      </c>
      <c r="AB40" s="56">
        <v>9.1999999999999993</v>
      </c>
      <c r="AC40" s="56">
        <v>9.1999999999999993</v>
      </c>
      <c r="AD40" s="56">
        <v>9.1999999999999993</v>
      </c>
      <c r="AE40" s="56">
        <v>9.1999999999999993</v>
      </c>
      <c r="AF40" s="56">
        <v>9.1999999999999993</v>
      </c>
      <c r="AG40" s="59">
        <v>10.050000000000001</v>
      </c>
      <c r="AH40" s="52">
        <f t="shared" si="2"/>
        <v>9.3000000000000007</v>
      </c>
      <c r="AI40" s="53">
        <f t="shared" si="3"/>
        <v>8.8000000000000007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2.5</v>
      </c>
      <c r="S41" s="49">
        <v>2.5</v>
      </c>
      <c r="T41" s="49">
        <v>2.5</v>
      </c>
      <c r="U41" s="49">
        <v>2.5</v>
      </c>
      <c r="V41" s="49">
        <v>2.5</v>
      </c>
      <c r="W41" s="49">
        <v>2.5</v>
      </c>
      <c r="X41" s="49">
        <v>2.5</v>
      </c>
      <c r="Y41" s="49">
        <v>2.5</v>
      </c>
      <c r="Z41" s="49">
        <v>2.5</v>
      </c>
      <c r="AA41" s="56">
        <v>2.5</v>
      </c>
      <c r="AB41" s="56">
        <v>2.5</v>
      </c>
      <c r="AC41" s="56">
        <v>2.5</v>
      </c>
      <c r="AD41" s="56">
        <v>2.5</v>
      </c>
      <c r="AE41" s="56">
        <v>2.5</v>
      </c>
      <c r="AF41" s="56">
        <v>2.5</v>
      </c>
      <c r="AG41" s="59">
        <v>6.2</v>
      </c>
      <c r="AH41" s="52">
        <f t="shared" si="2"/>
        <v>2.5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193.84</v>
      </c>
      <c r="C43" s="69">
        <f t="shared" si="6"/>
        <v>174.14</v>
      </c>
      <c r="D43" s="69">
        <f t="shared" si="6"/>
        <v>172.24</v>
      </c>
      <c r="E43" s="69">
        <f t="shared" si="6"/>
        <v>163.34</v>
      </c>
      <c r="F43" s="69">
        <f t="shared" si="6"/>
        <v>163.44000000000003</v>
      </c>
      <c r="G43" s="69">
        <f t="shared" si="6"/>
        <v>162.34000000000003</v>
      </c>
      <c r="H43" s="69">
        <f t="shared" si="6"/>
        <v>185.44000000000003</v>
      </c>
      <c r="I43" s="69">
        <f t="shared" si="6"/>
        <v>193.44</v>
      </c>
      <c r="J43" s="69">
        <f t="shared" si="6"/>
        <v>214.04000000000002</v>
      </c>
      <c r="K43" s="69">
        <f t="shared" si="6"/>
        <v>222.04000000000002</v>
      </c>
      <c r="L43" s="69">
        <f t="shared" si="6"/>
        <v>282.24</v>
      </c>
      <c r="M43" s="69">
        <f t="shared" si="6"/>
        <v>301.53999999999996</v>
      </c>
      <c r="N43" s="69">
        <f t="shared" si="6"/>
        <v>300.44</v>
      </c>
      <c r="O43" s="69">
        <f t="shared" si="6"/>
        <v>300.44</v>
      </c>
      <c r="P43" s="69">
        <f t="shared" si="6"/>
        <v>224.64000000000001</v>
      </c>
      <c r="Q43" s="69">
        <f t="shared" si="6"/>
        <v>193.64000000000001</v>
      </c>
      <c r="R43" s="69">
        <f t="shared" si="6"/>
        <v>168.04</v>
      </c>
      <c r="S43" s="69">
        <f t="shared" si="6"/>
        <v>169.73999999999998</v>
      </c>
      <c r="T43" s="69">
        <f t="shared" si="6"/>
        <v>175.04000000000002</v>
      </c>
      <c r="U43" s="69">
        <f>SUM(U31:U42)</f>
        <v>221.94</v>
      </c>
      <c r="V43" s="69">
        <f t="shared" si="6"/>
        <v>263.94</v>
      </c>
      <c r="W43" s="69">
        <f t="shared" si="6"/>
        <v>285.53999999999996</v>
      </c>
      <c r="X43" s="69">
        <f t="shared" si="6"/>
        <v>305.24</v>
      </c>
      <c r="Y43" s="69">
        <f t="shared" si="6"/>
        <v>307.64</v>
      </c>
      <c r="Z43" s="69">
        <f t="shared" si="6"/>
        <v>307.14</v>
      </c>
      <c r="AA43" s="69">
        <f t="shared" si="6"/>
        <v>309.83999999999997</v>
      </c>
      <c r="AB43" s="69">
        <f t="shared" si="6"/>
        <v>309.83999999999997</v>
      </c>
      <c r="AC43" s="69">
        <f t="shared" si="6"/>
        <v>346.84</v>
      </c>
      <c r="AD43" s="69">
        <f t="shared" si="6"/>
        <v>294.14</v>
      </c>
      <c r="AE43" s="69">
        <f t="shared" si="6"/>
        <v>277.53999999999996</v>
      </c>
      <c r="AF43" s="69">
        <f t="shared" si="6"/>
        <v>190.94</v>
      </c>
      <c r="AG43" s="74">
        <f>SUM(AG31:AG42)</f>
        <v>464.91</v>
      </c>
      <c r="AH43" s="52">
        <f t="shared" si="2"/>
        <v>346.84</v>
      </c>
      <c r="AI43" s="53">
        <f t="shared" si="3"/>
        <v>162.34000000000003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0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0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0">
        <v>0</v>
      </c>
      <c r="R45" s="49">
        <v>0</v>
      </c>
      <c r="S45" s="49">
        <v>0</v>
      </c>
      <c r="T45" s="49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0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5">
        <v>0</v>
      </c>
      <c r="M46" s="76">
        <v>0</v>
      </c>
      <c r="N46" s="76">
        <v>0</v>
      </c>
      <c r="O46" s="76">
        <v>0</v>
      </c>
      <c r="P46" s="76">
        <v>0</v>
      </c>
      <c r="Q46" s="77">
        <v>0</v>
      </c>
      <c r="R46" s="49">
        <v>0</v>
      </c>
      <c r="S46" s="49">
        <v>0</v>
      </c>
      <c r="T46" s="49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0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0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0</v>
      </c>
      <c r="C47" s="69">
        <f t="shared" si="7"/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>SUM(U44:U46)</f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0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0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29.39</v>
      </c>
      <c r="C48" s="49">
        <v>22.28</v>
      </c>
      <c r="D48" s="49">
        <v>23.9</v>
      </c>
      <c r="E48" s="49">
        <v>17</v>
      </c>
      <c r="F48" s="49">
        <v>15.51</v>
      </c>
      <c r="G48" s="49">
        <v>63.8</v>
      </c>
      <c r="H48" s="49">
        <v>33.71</v>
      </c>
      <c r="I48" s="49">
        <v>42</v>
      </c>
      <c r="J48" s="49">
        <v>31</v>
      </c>
      <c r="K48" s="49">
        <v>30</v>
      </c>
      <c r="L48" s="49">
        <v>51.12</v>
      </c>
      <c r="M48" s="49">
        <v>58</v>
      </c>
      <c r="N48" s="49">
        <v>60</v>
      </c>
      <c r="O48" s="49">
        <v>58</v>
      </c>
      <c r="P48" s="49">
        <v>42</v>
      </c>
      <c r="Q48" s="49">
        <v>52</v>
      </c>
      <c r="R48" s="49">
        <v>42.76</v>
      </c>
      <c r="S48" s="49">
        <v>34.340000000000003</v>
      </c>
      <c r="T48" s="49">
        <v>37.409999999999997</v>
      </c>
      <c r="U48" s="49">
        <v>45.42</v>
      </c>
      <c r="V48" s="49">
        <v>41.55</v>
      </c>
      <c r="W48" s="49">
        <v>44.86</v>
      </c>
      <c r="X48" s="49">
        <v>37.64</v>
      </c>
      <c r="Y48" s="49">
        <v>41.28</v>
      </c>
      <c r="Z48" s="49">
        <v>54.87</v>
      </c>
      <c r="AA48" s="49">
        <v>57.9</v>
      </c>
      <c r="AB48" s="49">
        <v>57.9</v>
      </c>
      <c r="AC48" s="49">
        <v>58.1</v>
      </c>
      <c r="AD48" s="49">
        <v>41.4</v>
      </c>
      <c r="AE48" s="49">
        <v>35.700000000000003</v>
      </c>
      <c r="AF48" s="49">
        <v>32</v>
      </c>
      <c r="AG48" s="57"/>
      <c r="AH48" s="52">
        <f t="shared" si="2"/>
        <v>63.8</v>
      </c>
      <c r="AI48" s="53">
        <f t="shared" si="3"/>
        <v>15.51</v>
      </c>
      <c r="AK48" s="54"/>
    </row>
    <row r="49" spans="1:37" x14ac:dyDescent="0.25">
      <c r="A49" s="58" t="s">
        <v>56</v>
      </c>
      <c r="B49" s="70">
        <v>0</v>
      </c>
      <c r="C49" s="70">
        <v>-22.7</v>
      </c>
      <c r="D49" s="70">
        <v>-26.9</v>
      </c>
      <c r="E49" s="70">
        <f>-30</f>
        <v>-30</v>
      </c>
      <c r="F49" s="70">
        <f>-33.7</f>
        <v>-33.700000000000003</v>
      </c>
      <c r="G49" s="70">
        <f>-41</f>
        <v>-41</v>
      </c>
      <c r="H49" s="70">
        <v>-44.4</v>
      </c>
      <c r="I49" s="70">
        <v>-42.7</v>
      </c>
      <c r="J49" s="70">
        <v>-35</v>
      </c>
      <c r="K49" s="70">
        <f>-31.1</f>
        <v>-31.1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-28</v>
      </c>
      <c r="S49" s="49">
        <v>-28</v>
      </c>
      <c r="T49" s="49">
        <v>-34</v>
      </c>
      <c r="U49" s="79">
        <v>-19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-19</v>
      </c>
      <c r="AF49" s="70">
        <v>-10</v>
      </c>
      <c r="AG49" s="59"/>
      <c r="AH49" s="52">
        <f t="shared" si="2"/>
        <v>0</v>
      </c>
      <c r="AI49" s="53">
        <f t="shared" si="3"/>
        <v>-44.4</v>
      </c>
      <c r="AK49" s="54"/>
    </row>
    <row r="50" spans="1:37" x14ac:dyDescent="0.25">
      <c r="A50" s="58" t="s">
        <v>57</v>
      </c>
      <c r="B50" s="70">
        <v>-30</v>
      </c>
      <c r="C50" s="70">
        <v>2</v>
      </c>
      <c r="D50" s="70">
        <v>-25</v>
      </c>
      <c r="E50" s="70">
        <v>-6</v>
      </c>
      <c r="F50" s="70">
        <v>-8</v>
      </c>
      <c r="G50" s="49">
        <v>4</v>
      </c>
      <c r="H50" s="49">
        <v>22</v>
      </c>
      <c r="I50" s="49">
        <v>22</v>
      </c>
      <c r="J50" s="49">
        <v>24</v>
      </c>
      <c r="K50" s="49">
        <v>28</v>
      </c>
      <c r="L50" s="70">
        <v>21</v>
      </c>
      <c r="M50" s="70">
        <v>25</v>
      </c>
      <c r="N50" s="70">
        <v>0</v>
      </c>
      <c r="O50" s="70">
        <v>0</v>
      </c>
      <c r="P50" s="70">
        <v>-28</v>
      </c>
      <c r="Q50" s="70">
        <v>-65</v>
      </c>
      <c r="R50" s="70">
        <v>-34</v>
      </c>
      <c r="S50" s="70">
        <v>23</v>
      </c>
      <c r="T50" s="70">
        <v>26</v>
      </c>
      <c r="U50" s="80">
        <v>28</v>
      </c>
      <c r="V50" s="80">
        <v>23</v>
      </c>
      <c r="W50" s="80">
        <v>12</v>
      </c>
      <c r="X50" s="80">
        <v>64</v>
      </c>
      <c r="Y50" s="80">
        <v>45</v>
      </c>
      <c r="Z50" s="80">
        <v>69</v>
      </c>
      <c r="AA50" s="70">
        <v>40</v>
      </c>
      <c r="AB50" s="70">
        <v>40</v>
      </c>
      <c r="AC50" s="70">
        <v>24</v>
      </c>
      <c r="AD50" s="70">
        <v>-50</v>
      </c>
      <c r="AE50" s="70">
        <v>-100</v>
      </c>
      <c r="AF50" s="70">
        <v>-70</v>
      </c>
      <c r="AG50" s="81"/>
      <c r="AH50" s="52">
        <f t="shared" si="2"/>
        <v>69</v>
      </c>
      <c r="AI50" s="53">
        <f t="shared" si="3"/>
        <v>-100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4</v>
      </c>
      <c r="C53" s="82">
        <v>4</v>
      </c>
      <c r="D53" s="82">
        <v>4</v>
      </c>
      <c r="E53" s="82">
        <v>4</v>
      </c>
      <c r="F53" s="70">
        <v>4</v>
      </c>
      <c r="G53" s="70">
        <v>4</v>
      </c>
      <c r="H53" s="70">
        <v>4</v>
      </c>
      <c r="I53" s="70">
        <v>4</v>
      </c>
      <c r="J53" s="70">
        <v>4</v>
      </c>
      <c r="K53" s="70">
        <v>4</v>
      </c>
      <c r="L53" s="70">
        <v>4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1"/>
      <c r="AH53" s="52">
        <f t="shared" si="2"/>
        <v>4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85">
        <v>0</v>
      </c>
      <c r="N57" s="85">
        <v>0</v>
      </c>
      <c r="O57" s="82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85">
        <v>0</v>
      </c>
      <c r="N58" s="85">
        <v>0</v>
      </c>
      <c r="O58" s="82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 t="shared" ref="B59:AF59" si="8">SUM(B48:B58)</f>
        <v>3.3900000000000006</v>
      </c>
      <c r="C59" s="69">
        <f t="shared" si="8"/>
        <v>5.5800000000000018</v>
      </c>
      <c r="D59" s="69">
        <f t="shared" si="8"/>
        <v>-24</v>
      </c>
      <c r="E59" s="69">
        <f t="shared" si="8"/>
        <v>-15</v>
      </c>
      <c r="F59" s="69">
        <f t="shared" si="8"/>
        <v>-22.190000000000005</v>
      </c>
      <c r="G59" s="69">
        <f t="shared" si="8"/>
        <v>30.799999999999997</v>
      </c>
      <c r="H59" s="69">
        <f t="shared" si="8"/>
        <v>15.310000000000002</v>
      </c>
      <c r="I59" s="69">
        <f t="shared" si="8"/>
        <v>25.299999999999997</v>
      </c>
      <c r="J59" s="69">
        <f t="shared" si="8"/>
        <v>24</v>
      </c>
      <c r="K59" s="69">
        <f t="shared" si="8"/>
        <v>30.9</v>
      </c>
      <c r="L59" s="69">
        <f t="shared" si="8"/>
        <v>76.12</v>
      </c>
      <c r="M59" s="69">
        <f>SUM(M48:M58)</f>
        <v>83</v>
      </c>
      <c r="N59" s="69">
        <f t="shared" si="8"/>
        <v>60</v>
      </c>
      <c r="O59" s="69">
        <f t="shared" si="8"/>
        <v>58</v>
      </c>
      <c r="P59" s="69">
        <f t="shared" si="8"/>
        <v>14</v>
      </c>
      <c r="Q59" s="69">
        <f t="shared" si="8"/>
        <v>-13</v>
      </c>
      <c r="R59" s="69">
        <f t="shared" si="8"/>
        <v>-19.240000000000002</v>
      </c>
      <c r="S59" s="69">
        <f t="shared" si="8"/>
        <v>29.340000000000003</v>
      </c>
      <c r="T59" s="69">
        <f>SUM(T48:T58)</f>
        <v>29.409999999999997</v>
      </c>
      <c r="U59" s="69">
        <f t="shared" si="8"/>
        <v>54.42</v>
      </c>
      <c r="V59" s="69">
        <f>SUM(V48:V58)</f>
        <v>64.55</v>
      </c>
      <c r="W59" s="69">
        <f t="shared" si="8"/>
        <v>56.86</v>
      </c>
      <c r="X59" s="69">
        <f t="shared" si="8"/>
        <v>101.64</v>
      </c>
      <c r="Y59" s="69">
        <f t="shared" si="8"/>
        <v>86.28</v>
      </c>
      <c r="Z59" s="69">
        <f t="shared" si="8"/>
        <v>123.87</v>
      </c>
      <c r="AA59" s="69">
        <f t="shared" si="8"/>
        <v>97.9</v>
      </c>
      <c r="AB59" s="69">
        <f t="shared" si="8"/>
        <v>97.9</v>
      </c>
      <c r="AC59" s="69">
        <f t="shared" si="8"/>
        <v>82.1</v>
      </c>
      <c r="AD59" s="69">
        <f t="shared" si="8"/>
        <v>-8.6000000000000014</v>
      </c>
      <c r="AE59" s="69">
        <f t="shared" si="8"/>
        <v>-83.3</v>
      </c>
      <c r="AF59" s="69">
        <f t="shared" si="8"/>
        <v>-48</v>
      </c>
      <c r="AG59" s="74">
        <f>SUM(AG48:AG58)</f>
        <v>0</v>
      </c>
      <c r="AH59" s="52">
        <f t="shared" si="2"/>
        <v>123.87</v>
      </c>
      <c r="AI59" s="53">
        <f t="shared" si="3"/>
        <v>-83.3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 t="shared" ref="B63:AF63" si="9">SUM(B60:B62)</f>
        <v>0</v>
      </c>
      <c r="C63" s="69">
        <f t="shared" si="9"/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 t="shared" ref="B65:AF65" si="10">B63+B59+B47+B43+B30+B64</f>
        <v>690.03</v>
      </c>
      <c r="C65" s="91">
        <f t="shared" si="10"/>
        <v>672.52</v>
      </c>
      <c r="D65" s="91">
        <f t="shared" si="10"/>
        <v>634.44000000000005</v>
      </c>
      <c r="E65" s="91">
        <f t="shared" si="10"/>
        <v>634.33999999999992</v>
      </c>
      <c r="F65" s="91">
        <f t="shared" si="10"/>
        <v>627.44999999999993</v>
      </c>
      <c r="G65" s="91">
        <f t="shared" si="10"/>
        <v>684.1400000000001</v>
      </c>
      <c r="H65" s="91">
        <f t="shared" si="10"/>
        <v>686.75</v>
      </c>
      <c r="I65" s="91">
        <f t="shared" si="10"/>
        <v>703.74</v>
      </c>
      <c r="J65" s="91">
        <f t="shared" si="10"/>
        <v>723.1400000000001</v>
      </c>
      <c r="K65" s="91">
        <f t="shared" si="10"/>
        <v>737.64</v>
      </c>
      <c r="L65" s="91">
        <f t="shared" si="10"/>
        <v>817.46</v>
      </c>
      <c r="M65" s="91">
        <f t="shared" si="10"/>
        <v>845.74</v>
      </c>
      <c r="N65" s="91">
        <f t="shared" si="10"/>
        <v>821.14</v>
      </c>
      <c r="O65" s="91">
        <f t="shared" si="10"/>
        <v>831.83999999999992</v>
      </c>
      <c r="P65" s="91">
        <f t="shared" si="10"/>
        <v>724.34</v>
      </c>
      <c r="Q65" s="91">
        <f t="shared" si="10"/>
        <v>664.43999999999994</v>
      </c>
      <c r="R65" s="91">
        <f t="shared" si="10"/>
        <v>636.59999999999991</v>
      </c>
      <c r="S65" s="91">
        <f t="shared" si="10"/>
        <v>689.57999999999993</v>
      </c>
      <c r="T65" s="91">
        <f t="shared" si="10"/>
        <v>695.35</v>
      </c>
      <c r="U65" s="91">
        <f t="shared" si="10"/>
        <v>764.66</v>
      </c>
      <c r="V65" s="91">
        <f t="shared" si="10"/>
        <v>787.19</v>
      </c>
      <c r="W65" s="91">
        <f t="shared" si="10"/>
        <v>801.09999999999991</v>
      </c>
      <c r="X65" s="91">
        <f t="shared" si="10"/>
        <v>814.98</v>
      </c>
      <c r="Y65" s="91">
        <f t="shared" si="10"/>
        <v>850.92</v>
      </c>
      <c r="Z65" s="91">
        <f t="shared" si="10"/>
        <v>888.81</v>
      </c>
      <c r="AA65" s="91">
        <f t="shared" si="10"/>
        <v>862.83999999999992</v>
      </c>
      <c r="AB65" s="91">
        <f t="shared" si="10"/>
        <v>862.83999999999992</v>
      </c>
      <c r="AC65" s="91">
        <f t="shared" si="10"/>
        <v>891.13999999999987</v>
      </c>
      <c r="AD65" s="91">
        <f t="shared" si="10"/>
        <v>734.93999999999994</v>
      </c>
      <c r="AE65" s="91">
        <f t="shared" si="10"/>
        <v>644.54</v>
      </c>
      <c r="AF65" s="91">
        <f t="shared" si="10"/>
        <v>614.64</v>
      </c>
      <c r="AG65" s="74">
        <f>AG63+AG59+AG47+AG43+AG30+AG64</f>
        <v>1355.5100000000002</v>
      </c>
      <c r="AH65" s="52">
        <f t="shared" si="2"/>
        <v>891.13999999999987</v>
      </c>
      <c r="AI65" s="53">
        <f t="shared" si="3"/>
        <v>614.64</v>
      </c>
    </row>
    <row r="66" spans="1:35" x14ac:dyDescent="0.25">
      <c r="A66" s="55" t="s">
        <v>73</v>
      </c>
      <c r="B66" s="82"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v>0</v>
      </c>
      <c r="C67" s="82">
        <f t="shared" ref="C67:Q67" si="13">IF(C49&lt;0,C49*-1,0)</f>
        <v>22.7</v>
      </c>
      <c r="D67" s="82">
        <f t="shared" si="13"/>
        <v>26.9</v>
      </c>
      <c r="E67" s="82">
        <f t="shared" si="13"/>
        <v>30</v>
      </c>
      <c r="F67" s="82">
        <f t="shared" si="13"/>
        <v>33.700000000000003</v>
      </c>
      <c r="G67" s="82">
        <f t="shared" si="13"/>
        <v>41</v>
      </c>
      <c r="H67" s="82">
        <f t="shared" si="13"/>
        <v>44.4</v>
      </c>
      <c r="I67" s="82">
        <f t="shared" si="13"/>
        <v>42.7</v>
      </c>
      <c r="J67" s="82">
        <f t="shared" si="13"/>
        <v>35</v>
      </c>
      <c r="K67" s="82">
        <f t="shared" si="13"/>
        <v>31.1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28</v>
      </c>
      <c r="S67" s="82">
        <f t="shared" ref="S67:AF67" si="14">IF(S49&lt;0,S49*-1,0)</f>
        <v>28</v>
      </c>
      <c r="T67" s="82">
        <f t="shared" si="14"/>
        <v>34</v>
      </c>
      <c r="U67" s="82">
        <f t="shared" si="14"/>
        <v>19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19</v>
      </c>
      <c r="AF67" s="82">
        <f t="shared" si="14"/>
        <v>10</v>
      </c>
      <c r="AG67" s="59"/>
      <c r="AH67" s="52">
        <f t="shared" si="2"/>
        <v>44.4</v>
      </c>
      <c r="AI67" s="53">
        <f t="shared" si="3"/>
        <v>0</v>
      </c>
    </row>
    <row r="68" spans="1:35" x14ac:dyDescent="0.25">
      <c r="A68" s="84" t="s">
        <v>75</v>
      </c>
      <c r="B68" s="82"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v>20</v>
      </c>
      <c r="C69" s="82">
        <f t="shared" ref="C69:AF69" si="17">IF(C50&lt;0,C50*-1,0)</f>
        <v>0</v>
      </c>
      <c r="D69" s="82">
        <f t="shared" si="17"/>
        <v>25</v>
      </c>
      <c r="E69" s="82">
        <f t="shared" si="17"/>
        <v>6</v>
      </c>
      <c r="F69" s="82">
        <f t="shared" si="17"/>
        <v>8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28</v>
      </c>
      <c r="Q69" s="82">
        <f t="shared" si="17"/>
        <v>65</v>
      </c>
      <c r="R69" s="82">
        <f t="shared" si="17"/>
        <v>34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50</v>
      </c>
      <c r="AE69" s="82">
        <f t="shared" si="17"/>
        <v>100</v>
      </c>
      <c r="AF69" s="82">
        <f t="shared" si="17"/>
        <v>70</v>
      </c>
      <c r="AG69" s="92"/>
      <c r="AH69" s="52">
        <f t="shared" si="2"/>
        <v>100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 t="shared" ref="B71:AF71" si="18">SUM(B66:B70)</f>
        <v>20</v>
      </c>
      <c r="C71" s="69">
        <f t="shared" si="18"/>
        <v>22.7</v>
      </c>
      <c r="D71" s="69">
        <f t="shared" si="18"/>
        <v>51.9</v>
      </c>
      <c r="E71" s="69">
        <f t="shared" si="18"/>
        <v>36</v>
      </c>
      <c r="F71" s="69">
        <f t="shared" si="18"/>
        <v>41.7</v>
      </c>
      <c r="G71" s="69">
        <f t="shared" si="18"/>
        <v>41</v>
      </c>
      <c r="H71" s="69">
        <f t="shared" si="18"/>
        <v>44.4</v>
      </c>
      <c r="I71" s="69">
        <f t="shared" si="18"/>
        <v>42.7</v>
      </c>
      <c r="J71" s="69">
        <f t="shared" si="18"/>
        <v>35</v>
      </c>
      <c r="K71" s="69">
        <f t="shared" si="18"/>
        <v>31.1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28</v>
      </c>
      <c r="Q71" s="69">
        <f t="shared" si="18"/>
        <v>65</v>
      </c>
      <c r="R71" s="69">
        <f t="shared" si="18"/>
        <v>62</v>
      </c>
      <c r="S71" s="69">
        <f t="shared" si="18"/>
        <v>28</v>
      </c>
      <c r="T71" s="69">
        <f t="shared" si="18"/>
        <v>34</v>
      </c>
      <c r="U71" s="69">
        <f t="shared" si="18"/>
        <v>19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50</v>
      </c>
      <c r="AE71" s="69">
        <f t="shared" si="18"/>
        <v>119</v>
      </c>
      <c r="AF71" s="69">
        <f t="shared" si="18"/>
        <v>80</v>
      </c>
      <c r="AG71" s="74">
        <f>SUM(AG66:AG70)</f>
        <v>0</v>
      </c>
      <c r="AH71" s="52">
        <f t="shared" si="2"/>
        <v>119</v>
      </c>
      <c r="AI71" s="53">
        <f t="shared" si="3"/>
        <v>0</v>
      </c>
    </row>
    <row r="72" spans="1:35" x14ac:dyDescent="0.25">
      <c r="A72" s="93" t="s">
        <v>79</v>
      </c>
      <c r="B72" s="94">
        <v>50.06</v>
      </c>
      <c r="C72" s="94">
        <v>49.965000000000003</v>
      </c>
      <c r="D72" s="94">
        <v>49.85</v>
      </c>
      <c r="E72" s="94">
        <v>49.99</v>
      </c>
      <c r="F72" s="94">
        <v>49.98</v>
      </c>
      <c r="G72" s="94">
        <v>50</v>
      </c>
      <c r="H72" s="94">
        <v>49.85</v>
      </c>
      <c r="I72" s="94">
        <v>49.93</v>
      </c>
      <c r="J72" s="94">
        <v>49.99</v>
      </c>
      <c r="K72" s="94">
        <v>49.99</v>
      </c>
      <c r="L72" s="94">
        <v>50.13</v>
      </c>
      <c r="M72" s="94">
        <v>49.956000000000003</v>
      </c>
      <c r="N72" s="94">
        <v>49.985999999999997</v>
      </c>
      <c r="O72" s="94">
        <v>49.98</v>
      </c>
      <c r="P72" s="94">
        <v>49.908000000000001</v>
      </c>
      <c r="Q72" s="95">
        <v>50.015999999999998</v>
      </c>
      <c r="R72" s="94">
        <v>49.987000000000002</v>
      </c>
      <c r="S72" s="94">
        <v>49.906999999999996</v>
      </c>
      <c r="T72" s="94">
        <v>49.981999999999999</v>
      </c>
      <c r="U72" s="94">
        <v>50.039000000000001</v>
      </c>
      <c r="V72" s="94">
        <v>50.015999999999998</v>
      </c>
      <c r="W72" s="94">
        <v>50.012</v>
      </c>
      <c r="X72" s="94">
        <v>50.103000000000002</v>
      </c>
      <c r="Y72" s="94">
        <v>50.024999999999999</v>
      </c>
      <c r="Z72" s="94">
        <v>49.999000000000002</v>
      </c>
      <c r="AA72" s="94">
        <v>49.875999999999998</v>
      </c>
      <c r="AB72" s="94">
        <v>49.875999999999998</v>
      </c>
      <c r="AC72" s="94">
        <v>49.881999999999998</v>
      </c>
      <c r="AD72" s="94">
        <v>49.8</v>
      </c>
      <c r="AE72" s="94">
        <v>49.7</v>
      </c>
      <c r="AF72" s="96">
        <v>50</v>
      </c>
      <c r="AG72" s="97"/>
      <c r="AH72" s="52">
        <f t="shared" si="2"/>
        <v>50.13</v>
      </c>
      <c r="AI72" s="53">
        <f t="shared" si="3"/>
        <v>49.7</v>
      </c>
    </row>
    <row r="73" spans="1:35" x14ac:dyDescent="0.25">
      <c r="A73" s="98" t="s">
        <v>80</v>
      </c>
      <c r="B73" s="70">
        <v>128.9</v>
      </c>
      <c r="C73" s="70">
        <v>128.69999999999999</v>
      </c>
      <c r="D73" s="70">
        <v>129.5</v>
      </c>
      <c r="E73" s="70">
        <v>129.9</v>
      </c>
      <c r="F73" s="70">
        <v>130.19999999999999</v>
      </c>
      <c r="G73" s="70">
        <v>129.5</v>
      </c>
      <c r="H73" s="70">
        <v>129.5</v>
      </c>
      <c r="I73" s="70">
        <v>128.5</v>
      </c>
      <c r="J73" s="70">
        <v>127.7</v>
      </c>
      <c r="K73" s="70">
        <v>126.9</v>
      </c>
      <c r="L73" s="70">
        <v>126.9</v>
      </c>
      <c r="M73" s="70">
        <v>124.8</v>
      </c>
      <c r="N73" s="70">
        <v>125.6</v>
      </c>
      <c r="O73" s="70">
        <v>125</v>
      </c>
      <c r="P73" s="70">
        <v>126.1</v>
      </c>
      <c r="Q73" s="99">
        <v>128.19999999999999</v>
      </c>
      <c r="R73" s="99">
        <v>128</v>
      </c>
      <c r="S73" s="99">
        <v>128.19999999999999</v>
      </c>
      <c r="T73" s="99">
        <v>128</v>
      </c>
      <c r="U73" s="99">
        <v>127.8</v>
      </c>
      <c r="V73" s="99">
        <v>128.4</v>
      </c>
      <c r="W73" s="99">
        <v>128.19999999999999</v>
      </c>
      <c r="X73" s="99">
        <v>128.80000000000001</v>
      </c>
      <c r="Y73" s="99">
        <v>126.9</v>
      </c>
      <c r="Z73" s="99">
        <v>127.1</v>
      </c>
      <c r="AA73" s="70">
        <v>127</v>
      </c>
      <c r="AB73" s="70">
        <v>127</v>
      </c>
      <c r="AC73" s="70">
        <v>126.4</v>
      </c>
      <c r="AD73" s="70">
        <v>128</v>
      </c>
      <c r="AE73" s="70">
        <v>127.2</v>
      </c>
      <c r="AF73" s="100">
        <v>128.5</v>
      </c>
      <c r="AG73" s="101"/>
      <c r="AH73" s="52">
        <f t="shared" si="2"/>
        <v>130.19999999999999</v>
      </c>
      <c r="AI73" s="53">
        <f t="shared" si="3"/>
        <v>124.8</v>
      </c>
    </row>
    <row r="74" spans="1:35" x14ac:dyDescent="0.25">
      <c r="A74" s="98" t="s">
        <v>81</v>
      </c>
      <c r="B74" s="70">
        <v>132</v>
      </c>
      <c r="C74" s="70">
        <v>131.69999999999999</v>
      </c>
      <c r="D74" s="70">
        <v>132.1</v>
      </c>
      <c r="E74" s="70">
        <v>132.6</v>
      </c>
      <c r="F74" s="70">
        <v>132.69999999999999</v>
      </c>
      <c r="G74" s="70">
        <v>131.9</v>
      </c>
      <c r="H74" s="70">
        <v>131.69999999999999</v>
      </c>
      <c r="I74" s="70">
        <v>130.9</v>
      </c>
      <c r="J74" s="70">
        <v>129.9</v>
      </c>
      <c r="K74" s="70">
        <v>129.19999999999999</v>
      </c>
      <c r="L74" s="70">
        <v>129.1</v>
      </c>
      <c r="M74" s="70">
        <v>127.1</v>
      </c>
      <c r="N74" s="70">
        <v>128.4</v>
      </c>
      <c r="O74" s="70">
        <v>127.6</v>
      </c>
      <c r="P74" s="70">
        <v>129.1</v>
      </c>
      <c r="Q74" s="99">
        <v>131.1</v>
      </c>
      <c r="R74" s="99">
        <v>130.4</v>
      </c>
      <c r="S74" s="99">
        <v>130.4</v>
      </c>
      <c r="T74" s="99">
        <v>130.19999999999999</v>
      </c>
      <c r="U74" s="99">
        <v>130.5</v>
      </c>
      <c r="V74" s="99">
        <v>131.19999999999999</v>
      </c>
      <c r="W74" s="99">
        <v>131</v>
      </c>
      <c r="X74" s="99">
        <v>131.19999999999999</v>
      </c>
      <c r="Y74" s="99">
        <v>129</v>
      </c>
      <c r="Z74" s="99">
        <v>129.5</v>
      </c>
      <c r="AA74" s="70">
        <v>129.80000000000001</v>
      </c>
      <c r="AB74" s="70">
        <v>129.80000000000001</v>
      </c>
      <c r="AC74" s="70">
        <v>129.69999999999999</v>
      </c>
      <c r="AD74" s="70">
        <v>131.19999999999999</v>
      </c>
      <c r="AE74" s="70">
        <v>130.5</v>
      </c>
      <c r="AF74" s="100">
        <v>131.6</v>
      </c>
      <c r="AG74" s="101"/>
      <c r="AH74" s="52">
        <f t="shared" si="2"/>
        <v>132.69999999999999</v>
      </c>
      <c r="AI74" s="53">
        <f t="shared" si="3"/>
        <v>127.1</v>
      </c>
    </row>
    <row r="75" spans="1:35" x14ac:dyDescent="0.25">
      <c r="A75" s="98" t="s">
        <v>82</v>
      </c>
      <c r="B75" s="70">
        <v>128.80000000000001</v>
      </c>
      <c r="C75" s="70">
        <v>132.1</v>
      </c>
      <c r="D75" s="70">
        <v>132.80000000000001</v>
      </c>
      <c r="E75" s="70">
        <v>132.6</v>
      </c>
      <c r="F75" s="70">
        <v>133.19999999999999</v>
      </c>
      <c r="G75" s="70">
        <v>133.4</v>
      </c>
      <c r="H75" s="70">
        <v>131</v>
      </c>
      <c r="I75" s="70">
        <v>131.4</v>
      </c>
      <c r="J75" s="70">
        <v>129.6</v>
      </c>
      <c r="K75" s="70">
        <v>130.69999999999999</v>
      </c>
      <c r="L75" s="70">
        <v>128</v>
      </c>
      <c r="M75" s="70">
        <v>127</v>
      </c>
      <c r="N75" s="70">
        <v>127.3</v>
      </c>
      <c r="O75" s="70">
        <v>128</v>
      </c>
      <c r="P75" s="70">
        <v>131</v>
      </c>
      <c r="Q75" s="70">
        <v>129.9</v>
      </c>
      <c r="R75" s="70">
        <v>131.69999999999999</v>
      </c>
      <c r="S75" s="70">
        <v>131.19999999999999</v>
      </c>
      <c r="T75" s="99">
        <v>130.9</v>
      </c>
      <c r="U75" s="99">
        <v>131.30000000000001</v>
      </c>
      <c r="V75" s="99">
        <v>128.6</v>
      </c>
      <c r="W75" s="99">
        <v>129.5</v>
      </c>
      <c r="X75" s="99">
        <v>129</v>
      </c>
      <c r="Y75" s="99">
        <v>128.5</v>
      </c>
      <c r="Z75" s="99">
        <v>128.30000000000001</v>
      </c>
      <c r="AA75" s="70">
        <v>127.5</v>
      </c>
      <c r="AB75" s="70">
        <v>127.5</v>
      </c>
      <c r="AC75" s="70">
        <v>127.9</v>
      </c>
      <c r="AD75" s="70">
        <v>128.9</v>
      </c>
      <c r="AE75" s="70">
        <v>129</v>
      </c>
      <c r="AF75" s="100">
        <v>130</v>
      </c>
      <c r="AG75" s="101"/>
      <c r="AH75" s="52">
        <f t="shared" si="2"/>
        <v>133.4</v>
      </c>
      <c r="AI75" s="53">
        <f t="shared" si="3"/>
        <v>127</v>
      </c>
    </row>
    <row r="76" spans="1:35" x14ac:dyDescent="0.25">
      <c r="A76" s="102" t="s">
        <v>83</v>
      </c>
      <c r="B76" s="70">
        <v>132.30000000000001</v>
      </c>
      <c r="C76" s="70">
        <v>135</v>
      </c>
      <c r="D76" s="70">
        <v>135.5</v>
      </c>
      <c r="E76" s="70">
        <v>135.30000000000001</v>
      </c>
      <c r="F76" s="70">
        <v>135.9</v>
      </c>
      <c r="G76" s="70">
        <v>135.30000000000001</v>
      </c>
      <c r="H76" s="70">
        <v>133.6</v>
      </c>
      <c r="I76" s="70">
        <v>133.30000000000001</v>
      </c>
      <c r="J76" s="70">
        <v>132.4</v>
      </c>
      <c r="K76" s="70">
        <v>132.5</v>
      </c>
      <c r="L76" s="70">
        <v>132.4</v>
      </c>
      <c r="M76" s="70">
        <v>128.4</v>
      </c>
      <c r="N76" s="70">
        <v>128.30000000000001</v>
      </c>
      <c r="O76" s="70">
        <v>128</v>
      </c>
      <c r="P76" s="70">
        <v>133.6</v>
      </c>
      <c r="Q76" s="70">
        <v>133.1</v>
      </c>
      <c r="R76" s="70">
        <v>134.69999999999999</v>
      </c>
      <c r="S76" s="70">
        <v>133.69999999999999</v>
      </c>
      <c r="T76" s="99">
        <v>133.6</v>
      </c>
      <c r="U76" s="99">
        <v>133.80000000000001</v>
      </c>
      <c r="V76" s="99">
        <v>131.1</v>
      </c>
      <c r="W76" s="99">
        <v>131.9</v>
      </c>
      <c r="X76" s="99">
        <v>131.19999999999999</v>
      </c>
      <c r="Y76" s="99">
        <v>130.6</v>
      </c>
      <c r="Z76" s="99">
        <v>130.69999999999999</v>
      </c>
      <c r="AA76" s="70">
        <v>130.69999999999999</v>
      </c>
      <c r="AB76" s="70">
        <v>130.69999999999999</v>
      </c>
      <c r="AC76" s="70">
        <v>131.69999999999999</v>
      </c>
      <c r="AD76" s="70">
        <v>133</v>
      </c>
      <c r="AE76" s="70">
        <v>133.19999999999999</v>
      </c>
      <c r="AF76" s="100">
        <v>134</v>
      </c>
      <c r="AG76" s="101"/>
      <c r="AH76" s="52">
        <f t="shared" si="2"/>
        <v>135.9</v>
      </c>
      <c r="AI76" s="53">
        <f t="shared" si="3"/>
        <v>128</v>
      </c>
    </row>
    <row r="77" spans="1:35" x14ac:dyDescent="0.25">
      <c r="A77" s="102" t="s">
        <v>84</v>
      </c>
      <c r="B77" s="103">
        <v>133.9</v>
      </c>
      <c r="C77" s="103">
        <v>131.69999999999999</v>
      </c>
      <c r="D77" s="103">
        <v>132.9</v>
      </c>
      <c r="E77" s="103">
        <v>133.9</v>
      </c>
      <c r="F77" s="103">
        <v>136</v>
      </c>
      <c r="G77" s="103">
        <v>132.69999999999999</v>
      </c>
      <c r="H77" s="103">
        <v>134.30000000000001</v>
      </c>
      <c r="I77" s="103">
        <v>45.6</v>
      </c>
      <c r="J77" s="103">
        <v>134.30000000000001</v>
      </c>
      <c r="K77" s="103">
        <v>128.5</v>
      </c>
      <c r="L77" s="103">
        <v>130.1</v>
      </c>
      <c r="M77" s="103">
        <v>131.80000000000001</v>
      </c>
      <c r="N77" s="103">
        <v>131.9</v>
      </c>
      <c r="O77" s="103">
        <v>130.19999999999999</v>
      </c>
      <c r="P77" s="103">
        <v>133.6</v>
      </c>
      <c r="Q77" s="103">
        <v>136</v>
      </c>
      <c r="R77" s="103">
        <v>133.1</v>
      </c>
      <c r="S77" s="103">
        <v>133.4</v>
      </c>
      <c r="T77" s="99">
        <v>132.69999999999999</v>
      </c>
      <c r="U77" s="99">
        <v>132.4</v>
      </c>
      <c r="V77" s="99">
        <v>136</v>
      </c>
      <c r="W77" s="99">
        <v>135.30000000000001</v>
      </c>
      <c r="X77" s="99">
        <v>136.5</v>
      </c>
      <c r="Y77" s="99">
        <v>132.69999999999999</v>
      </c>
      <c r="Z77" s="99">
        <v>133.80000000000001</v>
      </c>
      <c r="AA77" s="103">
        <v>132.4</v>
      </c>
      <c r="AB77" s="103">
        <v>132.4</v>
      </c>
      <c r="AC77" s="103">
        <v>124.1</v>
      </c>
      <c r="AD77" s="103">
        <v>133.80000000000001</v>
      </c>
      <c r="AE77" s="103">
        <v>132.6</v>
      </c>
      <c r="AF77" s="104">
        <v>133.6</v>
      </c>
      <c r="AG77" s="105"/>
      <c r="AH77" s="52">
        <f t="shared" si="2"/>
        <v>136.5</v>
      </c>
      <c r="AI77" s="53">
        <f t="shared" si="3"/>
        <v>45.6</v>
      </c>
    </row>
    <row r="78" spans="1:35" x14ac:dyDescent="0.25">
      <c r="A78" s="98" t="s">
        <v>85</v>
      </c>
      <c r="B78" s="70">
        <v>129.69999999999999</v>
      </c>
      <c r="C78" s="70">
        <v>127.8</v>
      </c>
      <c r="D78" s="70">
        <v>138.80000000000001</v>
      </c>
      <c r="E78" s="70">
        <v>142.19999999999999</v>
      </c>
      <c r="F78" s="70">
        <v>140.5</v>
      </c>
      <c r="G78" s="70">
        <v>141.80000000000001</v>
      </c>
      <c r="H78" s="70">
        <v>141.1</v>
      </c>
      <c r="I78" s="70">
        <v>140.1</v>
      </c>
      <c r="J78" s="70">
        <v>139.19999999999999</v>
      </c>
      <c r="K78" s="70">
        <v>140.5</v>
      </c>
      <c r="L78" s="70">
        <v>134.1</v>
      </c>
      <c r="M78" s="70">
        <v>125</v>
      </c>
      <c r="N78" s="70">
        <v>130.69999999999999</v>
      </c>
      <c r="O78" s="70">
        <v>132</v>
      </c>
      <c r="P78" s="70">
        <v>133.5</v>
      </c>
      <c r="Q78" s="70">
        <v>135.19999999999999</v>
      </c>
      <c r="R78" s="70">
        <v>136.30000000000001</v>
      </c>
      <c r="S78" s="70">
        <v>131.9</v>
      </c>
      <c r="T78" s="99">
        <v>131.5</v>
      </c>
      <c r="U78" s="99">
        <v>130.9</v>
      </c>
      <c r="V78" s="99">
        <v>131.6</v>
      </c>
      <c r="W78" s="99">
        <v>132.1</v>
      </c>
      <c r="X78" s="99">
        <v>134.1</v>
      </c>
      <c r="Y78" s="99">
        <v>134.69999999999999</v>
      </c>
      <c r="Z78" s="99">
        <v>131.6</v>
      </c>
      <c r="AA78" s="70">
        <v>129.9</v>
      </c>
      <c r="AB78" s="70">
        <v>129.9</v>
      </c>
      <c r="AC78" s="70">
        <v>128</v>
      </c>
      <c r="AD78" s="70">
        <v>134</v>
      </c>
      <c r="AE78" s="70">
        <v>129.1</v>
      </c>
      <c r="AF78" s="100">
        <v>130</v>
      </c>
      <c r="AG78" s="101"/>
      <c r="AH78" s="52">
        <f>MAX(B78:AF78)</f>
        <v>142.19999999999999</v>
      </c>
      <c r="AI78" s="53">
        <f>MIN(B78:AF78)</f>
        <v>125</v>
      </c>
    </row>
    <row r="79" spans="1:35" ht="15.75" thickBot="1" x14ac:dyDescent="0.3">
      <c r="A79" s="98" t="s">
        <v>86</v>
      </c>
      <c r="B79" s="106">
        <v>67.2</v>
      </c>
      <c r="C79" s="106">
        <v>67</v>
      </c>
      <c r="D79" s="106">
        <v>67.3</v>
      </c>
      <c r="E79" s="106">
        <v>67.400000000000006</v>
      </c>
      <c r="F79" s="106">
        <v>67.7</v>
      </c>
      <c r="G79" s="106">
        <v>67.099999999999994</v>
      </c>
      <c r="H79" s="106">
        <v>67</v>
      </c>
      <c r="I79" s="106">
        <v>66.400000000000006</v>
      </c>
      <c r="J79" s="106">
        <v>65.900000000000006</v>
      </c>
      <c r="K79" s="106">
        <v>65.8</v>
      </c>
      <c r="L79" s="106">
        <v>65.8</v>
      </c>
      <c r="M79" s="106">
        <v>64.599999999999994</v>
      </c>
      <c r="N79" s="106">
        <v>65.8</v>
      </c>
      <c r="O79" s="106">
        <v>65.900000000000006</v>
      </c>
      <c r="P79" s="106">
        <v>65.8</v>
      </c>
      <c r="Q79" s="106">
        <v>66.900000000000006</v>
      </c>
      <c r="R79" s="106">
        <v>66.5</v>
      </c>
      <c r="S79" s="106">
        <v>66.5</v>
      </c>
      <c r="T79" s="106">
        <v>66.5</v>
      </c>
      <c r="U79" s="106">
        <v>66.599999999999994</v>
      </c>
      <c r="V79" s="106">
        <v>66.8</v>
      </c>
      <c r="W79" s="106">
        <v>66.8</v>
      </c>
      <c r="X79" s="106">
        <v>67</v>
      </c>
      <c r="Y79" s="106">
        <v>65.900000000000006</v>
      </c>
      <c r="Z79" s="106">
        <v>66</v>
      </c>
      <c r="AA79" s="106">
        <v>66.2</v>
      </c>
      <c r="AB79" s="106">
        <v>66.2</v>
      </c>
      <c r="AC79" s="106">
        <v>66.3</v>
      </c>
      <c r="AD79" s="106">
        <v>67.2</v>
      </c>
      <c r="AE79" s="106">
        <v>66.8</v>
      </c>
      <c r="AF79" s="107">
        <v>67</v>
      </c>
      <c r="AG79" s="108"/>
      <c r="AH79" s="52">
        <f>MAX(B79:AF79)</f>
        <v>67.7</v>
      </c>
      <c r="AI79" s="53">
        <f>MIN(B79:AF79)</f>
        <v>64.599999999999994</v>
      </c>
    </row>
    <row r="80" spans="1:35" x14ac:dyDescent="0.25">
      <c r="A80" s="109" t="s">
        <v>87</v>
      </c>
      <c r="B80" s="110">
        <f t="shared" ref="B80:AF80" si="19">SUMIF(B48:B57,"&gt;0")</f>
        <v>33.39</v>
      </c>
      <c r="C80" s="110">
        <f t="shared" si="19"/>
        <v>28.28</v>
      </c>
      <c r="D80" s="110">
        <f t="shared" si="19"/>
        <v>27.9</v>
      </c>
      <c r="E80" s="110">
        <f t="shared" si="19"/>
        <v>21</v>
      </c>
      <c r="F80" s="110">
        <f t="shared" si="19"/>
        <v>19.509999999999998</v>
      </c>
      <c r="G80" s="110">
        <f t="shared" si="19"/>
        <v>71.8</v>
      </c>
      <c r="H80" s="110">
        <f t="shared" si="19"/>
        <v>59.71</v>
      </c>
      <c r="I80" s="110">
        <f t="shared" si="19"/>
        <v>68</v>
      </c>
      <c r="J80" s="110">
        <f t="shared" si="19"/>
        <v>59</v>
      </c>
      <c r="K80" s="110">
        <f t="shared" si="19"/>
        <v>62</v>
      </c>
      <c r="L80" s="110">
        <f t="shared" si="19"/>
        <v>76.12</v>
      </c>
      <c r="M80" s="110">
        <f t="shared" si="19"/>
        <v>83</v>
      </c>
      <c r="N80" s="110">
        <f t="shared" si="19"/>
        <v>60</v>
      </c>
      <c r="O80" s="110">
        <f t="shared" si="19"/>
        <v>58</v>
      </c>
      <c r="P80" s="110">
        <f t="shared" si="19"/>
        <v>42</v>
      </c>
      <c r="Q80" s="110">
        <f t="shared" si="19"/>
        <v>52</v>
      </c>
      <c r="R80" s="110">
        <f t="shared" si="19"/>
        <v>42.76</v>
      </c>
      <c r="S80" s="110">
        <f t="shared" si="19"/>
        <v>57.34</v>
      </c>
      <c r="T80" s="110">
        <f t="shared" si="19"/>
        <v>63.41</v>
      </c>
      <c r="U80" s="110">
        <f t="shared" si="19"/>
        <v>73.42</v>
      </c>
      <c r="V80" s="110">
        <f t="shared" si="19"/>
        <v>64.55</v>
      </c>
      <c r="W80" s="110">
        <f t="shared" si="19"/>
        <v>56.86</v>
      </c>
      <c r="X80" s="110">
        <f t="shared" si="19"/>
        <v>101.64</v>
      </c>
      <c r="Y80" s="110">
        <f t="shared" si="19"/>
        <v>86.28</v>
      </c>
      <c r="Z80" s="110">
        <f t="shared" si="19"/>
        <v>123.87</v>
      </c>
      <c r="AA80" s="110">
        <f t="shared" si="19"/>
        <v>97.9</v>
      </c>
      <c r="AB80" s="110">
        <f t="shared" si="19"/>
        <v>97.9</v>
      </c>
      <c r="AC80" s="110">
        <f t="shared" si="19"/>
        <v>82.1</v>
      </c>
      <c r="AD80" s="110">
        <f t="shared" si="19"/>
        <v>41.4</v>
      </c>
      <c r="AE80" s="110">
        <f t="shared" si="19"/>
        <v>35.700000000000003</v>
      </c>
      <c r="AF80" s="110">
        <f t="shared" si="19"/>
        <v>32</v>
      </c>
      <c r="AG80" s="111"/>
      <c r="AH80" s="52">
        <f>MAX(B80:AF80)</f>
        <v>123.87</v>
      </c>
      <c r="AI80" s="53">
        <f>MIN(B80:AF80)</f>
        <v>19.509999999999998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 t="shared" ref="B82:AF82" si="20">B11+B13+B17+B34+B36+B38+B40+B94+B108+B110+B121+B127+B130+B139+B143+B144+B147+B154+B159+B162+B163+B164+B172+B177+B83+B84+B85+B86+B99</f>
        <v>195.41999999999996</v>
      </c>
      <c r="C82" s="115">
        <f t="shared" si="20"/>
        <v>195.11999999999998</v>
      </c>
      <c r="D82" s="115">
        <f t="shared" si="20"/>
        <v>187.32</v>
      </c>
      <c r="E82" s="115">
        <f t="shared" si="20"/>
        <v>231.61999999999998</v>
      </c>
      <c r="F82" s="115">
        <f t="shared" si="20"/>
        <v>194.61999999999998</v>
      </c>
      <c r="G82" s="115">
        <f t="shared" si="20"/>
        <v>204.51999999999998</v>
      </c>
      <c r="H82" s="115">
        <f t="shared" si="20"/>
        <v>212.02</v>
      </c>
      <c r="I82" s="115">
        <f t="shared" si="20"/>
        <v>214.82000000000002</v>
      </c>
      <c r="J82" s="115">
        <f t="shared" si="20"/>
        <v>256.11999999999995</v>
      </c>
      <c r="K82" s="115">
        <f t="shared" si="20"/>
        <v>229.62</v>
      </c>
      <c r="L82" s="115">
        <f t="shared" si="20"/>
        <v>263.02</v>
      </c>
      <c r="M82" s="115">
        <f t="shared" si="20"/>
        <v>249.72</v>
      </c>
      <c r="N82" s="115">
        <f t="shared" si="20"/>
        <v>240.51999999999998</v>
      </c>
      <c r="O82" s="115">
        <f t="shared" si="20"/>
        <v>241.82000000000002</v>
      </c>
      <c r="P82" s="115">
        <f t="shared" si="20"/>
        <v>223.52000000000004</v>
      </c>
      <c r="Q82" s="115">
        <f t="shared" si="20"/>
        <v>223.42000000000004</v>
      </c>
      <c r="R82" s="115">
        <f t="shared" si="20"/>
        <v>222.11999999999998</v>
      </c>
      <c r="S82" s="115">
        <f t="shared" si="20"/>
        <v>181.81999999999996</v>
      </c>
      <c r="T82" s="115">
        <f t="shared" si="20"/>
        <v>224.72</v>
      </c>
      <c r="U82" s="115">
        <f t="shared" si="20"/>
        <v>227.11999999999998</v>
      </c>
      <c r="V82" s="115">
        <f t="shared" si="20"/>
        <v>231.41999999999996</v>
      </c>
      <c r="W82" s="115">
        <f t="shared" si="20"/>
        <v>235.01999999999995</v>
      </c>
      <c r="X82" s="115">
        <f t="shared" si="20"/>
        <v>244.72</v>
      </c>
      <c r="Y82" s="115">
        <f t="shared" si="20"/>
        <v>256.41999999999996</v>
      </c>
      <c r="Z82" s="115">
        <f t="shared" si="20"/>
        <v>257.41999999999996</v>
      </c>
      <c r="AA82" s="115">
        <f t="shared" si="20"/>
        <v>245.01999999999995</v>
      </c>
      <c r="AB82" s="115">
        <f t="shared" si="20"/>
        <v>245.01999999999995</v>
      </c>
      <c r="AC82" s="115">
        <f t="shared" si="20"/>
        <v>234.21999999999994</v>
      </c>
      <c r="AD82" s="115">
        <f t="shared" si="20"/>
        <v>221.42</v>
      </c>
      <c r="AE82" s="115">
        <f t="shared" si="20"/>
        <v>223.01999999999995</v>
      </c>
      <c r="AF82" s="115">
        <f t="shared" si="20"/>
        <v>116.51999999999998</v>
      </c>
      <c r="AG82" s="116"/>
      <c r="AH82" s="52">
        <f>MAX(B82:AF82)</f>
        <v>263.02</v>
      </c>
      <c r="AI82" s="53">
        <f>MIN(B82:AF82)</f>
        <v>116.51999999999998</v>
      </c>
    </row>
    <row r="83" spans="1:37" x14ac:dyDescent="0.25">
      <c r="A83" s="117" t="s">
        <v>89</v>
      </c>
      <c r="B83" s="118">
        <v>21.7</v>
      </c>
      <c r="C83" s="118">
        <v>4.4000000000000004</v>
      </c>
      <c r="D83" s="118">
        <v>8.3000000000000007</v>
      </c>
      <c r="E83" s="118">
        <v>5.0999999999999996</v>
      </c>
      <c r="F83" s="118">
        <v>9.6</v>
      </c>
      <c r="G83" s="118">
        <v>12</v>
      </c>
      <c r="H83" s="118">
        <v>18.899999999999999</v>
      </c>
      <c r="I83" s="118">
        <v>23.8</v>
      </c>
      <c r="J83" s="118">
        <v>33.6</v>
      </c>
      <c r="K83" s="118">
        <v>28.2</v>
      </c>
      <c r="L83" s="118">
        <v>43.3</v>
      </c>
      <c r="M83" s="118">
        <v>67.5</v>
      </c>
      <c r="N83" s="118">
        <v>66.400000000000006</v>
      </c>
      <c r="O83" s="118">
        <v>65</v>
      </c>
      <c r="P83" s="118">
        <v>57.7</v>
      </c>
      <c r="Q83" s="118">
        <v>43.2</v>
      </c>
      <c r="R83" s="118">
        <v>48.7</v>
      </c>
      <c r="S83" s="118">
        <v>30.6</v>
      </c>
      <c r="T83" s="118">
        <v>35.9</v>
      </c>
      <c r="U83" s="118">
        <v>45.9</v>
      </c>
      <c r="V83" s="118">
        <v>50</v>
      </c>
      <c r="W83" s="118">
        <v>56.5</v>
      </c>
      <c r="X83" s="118">
        <v>44.5</v>
      </c>
      <c r="Y83" s="118">
        <v>69</v>
      </c>
      <c r="Z83" s="118">
        <v>64.099999999999994</v>
      </c>
      <c r="AA83" s="50">
        <v>65.599999999999994</v>
      </c>
      <c r="AB83" s="50">
        <v>65.599999999999994</v>
      </c>
      <c r="AC83" s="50">
        <v>68.099999999999994</v>
      </c>
      <c r="AD83" s="50">
        <v>49</v>
      </c>
      <c r="AE83" s="50">
        <v>64.7</v>
      </c>
      <c r="AF83" s="119">
        <v>35</v>
      </c>
      <c r="AG83" s="120">
        <v>75</v>
      </c>
      <c r="AH83" s="52">
        <f>IF(ABS(MAX(B83:AF83))&gt;ABS(MIN(B83:AF83)),MAX(B83:AF83),MIN(B83:AF83))</f>
        <v>69</v>
      </c>
      <c r="AI83" s="121">
        <f>INDEX($B$9:$AF$9,1,MATCH(AH83,B83:AF83,0))</f>
        <v>0.79166666666666663</v>
      </c>
    </row>
    <row r="84" spans="1:37" x14ac:dyDescent="0.25">
      <c r="A84" s="122" t="s">
        <v>90</v>
      </c>
      <c r="B84" s="83">
        <v>-34</v>
      </c>
      <c r="C84" s="83">
        <v>-21</v>
      </c>
      <c r="D84" s="83">
        <v>-26.6</v>
      </c>
      <c r="E84" s="83">
        <v>20.399999999999999</v>
      </c>
      <c r="F84" s="83">
        <v>-22.3</v>
      </c>
      <c r="G84" s="83">
        <v>-19.8</v>
      </c>
      <c r="H84" s="83">
        <f>-16.2</f>
        <v>-16.2</v>
      </c>
      <c r="I84" s="83">
        <f>-15.1</f>
        <v>-15.1</v>
      </c>
      <c r="J84" s="83">
        <v>15</v>
      </c>
      <c r="K84" s="83">
        <v>2.6</v>
      </c>
      <c r="L84" s="83">
        <v>14.3</v>
      </c>
      <c r="M84" s="83">
        <v>-29</v>
      </c>
      <c r="N84" s="83">
        <v>-34.299999999999997</v>
      </c>
      <c r="O84" s="83">
        <v>-30.3</v>
      </c>
      <c r="P84" s="83">
        <v>-42.2</v>
      </c>
      <c r="Q84" s="83">
        <v>-32</v>
      </c>
      <c r="R84" s="83">
        <v>-36</v>
      </c>
      <c r="S84" s="83">
        <v>-19.600000000000001</v>
      </c>
      <c r="T84" s="83">
        <v>-23</v>
      </c>
      <c r="U84" s="83">
        <v>-31.5</v>
      </c>
      <c r="V84" s="83">
        <v>-30.3</v>
      </c>
      <c r="W84" s="83">
        <v>-33</v>
      </c>
      <c r="X84" s="83">
        <v>-17</v>
      </c>
      <c r="Y84" s="83">
        <v>-26</v>
      </c>
      <c r="Z84" s="83">
        <v>-21</v>
      </c>
      <c r="AA84" s="70">
        <v>-30</v>
      </c>
      <c r="AB84" s="70">
        <v>-30</v>
      </c>
      <c r="AC84" s="70">
        <v>-46</v>
      </c>
      <c r="AD84" s="70">
        <v>-37</v>
      </c>
      <c r="AE84" s="70">
        <v>-58</v>
      </c>
      <c r="AF84" s="123">
        <v>-48</v>
      </c>
      <c r="AG84" s="120">
        <v>240</v>
      </c>
      <c r="AH84" s="52">
        <f>IF(ABS(MAX(B84:AF84))&gt;ABS(MIN(B84:AF84)),MAX(B84:AF84),MIN(B84:AF84))</f>
        <v>-58</v>
      </c>
      <c r="AI84" s="121">
        <f>INDEX($B$9:$AF$9,1,MATCH(AH84,B84:AF84,0))</f>
        <v>0.95833333333333304</v>
      </c>
    </row>
    <row r="85" spans="1:37" x14ac:dyDescent="0.25">
      <c r="A85" s="122" t="s">
        <v>91</v>
      </c>
      <c r="B85" s="83">
        <v>4.0999999999999996</v>
      </c>
      <c r="C85" s="83">
        <v>7.6</v>
      </c>
      <c r="D85" s="83">
        <v>8.1</v>
      </c>
      <c r="E85" s="83">
        <v>9.1999999999999993</v>
      </c>
      <c r="F85" s="83">
        <v>10.4</v>
      </c>
      <c r="G85" s="83">
        <v>10.8</v>
      </c>
      <c r="H85" s="83">
        <v>13</v>
      </c>
      <c r="I85" s="83">
        <v>12.3</v>
      </c>
      <c r="J85" s="83">
        <v>13.6</v>
      </c>
      <c r="K85" s="83">
        <v>6.4</v>
      </c>
      <c r="L85" s="83">
        <v>7.2</v>
      </c>
      <c r="M85" s="83">
        <v>12</v>
      </c>
      <c r="N85" s="83">
        <v>9.1</v>
      </c>
      <c r="O85" s="83">
        <v>8</v>
      </c>
      <c r="P85" s="83">
        <v>8.9</v>
      </c>
      <c r="Q85" s="83">
        <v>12.3</v>
      </c>
      <c r="R85" s="83">
        <v>10.5</v>
      </c>
      <c r="S85" s="83">
        <v>16</v>
      </c>
      <c r="T85" s="83">
        <v>16.3</v>
      </c>
      <c r="U85" s="83">
        <v>12.6</v>
      </c>
      <c r="V85" s="83">
        <v>13.9</v>
      </c>
      <c r="W85" s="83">
        <v>13.7</v>
      </c>
      <c r="X85" s="83">
        <v>19.5</v>
      </c>
      <c r="Y85" s="83">
        <v>15.5</v>
      </c>
      <c r="Z85" s="83">
        <v>16.8</v>
      </c>
      <c r="AA85" s="70">
        <v>12</v>
      </c>
      <c r="AB85" s="70">
        <v>12</v>
      </c>
      <c r="AC85" s="70">
        <v>7.2</v>
      </c>
      <c r="AD85" s="70">
        <v>-0.2</v>
      </c>
      <c r="AE85" s="70">
        <v>7.2</v>
      </c>
      <c r="AF85" s="123">
        <v>5.6</v>
      </c>
      <c r="AG85" s="120">
        <v>60</v>
      </c>
      <c r="AH85" s="52">
        <f>IF(ABS(MAX(B85:AF85))&gt;ABS(MIN(B85:AF85)),MAX(B85:AF85),MIN(B85:AF85))</f>
        <v>19.5</v>
      </c>
      <c r="AI85" s="121">
        <f>INDEX($B$9:$AF$9,1,MATCH(AH85,B85:AF85,0))</f>
        <v>0.77083333333333337</v>
      </c>
    </row>
    <row r="86" spans="1:37" x14ac:dyDescent="0.25">
      <c r="A86" s="124" t="s">
        <v>92</v>
      </c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>
        <v>-45</v>
      </c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>
        <v>-85</v>
      </c>
      <c r="AG86" s="127">
        <v>120</v>
      </c>
      <c r="AH86" s="52">
        <f>IF(ABS(MAX(B86:AF86))&gt;ABS(MIN(B86:AF86)),MAX(B86:AF86),MIN(B86:AF86))</f>
        <v>-85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>
        <v>22</v>
      </c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/>
      <c r="AH87" s="52">
        <f>IF(ABS(MAX(B87:AF87))&gt;ABS(MIN(B87:AF87)),MAX(B87:AF87),MIN(B87:AF87))</f>
        <v>22</v>
      </c>
      <c r="AI87" s="121">
        <f>INDEX($B$9:$AF$9,1,MATCH(AH87,B87:AF87,0))</f>
        <v>0.625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845.74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14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14)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14)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690.03</v>
      </c>
      <c r="U193" s="173">
        <f t="shared" si="37"/>
        <v>672.52</v>
      </c>
      <c r="V193" s="173">
        <f t="shared" si="37"/>
        <v>634.44000000000005</v>
      </c>
      <c r="W193" s="173">
        <f t="shared" si="37"/>
        <v>634.33999999999992</v>
      </c>
      <c r="X193" s="173">
        <f t="shared" si="37"/>
        <v>627.44999999999993</v>
      </c>
      <c r="Y193" s="173">
        <f t="shared" si="37"/>
        <v>684.1400000000001</v>
      </c>
      <c r="Z193" s="173">
        <f t="shared" si="37"/>
        <v>686.75</v>
      </c>
      <c r="AA193" s="173">
        <f t="shared" si="37"/>
        <v>703.74</v>
      </c>
      <c r="AB193" s="173">
        <f t="shared" si="37"/>
        <v>723.1400000000001</v>
      </c>
      <c r="AC193" s="173">
        <f t="shared" si="37"/>
        <v>737.64</v>
      </c>
      <c r="AD193" s="173">
        <f t="shared" si="37"/>
        <v>817.46</v>
      </c>
      <c r="AE193" s="173">
        <f t="shared" si="37"/>
        <v>845.74</v>
      </c>
      <c r="AF193" s="173">
        <f t="shared" si="37"/>
        <v>821.14</v>
      </c>
      <c r="AG193" s="173">
        <f t="shared" si="37"/>
        <v>831.83999999999992</v>
      </c>
      <c r="AH193" s="173">
        <f t="shared" si="37"/>
        <v>724.34</v>
      </c>
      <c r="AI193" s="173">
        <f t="shared" si="37"/>
        <v>664.43999999999994</v>
      </c>
      <c r="AJ193" s="173">
        <f t="shared" si="37"/>
        <v>636.59999999999991</v>
      </c>
      <c r="AK193" s="173">
        <f t="shared" si="37"/>
        <v>689.57999999999993</v>
      </c>
      <c r="AL193" s="173">
        <f t="shared" si="37"/>
        <v>695.35</v>
      </c>
      <c r="AM193" s="173">
        <f t="shared" si="37"/>
        <v>764.66</v>
      </c>
      <c r="AN193" s="173">
        <f t="shared" si="37"/>
        <v>787.19</v>
      </c>
      <c r="AO193" s="173">
        <f t="shared" si="37"/>
        <v>801.09999999999991</v>
      </c>
      <c r="AP193" s="173">
        <f t="shared" si="37"/>
        <v>814.98</v>
      </c>
      <c r="AQ193" s="173">
        <f t="shared" si="37"/>
        <v>850.92</v>
      </c>
      <c r="AR193" s="173">
        <f t="shared" si="37"/>
        <v>888.81</v>
      </c>
      <c r="AS193" s="173">
        <f t="shared" si="37"/>
        <v>862.83999999999992</v>
      </c>
      <c r="AT193" s="173">
        <f t="shared" si="37"/>
        <v>862.83999999999992</v>
      </c>
      <c r="AU193" s="173">
        <f t="shared" si="37"/>
        <v>891.13999999999987</v>
      </c>
      <c r="AV193" s="173">
        <f t="shared" si="37"/>
        <v>734.93999999999994</v>
      </c>
      <c r="AW193" s="173">
        <f t="shared" si="37"/>
        <v>644.54</v>
      </c>
      <c r="AX193" s="173">
        <f t="shared" si="37"/>
        <v>614.64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424" priority="161">
      <formula>S$9&gt;=20/24</formula>
    </cfRule>
    <cfRule type="expression" dxfId="3423" priority="162">
      <formula>AND(S$9&gt;=14/24,S$9&lt;20/24)</formula>
    </cfRule>
    <cfRule type="expression" dxfId="3422" priority="163">
      <formula>AND(S$9&gt;=8/24,S$9&lt;14/24)</formula>
    </cfRule>
    <cfRule type="expression" dxfId="3421" priority="164">
      <formula>S$9&lt;8/24</formula>
    </cfRule>
  </conditionalFormatting>
  <conditionalFormatting sqref="B8:AF10 AA70:AF70 B70:Q70 B48:K50 B72:Q72 C173:AF179 M36 L29:Q29 L49:T50 V35:W35 S34:W34 X34:Z35 B73:Z79 R11:T11 U11:Z12 B47:AF47 B59:AF69 B71:AF71 B51:E58 F51:L52 N38:R39 L32:Z33 L31:Q31 N35:Q36 M37:Q39 L34:Q34 M51:Q58 AA72:AF79 L44:AF46 AA48:AF58">
    <cfRule type="expression" dxfId="3420" priority="157">
      <formula>B$9&gt;=20/24</formula>
    </cfRule>
    <cfRule type="expression" dxfId="3419" priority="158">
      <formula>AND(B$9&gt;=14/24,B$9&lt;20/24)</formula>
    </cfRule>
    <cfRule type="expression" dxfId="3418" priority="159">
      <formula>AND(B$9&gt;=8/24,B$9&lt;14/24)</formula>
    </cfRule>
    <cfRule type="expression" dxfId="3417" priority="160">
      <formula>B$9&lt;8/24</formula>
    </cfRule>
  </conditionalFormatting>
  <conditionalFormatting sqref="B171:AF171">
    <cfRule type="expression" dxfId="3416" priority="153">
      <formula>B$9&gt;=20/24</formula>
    </cfRule>
    <cfRule type="expression" dxfId="3415" priority="154">
      <formula>AND(B$9&gt;=14/24,B$9&lt;20/24)</formula>
    </cfRule>
    <cfRule type="expression" dxfId="3414" priority="155">
      <formula>AND(B$9&gt;=8/24,B$9&lt;14/24)</formula>
    </cfRule>
    <cfRule type="expression" dxfId="3413" priority="156">
      <formula>B$9&lt;8/24</formula>
    </cfRule>
  </conditionalFormatting>
  <conditionalFormatting sqref="AL4:AL6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412" priority="148">
      <formula>L$9&gt;=20/24</formula>
    </cfRule>
    <cfRule type="expression" dxfId="3411" priority="149">
      <formula>AND(L$9&gt;=14/24,L$9&lt;20/24)</formula>
    </cfRule>
    <cfRule type="expression" dxfId="3410" priority="150">
      <formula>AND(L$9&gt;=8/24,L$9&lt;14/24)</formula>
    </cfRule>
    <cfRule type="expression" dxfId="3409" priority="151">
      <formula>L$9&lt;8/24</formula>
    </cfRule>
  </conditionalFormatting>
  <conditionalFormatting sqref="L35:M35">
    <cfRule type="expression" dxfId="3408" priority="144">
      <formula>L$9&gt;=20/24</formula>
    </cfRule>
    <cfRule type="expression" dxfId="3407" priority="145">
      <formula>AND(L$9&gt;=14/24,L$9&lt;20/24)</formula>
    </cfRule>
    <cfRule type="expression" dxfId="3406" priority="146">
      <formula>AND(L$9&gt;=8/24,L$9&lt;14/24)</formula>
    </cfRule>
    <cfRule type="expression" dxfId="3405" priority="147">
      <formula>L$9&lt;8/24</formula>
    </cfRule>
  </conditionalFormatting>
  <conditionalFormatting sqref="U13:Z13">
    <cfRule type="expression" dxfId="3404" priority="140">
      <formula>U$9&gt;=20/24</formula>
    </cfRule>
    <cfRule type="expression" dxfId="3403" priority="141">
      <formula>AND(U$9&gt;=14/24,U$9&lt;20/24)</formula>
    </cfRule>
    <cfRule type="expression" dxfId="3402" priority="142">
      <formula>AND(U$9&gt;=8/24,U$9&lt;14/24)</formula>
    </cfRule>
    <cfRule type="expression" dxfId="3401" priority="143">
      <formula>U$9&lt;8/24</formula>
    </cfRule>
  </conditionalFormatting>
  <conditionalFormatting sqref="R31:Z31">
    <cfRule type="expression" dxfId="3400" priority="136">
      <formula>R$9&gt;=20/24</formula>
    </cfRule>
    <cfRule type="expression" dxfId="3399" priority="137">
      <formula>AND(R$9&gt;=14/24,R$9&lt;20/24)</formula>
    </cfRule>
    <cfRule type="expression" dxfId="3398" priority="138">
      <formula>AND(R$9&gt;=8/24,R$9&lt;14/24)</formula>
    </cfRule>
    <cfRule type="expression" dxfId="3397" priority="139">
      <formula>R$9&lt;8/24</formula>
    </cfRule>
  </conditionalFormatting>
  <conditionalFormatting sqref="R48:Z48">
    <cfRule type="expression" dxfId="3396" priority="132">
      <formula>R$9&gt;=20/24</formula>
    </cfRule>
    <cfRule type="expression" dxfId="3395" priority="133">
      <formula>AND(R$9&gt;=14/24,R$9&lt;20/24)</formula>
    </cfRule>
    <cfRule type="expression" dxfId="3394" priority="134">
      <formula>AND(R$9&gt;=8/24,R$9&lt;14/24)</formula>
    </cfRule>
    <cfRule type="expression" dxfId="3393" priority="135">
      <formula>R$9&lt;8/24</formula>
    </cfRule>
  </conditionalFormatting>
  <conditionalFormatting sqref="R70:Z70">
    <cfRule type="expression" dxfId="3392" priority="128">
      <formula>R$9&gt;=20/24</formula>
    </cfRule>
    <cfRule type="expression" dxfId="3391" priority="129">
      <formula>AND(R$9&gt;=14/24,R$9&lt;20/24)</formula>
    </cfRule>
    <cfRule type="expression" dxfId="3390" priority="130">
      <formula>AND(R$9&gt;=8/24,R$9&lt;14/24)</formula>
    </cfRule>
    <cfRule type="expression" dxfId="3389" priority="131">
      <formula>R$9&lt;8/24</formula>
    </cfRule>
  </conditionalFormatting>
  <conditionalFormatting sqref="R72:Z72">
    <cfRule type="expression" dxfId="3388" priority="124">
      <formula>R$9&gt;=20/24</formula>
    </cfRule>
    <cfRule type="expression" dxfId="3387" priority="125">
      <formula>AND(R$9&gt;=14/24,R$9&lt;20/24)</formula>
    </cfRule>
    <cfRule type="expression" dxfId="3386" priority="126">
      <formula>AND(R$9&gt;=8/24,R$9&lt;14/24)</formula>
    </cfRule>
    <cfRule type="expression" dxfId="3385" priority="127">
      <formula>R$9&lt;8/24</formula>
    </cfRule>
  </conditionalFormatting>
  <conditionalFormatting sqref="R22:T26 L11:Q27 R20:S27 T21:T27">
    <cfRule type="expression" dxfId="3384" priority="120">
      <formula>L$9&gt;=20/24</formula>
    </cfRule>
    <cfRule type="expression" dxfId="3383" priority="121">
      <formula>AND(L$9&gt;=14/24,L$9&lt;20/24)</formula>
    </cfRule>
    <cfRule type="expression" dxfId="3382" priority="122">
      <formula>AND(L$9&gt;=8/24,L$9&lt;14/24)</formula>
    </cfRule>
    <cfRule type="expression" dxfId="3381" priority="123">
      <formula>L$9&lt;8/24</formula>
    </cfRule>
  </conditionalFormatting>
  <conditionalFormatting sqref="L40:R40">
    <cfRule type="expression" dxfId="3380" priority="116">
      <formula>L$9&gt;=20/24</formula>
    </cfRule>
    <cfRule type="expression" dxfId="3379" priority="117">
      <formula>AND(L$9&gt;=14/24,L$9&lt;20/24)</formula>
    </cfRule>
    <cfRule type="expression" dxfId="3378" priority="118">
      <formula>AND(L$9&gt;=8/24,L$9&lt;14/24)</formula>
    </cfRule>
    <cfRule type="expression" dxfId="3377" priority="119">
      <formula>L$9&lt;8/24</formula>
    </cfRule>
  </conditionalFormatting>
  <conditionalFormatting sqref="L41:R41">
    <cfRule type="expression" dxfId="3376" priority="112">
      <formula>L$9&gt;=20/24</formula>
    </cfRule>
    <cfRule type="expression" dxfId="3375" priority="113">
      <formula>AND(L$9&gt;=14/24,L$9&lt;20/24)</formula>
    </cfRule>
    <cfRule type="expression" dxfId="3374" priority="114">
      <formula>AND(L$9&gt;=8/24,L$9&lt;14/24)</formula>
    </cfRule>
    <cfRule type="expression" dxfId="3373" priority="115">
      <formula>L$9&lt;8/24</formula>
    </cfRule>
  </conditionalFormatting>
  <conditionalFormatting sqref="L36:L39">
    <cfRule type="expression" dxfId="3372" priority="108">
      <formula>L$9&gt;=20/24</formula>
    </cfRule>
    <cfRule type="expression" dxfId="3371" priority="109">
      <formula>AND(L$9&gt;=14/24,L$9&lt;20/24)</formula>
    </cfRule>
    <cfRule type="expression" dxfId="3370" priority="110">
      <formula>AND(L$9&gt;=8/24,L$9&lt;14/24)</formula>
    </cfRule>
    <cfRule type="expression" dxfId="3369" priority="111">
      <formula>L$9&lt;8/24</formula>
    </cfRule>
  </conditionalFormatting>
  <conditionalFormatting sqref="R29:AD29">
    <cfRule type="expression" dxfId="3368" priority="104">
      <formula>R$9&gt;=20/24</formula>
    </cfRule>
    <cfRule type="expression" dxfId="3367" priority="105">
      <formula>AND(R$9&gt;=14/24,R$9&lt;20/24)</formula>
    </cfRule>
    <cfRule type="expression" dxfId="3366" priority="106">
      <formula>AND(R$9&gt;=8/24,R$9&lt;14/24)</formula>
    </cfRule>
    <cfRule type="expression" dxfId="3365" priority="107">
      <formula>R$9&lt;8/24</formula>
    </cfRule>
  </conditionalFormatting>
  <conditionalFormatting sqref="R12:T27 U14:Z27 AA16:AF27">
    <cfRule type="expression" dxfId="3364" priority="100">
      <formula>R$9&gt;=20/24</formula>
    </cfRule>
    <cfRule type="expression" dxfId="3363" priority="101">
      <formula>AND(R$9&gt;=14/24,R$9&lt;20/24)</formula>
    </cfRule>
    <cfRule type="expression" dxfId="3362" priority="102">
      <formula>AND(R$9&gt;=8/24,R$9&lt;14/24)</formula>
    </cfRule>
    <cfRule type="expression" dxfId="3361" priority="103">
      <formula>R$9&lt;8/24</formula>
    </cfRule>
  </conditionalFormatting>
  <conditionalFormatting sqref="R34:R39 S35:U39 V36:Z39">
    <cfRule type="expression" dxfId="3360" priority="96">
      <formula>R$9&gt;=20/24</formula>
    </cfRule>
    <cfRule type="expression" dxfId="3359" priority="97">
      <formula>AND(R$9&gt;=14/24,R$9&lt;20/24)</formula>
    </cfRule>
    <cfRule type="expression" dxfId="3358" priority="98">
      <formula>AND(R$9&gt;=8/24,R$9&lt;14/24)</formula>
    </cfRule>
    <cfRule type="expression" dxfId="3357" priority="99">
      <formula>R$9&lt;8/24</formula>
    </cfRule>
  </conditionalFormatting>
  <conditionalFormatting sqref="R40:Z40">
    <cfRule type="expression" dxfId="3356" priority="92">
      <formula>R$9&gt;=20/24</formula>
    </cfRule>
    <cfRule type="expression" dxfId="3355" priority="93">
      <formula>AND(R$9&gt;=14/24,R$9&lt;20/24)</formula>
    </cfRule>
    <cfRule type="expression" dxfId="3354" priority="94">
      <formula>AND(R$9&gt;=8/24,R$9&lt;14/24)</formula>
    </cfRule>
    <cfRule type="expression" dxfId="3353" priority="95">
      <formula>R$9&lt;8/24</formula>
    </cfRule>
  </conditionalFormatting>
  <conditionalFormatting sqref="R41:Z41">
    <cfRule type="expression" dxfId="3352" priority="88">
      <formula>R$9&gt;=20/24</formula>
    </cfRule>
    <cfRule type="expression" dxfId="3351" priority="89">
      <formula>AND(R$9&gt;=14/24,R$9&lt;20/24)</formula>
    </cfRule>
    <cfRule type="expression" dxfId="3350" priority="90">
      <formula>AND(R$9&gt;=8/24,R$9&lt;14/24)</formula>
    </cfRule>
    <cfRule type="expression" dxfId="3349" priority="91">
      <formula>R$9&lt;8/24</formula>
    </cfRule>
  </conditionalFormatting>
  <conditionalFormatting sqref="T51:Z58">
    <cfRule type="expression" dxfId="3348" priority="84">
      <formula>T$9&gt;=20/24</formula>
    </cfRule>
    <cfRule type="expression" dxfId="3347" priority="85">
      <formula>AND(T$9&gt;=14/24,T$9&lt;20/24)</formula>
    </cfRule>
    <cfRule type="expression" dxfId="3346" priority="86">
      <formula>AND(T$9&gt;=8/24,T$9&lt;14/24)</formula>
    </cfRule>
    <cfRule type="expression" dxfId="3345" priority="87">
      <formula>T$9&lt;8/24</formula>
    </cfRule>
  </conditionalFormatting>
  <conditionalFormatting sqref="AA83:AF86">
    <cfRule type="expression" dxfId="3344" priority="80">
      <formula>AA$9&gt;=20/24</formula>
    </cfRule>
    <cfRule type="expression" dxfId="3343" priority="81">
      <formula>AND(AA$9&gt;=14/24,AA$9&lt;20/24)</formula>
    </cfRule>
    <cfRule type="expression" dxfId="3342" priority="82">
      <formula>AND(AA$9&gt;=8/24,AA$9&lt;14/24)</formula>
    </cfRule>
    <cfRule type="expression" dxfId="3341" priority="83">
      <formula>AA$9&lt;8/24</formula>
    </cfRule>
  </conditionalFormatting>
  <conditionalFormatting sqref="F53:L58">
    <cfRule type="expression" dxfId="3340" priority="76">
      <formula>F$9&gt;=20/24</formula>
    </cfRule>
    <cfRule type="expression" dxfId="3339" priority="77">
      <formula>AND(F$9&gt;=14/24,F$9&lt;20/24)</formula>
    </cfRule>
    <cfRule type="expression" dxfId="3338" priority="78">
      <formula>AND(F$9&gt;=8/24,F$9&lt;14/24)</formula>
    </cfRule>
    <cfRule type="expression" dxfId="3337" priority="79">
      <formula>F$9&lt;8/24</formula>
    </cfRule>
  </conditionalFormatting>
  <conditionalFormatting sqref="B83:K86">
    <cfRule type="expression" dxfId="3336" priority="72">
      <formula>B$9&gt;=20/24</formula>
    </cfRule>
    <cfRule type="expression" dxfId="3335" priority="73">
      <formula>AND(B$9&gt;=14/24,B$9&lt;20/24)</formula>
    </cfRule>
    <cfRule type="expression" dxfId="3334" priority="74">
      <formula>AND(B$9&gt;=8/24,B$9&lt;14/24)</formula>
    </cfRule>
    <cfRule type="expression" dxfId="3333" priority="75">
      <formula>B$9&lt;8/24</formula>
    </cfRule>
  </conditionalFormatting>
  <conditionalFormatting sqref="L83:Q86">
    <cfRule type="expression" dxfId="3332" priority="68">
      <formula>L$9&gt;=20/24</formula>
    </cfRule>
    <cfRule type="expression" dxfId="3331" priority="69">
      <formula>AND(L$9&gt;=14/24,L$9&lt;20/24)</formula>
    </cfRule>
    <cfRule type="expression" dxfId="3330" priority="70">
      <formula>AND(L$9&gt;=8/24,L$9&lt;14/24)</formula>
    </cfRule>
    <cfRule type="expression" dxfId="3329" priority="71">
      <formula>L$9&lt;8/24</formula>
    </cfRule>
  </conditionalFormatting>
  <conditionalFormatting sqref="R83:Z86">
    <cfRule type="expression" dxfId="3328" priority="64">
      <formula>R$9&gt;=20/24</formula>
    </cfRule>
    <cfRule type="expression" dxfId="3327" priority="65">
      <formula>AND(R$9&gt;=14/24,R$9&lt;20/24)</formula>
    </cfRule>
    <cfRule type="expression" dxfId="3326" priority="66">
      <formula>AND(R$9&gt;=8/24,R$9&lt;14/24)</formula>
    </cfRule>
    <cfRule type="expression" dxfId="3325" priority="67">
      <formula>R$9&lt;8/24</formula>
    </cfRule>
  </conditionalFormatting>
  <conditionalFormatting sqref="AG42 B11:AF47">
    <cfRule type="expression" dxfId="3324" priority="63">
      <formula>B11&gt;$AG11</formula>
    </cfRule>
  </conditionalFormatting>
  <conditionalFormatting sqref="T192:AX192">
    <cfRule type="expression" dxfId="3323" priority="59">
      <formula>T$9&gt;=20/24</formula>
    </cfRule>
    <cfRule type="expression" dxfId="3322" priority="60">
      <formula>AND(T$9&gt;=14/24,T$9&lt;20/24)</formula>
    </cfRule>
    <cfRule type="expression" dxfId="3321" priority="61">
      <formula>AND(T$9&gt;=8/24,T$9&lt;14/24)</formula>
    </cfRule>
    <cfRule type="expression" dxfId="3320" priority="62">
      <formula>T$9&lt;8/24</formula>
    </cfRule>
  </conditionalFormatting>
  <conditionalFormatting sqref="A11:A86 A88:A180">
    <cfRule type="expression" dxfId="3319" priority="58">
      <formula>$AH11=0</formula>
    </cfRule>
  </conditionalFormatting>
  <conditionalFormatting sqref="AA87:AF87">
    <cfRule type="expression" dxfId="3318" priority="54">
      <formula>AA$9&gt;=20/24</formula>
    </cfRule>
    <cfRule type="expression" dxfId="3317" priority="55">
      <formula>AND(AA$9&gt;=14/24,AA$9&lt;20/24)</formula>
    </cfRule>
    <cfRule type="expression" dxfId="3316" priority="56">
      <formula>AND(AA$9&gt;=8/24,AA$9&lt;14/24)</formula>
    </cfRule>
    <cfRule type="expression" dxfId="3315" priority="57">
      <formula>AA$9&lt;8/24</formula>
    </cfRule>
  </conditionalFormatting>
  <conditionalFormatting sqref="B87:K87">
    <cfRule type="expression" dxfId="3314" priority="50">
      <formula>B$9&gt;=20/24</formula>
    </cfRule>
    <cfRule type="expression" dxfId="3313" priority="51">
      <formula>AND(B$9&gt;=14/24,B$9&lt;20/24)</formula>
    </cfRule>
    <cfRule type="expression" dxfId="3312" priority="52">
      <formula>AND(B$9&gt;=8/24,B$9&lt;14/24)</formula>
    </cfRule>
    <cfRule type="expression" dxfId="3311" priority="53">
      <formula>B$9&lt;8/24</formula>
    </cfRule>
  </conditionalFormatting>
  <conditionalFormatting sqref="L87:Q87">
    <cfRule type="expression" dxfId="3310" priority="46">
      <formula>L$9&gt;=20/24</formula>
    </cfRule>
    <cfRule type="expression" dxfId="3309" priority="47">
      <formula>AND(L$9&gt;=14/24,L$9&lt;20/24)</formula>
    </cfRule>
    <cfRule type="expression" dxfId="3308" priority="48">
      <formula>AND(L$9&gt;=8/24,L$9&lt;14/24)</formula>
    </cfRule>
    <cfRule type="expression" dxfId="3307" priority="49">
      <formula>L$9&lt;8/24</formula>
    </cfRule>
  </conditionalFormatting>
  <conditionalFormatting sqref="R87:Z87">
    <cfRule type="expression" dxfId="3306" priority="42">
      <formula>R$9&gt;=20/24</formula>
    </cfRule>
    <cfRule type="expression" dxfId="3305" priority="43">
      <formula>AND(R$9&gt;=14/24,R$9&lt;20/24)</formula>
    </cfRule>
    <cfRule type="expression" dxfId="3304" priority="44">
      <formula>AND(R$9&gt;=8/24,R$9&lt;14/24)</formula>
    </cfRule>
    <cfRule type="expression" dxfId="3303" priority="45">
      <formula>R$9&lt;8/24</formula>
    </cfRule>
  </conditionalFormatting>
  <conditionalFormatting sqref="A87">
    <cfRule type="expression" dxfId="3302" priority="41">
      <formula>$AH87=0</formula>
    </cfRule>
  </conditionalFormatting>
  <conditionalFormatting sqref="B28:AF28">
    <cfRule type="expression" dxfId="3301" priority="37">
      <formula>B$9&gt;=20/24</formula>
    </cfRule>
    <cfRule type="expression" dxfId="3300" priority="38">
      <formula>AND(B$9&gt;=14/24,B$9&lt;20/24)</formula>
    </cfRule>
    <cfRule type="expression" dxfId="3299" priority="39">
      <formula>AND(B$9&gt;=8/24,B$9&lt;14/24)</formula>
    </cfRule>
    <cfRule type="expression" dxfId="3298" priority="40">
      <formula>B$9&lt;8/24</formula>
    </cfRule>
  </conditionalFormatting>
  <conditionalFormatting sqref="R28:AB28">
    <cfRule type="expression" dxfId="3297" priority="33">
      <formula>R$9&gt;=20/24</formula>
    </cfRule>
    <cfRule type="expression" dxfId="3296" priority="34">
      <formula>AND(R$9&gt;=14/24,R$9&lt;20/24)</formula>
    </cfRule>
    <cfRule type="expression" dxfId="3295" priority="35">
      <formula>AND(R$9&gt;=8/24,R$9&lt;14/24)</formula>
    </cfRule>
    <cfRule type="expression" dxfId="3294" priority="36">
      <formula>R$9&lt;8/24</formula>
    </cfRule>
  </conditionalFormatting>
  <conditionalFormatting sqref="R51:R58">
    <cfRule type="expression" dxfId="3293" priority="29">
      <formula>R$9&gt;=20/24</formula>
    </cfRule>
    <cfRule type="expression" dxfId="3292" priority="30">
      <formula>AND(R$9&gt;=14/24,R$9&lt;20/24)</formula>
    </cfRule>
    <cfRule type="expression" dxfId="3291" priority="31">
      <formula>AND(R$9&gt;=8/24,R$9&lt;14/24)</formula>
    </cfRule>
    <cfRule type="expression" dxfId="3290" priority="32">
      <formula>R$9&lt;8/24</formula>
    </cfRule>
  </conditionalFormatting>
  <conditionalFormatting sqref="S51:S58">
    <cfRule type="expression" dxfId="3289" priority="25">
      <formula>S$9&gt;=20/24</formula>
    </cfRule>
    <cfRule type="expression" dxfId="3288" priority="26">
      <formula>AND(S$9&gt;=14/24,S$9&lt;20/24)</formula>
    </cfRule>
    <cfRule type="expression" dxfId="3287" priority="27">
      <formula>AND(S$9&gt;=8/24,S$9&lt;14/24)</formula>
    </cfRule>
    <cfRule type="expression" dxfId="3286" priority="28">
      <formula>S$9&lt;8/24</formula>
    </cfRule>
  </conditionalFormatting>
  <conditionalFormatting sqref="U21:U27">
    <cfRule type="expression" dxfId="3285" priority="21">
      <formula>U$9&gt;=20/24</formula>
    </cfRule>
    <cfRule type="expression" dxfId="3284" priority="22">
      <formula>AND(U$9&gt;=14/24,U$9&lt;20/24)</formula>
    </cfRule>
    <cfRule type="expression" dxfId="3283" priority="23">
      <formula>AND(U$9&gt;=8/24,U$9&lt;14/24)</formula>
    </cfRule>
    <cfRule type="expression" dxfId="3282" priority="24">
      <formula>U$9&lt;8/24</formula>
    </cfRule>
  </conditionalFormatting>
  <conditionalFormatting sqref="U21:U27">
    <cfRule type="expression" dxfId="3281" priority="17">
      <formula>U$9&gt;=20/24</formula>
    </cfRule>
    <cfRule type="expression" dxfId="3280" priority="18">
      <formula>AND(U$9&gt;=14/24,U$9&lt;20/24)</formula>
    </cfRule>
    <cfRule type="expression" dxfId="3279" priority="19">
      <formula>AND(U$9&gt;=8/24,U$9&lt;14/24)</formula>
    </cfRule>
    <cfRule type="expression" dxfId="3278" priority="20">
      <formula>U$9&lt;8/24</formula>
    </cfRule>
  </conditionalFormatting>
  <conditionalFormatting sqref="V21:V27">
    <cfRule type="expression" dxfId="3277" priority="13">
      <formula>V$9&gt;=20/24</formula>
    </cfRule>
    <cfRule type="expression" dxfId="3276" priority="14">
      <formula>AND(V$9&gt;=14/24,V$9&lt;20/24)</formula>
    </cfRule>
    <cfRule type="expression" dxfId="3275" priority="15">
      <formula>AND(V$9&gt;=8/24,V$9&lt;14/24)</formula>
    </cfRule>
    <cfRule type="expression" dxfId="3274" priority="16">
      <formula>V$9&lt;8/24</formula>
    </cfRule>
  </conditionalFormatting>
  <conditionalFormatting sqref="V21:V27">
    <cfRule type="expression" dxfId="3273" priority="9">
      <formula>V$9&gt;=20/24</formula>
    </cfRule>
    <cfRule type="expression" dxfId="3272" priority="10">
      <formula>AND(V$9&gt;=14/24,V$9&lt;20/24)</formula>
    </cfRule>
    <cfRule type="expression" dxfId="3271" priority="11">
      <formula>AND(V$9&gt;=8/24,V$9&lt;14/24)</formula>
    </cfRule>
    <cfRule type="expression" dxfId="3270" priority="12">
      <formula>V$9&lt;8/24</formula>
    </cfRule>
  </conditionalFormatting>
  <conditionalFormatting sqref="W21:Z27">
    <cfRule type="expression" dxfId="3269" priority="5">
      <formula>W$9&gt;=20/24</formula>
    </cfRule>
    <cfRule type="expression" dxfId="3268" priority="6">
      <formula>AND(W$9&gt;=14/24,W$9&lt;20/24)</formula>
    </cfRule>
    <cfRule type="expression" dxfId="3267" priority="7">
      <formula>AND(W$9&gt;=8/24,W$9&lt;14/24)</formula>
    </cfRule>
    <cfRule type="expression" dxfId="3266" priority="8">
      <formula>W$9&lt;8/24</formula>
    </cfRule>
  </conditionalFormatting>
  <conditionalFormatting sqref="W21:Z27">
    <cfRule type="expression" dxfId="3265" priority="1">
      <formula>W$9&gt;=20/24</formula>
    </cfRule>
    <cfRule type="expression" dxfId="3264" priority="2">
      <formula>AND(W$9&gt;=14/24,W$9&lt;20/24)</formula>
    </cfRule>
    <cfRule type="expression" dxfId="3263" priority="3">
      <formula>AND(W$9&gt;=8/24,W$9&lt;14/24)</formula>
    </cfRule>
    <cfRule type="expression" dxfId="3262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A20" sqref="A20:XFD2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15</v>
      </c>
      <c r="D4" s="324">
        <f ca="1">IFERROR(DATE(2021,5,14)+C4,"")</f>
        <v>44345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-60</v>
      </c>
      <c r="C5" s="32">
        <f t="shared" ref="C5:AF5" si="0">C59</f>
        <v>-64</v>
      </c>
      <c r="D5" s="32">
        <f t="shared" si="0"/>
        <v>-34</v>
      </c>
      <c r="E5" s="32">
        <f t="shared" si="0"/>
        <v>-14.5</v>
      </c>
      <c r="F5" s="32">
        <f t="shared" si="0"/>
        <v>-1.6999999999999993</v>
      </c>
      <c r="G5" s="32">
        <f t="shared" si="0"/>
        <v>-6.6999999999999993</v>
      </c>
      <c r="H5" s="32">
        <f t="shared" si="0"/>
        <v>-5</v>
      </c>
      <c r="I5" s="32">
        <f t="shared" si="0"/>
        <v>-11</v>
      </c>
      <c r="J5" s="32">
        <f t="shared" si="0"/>
        <v>-14.6</v>
      </c>
      <c r="K5" s="32">
        <f t="shared" si="0"/>
        <v>-10</v>
      </c>
      <c r="L5" s="32">
        <f t="shared" si="0"/>
        <v>3</v>
      </c>
      <c r="M5" s="32">
        <f t="shared" si="0"/>
        <v>15</v>
      </c>
      <c r="N5" s="32">
        <f t="shared" si="0"/>
        <v>21</v>
      </c>
      <c r="O5" s="32">
        <f t="shared" si="0"/>
        <v>-24.8</v>
      </c>
      <c r="P5" s="32">
        <f t="shared" si="0"/>
        <v>-6.6</v>
      </c>
      <c r="Q5" s="32">
        <f t="shared" si="0"/>
        <v>6.4700000000000006</v>
      </c>
      <c r="R5" s="32">
        <f t="shared" si="0"/>
        <v>25.2</v>
      </c>
      <c r="S5" s="32">
        <f t="shared" si="0"/>
        <v>16.5</v>
      </c>
      <c r="T5" s="32">
        <f t="shared" si="0"/>
        <v>44.5</v>
      </c>
      <c r="U5" s="32">
        <f t="shared" si="0"/>
        <v>79</v>
      </c>
      <c r="V5" s="32">
        <f t="shared" si="0"/>
        <v>60.3</v>
      </c>
      <c r="W5" s="32">
        <f t="shared" si="0"/>
        <v>45</v>
      </c>
      <c r="X5" s="32">
        <f t="shared" si="0"/>
        <v>100</v>
      </c>
      <c r="Y5" s="32">
        <f t="shared" si="0"/>
        <v>126</v>
      </c>
      <c r="Z5" s="32">
        <f t="shared" si="0"/>
        <v>184</v>
      </c>
      <c r="AA5" s="32">
        <f t="shared" si="0"/>
        <v>209.19</v>
      </c>
      <c r="AB5" s="32">
        <f t="shared" si="0"/>
        <v>184.51999999999998</v>
      </c>
      <c r="AC5" s="32">
        <f t="shared" si="0"/>
        <v>165.01999999999998</v>
      </c>
      <c r="AD5" s="32">
        <f t="shared" si="0"/>
        <v>127.57</v>
      </c>
      <c r="AE5" s="32">
        <f t="shared" si="0"/>
        <v>75.87</v>
      </c>
      <c r="AF5" s="32">
        <f t="shared" si="0"/>
        <v>39.5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809MW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Load=567</v>
      </c>
      <c r="B7" s="36">
        <f t="shared" ref="B7:AF7" si="1">B65</f>
        <v>589.74</v>
      </c>
      <c r="C7" s="36">
        <f t="shared" si="1"/>
        <v>586.24</v>
      </c>
      <c r="D7" s="36">
        <f t="shared" si="1"/>
        <v>583.94000000000005</v>
      </c>
      <c r="E7" s="36">
        <f t="shared" si="1"/>
        <v>566.74</v>
      </c>
      <c r="F7" s="36">
        <f t="shared" si="1"/>
        <v>579.54000000000008</v>
      </c>
      <c r="G7" s="36">
        <f t="shared" si="1"/>
        <v>626.64</v>
      </c>
      <c r="H7" s="36">
        <f t="shared" si="1"/>
        <v>665.94</v>
      </c>
      <c r="I7" s="36">
        <f t="shared" si="1"/>
        <v>765.14</v>
      </c>
      <c r="J7" s="36">
        <f t="shared" si="1"/>
        <v>743.6400000000001</v>
      </c>
      <c r="K7" s="36">
        <f t="shared" si="1"/>
        <v>738.24</v>
      </c>
      <c r="L7" s="36">
        <f>L65</f>
        <v>783.94</v>
      </c>
      <c r="M7" s="36">
        <f t="shared" si="1"/>
        <v>809.04</v>
      </c>
      <c r="N7" s="36">
        <f t="shared" si="1"/>
        <v>813.54</v>
      </c>
      <c r="O7" s="36">
        <f t="shared" si="1"/>
        <v>750.54</v>
      </c>
      <c r="P7" s="36">
        <f t="shared" si="1"/>
        <v>706.54</v>
      </c>
      <c r="Q7" s="36">
        <f t="shared" si="1"/>
        <v>719.51</v>
      </c>
      <c r="R7" s="36">
        <f t="shared" si="1"/>
        <v>771.83999999999992</v>
      </c>
      <c r="S7" s="36">
        <f t="shared" si="1"/>
        <v>763.54</v>
      </c>
      <c r="T7" s="36">
        <f t="shared" si="1"/>
        <v>809.44</v>
      </c>
      <c r="U7" s="36">
        <f t="shared" si="1"/>
        <v>844.54</v>
      </c>
      <c r="V7" s="36">
        <f t="shared" si="1"/>
        <v>838.04</v>
      </c>
      <c r="W7" s="36">
        <f t="shared" si="1"/>
        <v>821.64</v>
      </c>
      <c r="X7" s="36">
        <f t="shared" si="1"/>
        <v>892.54</v>
      </c>
      <c r="Y7" s="36">
        <f t="shared" si="1"/>
        <v>948.54</v>
      </c>
      <c r="Z7" s="36">
        <f t="shared" si="1"/>
        <v>1091.74</v>
      </c>
      <c r="AA7" s="36">
        <f t="shared" si="1"/>
        <v>1028.83</v>
      </c>
      <c r="AB7" s="36">
        <f t="shared" si="1"/>
        <v>1003.96</v>
      </c>
      <c r="AC7" s="36">
        <f t="shared" si="1"/>
        <v>966.76</v>
      </c>
      <c r="AD7" s="36">
        <f t="shared" si="1"/>
        <v>908.70999999999992</v>
      </c>
      <c r="AE7" s="36">
        <f t="shared" si="1"/>
        <v>826.41</v>
      </c>
      <c r="AF7" s="36">
        <f t="shared" si="1"/>
        <v>783.24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53.5</v>
      </c>
      <c r="C11" s="48">
        <v>53.5</v>
      </c>
      <c r="D11" s="48">
        <v>53.5</v>
      </c>
      <c r="E11" s="48">
        <v>53.5</v>
      </c>
      <c r="F11" s="48">
        <v>53.5</v>
      </c>
      <c r="G11" s="48">
        <v>53.5</v>
      </c>
      <c r="H11" s="48">
        <v>53.5</v>
      </c>
      <c r="I11" s="48">
        <v>53.5</v>
      </c>
      <c r="J11" s="48">
        <v>53.5</v>
      </c>
      <c r="K11" s="48">
        <v>53.5</v>
      </c>
      <c r="L11" s="48">
        <v>53.5</v>
      </c>
      <c r="M11" s="48">
        <v>56.5</v>
      </c>
      <c r="N11" s="48">
        <v>55</v>
      </c>
      <c r="O11" s="48">
        <v>55</v>
      </c>
      <c r="P11" s="48">
        <v>55</v>
      </c>
      <c r="Q11" s="49">
        <v>55.6</v>
      </c>
      <c r="R11" s="49">
        <v>56</v>
      </c>
      <c r="S11" s="49">
        <v>56</v>
      </c>
      <c r="T11" s="49">
        <v>56</v>
      </c>
      <c r="U11" s="49">
        <v>56</v>
      </c>
      <c r="V11" s="49">
        <v>56</v>
      </c>
      <c r="W11" s="49">
        <v>56</v>
      </c>
      <c r="X11" s="49">
        <v>56</v>
      </c>
      <c r="Y11" s="49">
        <v>56</v>
      </c>
      <c r="Z11" s="49">
        <v>51</v>
      </c>
      <c r="AA11" s="48">
        <v>51</v>
      </c>
      <c r="AB11" s="48">
        <v>51</v>
      </c>
      <c r="AC11" s="48">
        <v>51</v>
      </c>
      <c r="AD11" s="48">
        <v>51</v>
      </c>
      <c r="AE11" s="48">
        <v>51</v>
      </c>
      <c r="AF11" s="48">
        <v>51</v>
      </c>
      <c r="AG11" s="51">
        <v>60</v>
      </c>
      <c r="AH11" s="52">
        <f>MAX(B11:AF11)</f>
        <v>56.5</v>
      </c>
      <c r="AI11" s="53">
        <f>MIN(B11:AF11)</f>
        <v>51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</v>
      </c>
      <c r="C12" s="56">
        <v>50</v>
      </c>
      <c r="D12" s="56">
        <v>50.3</v>
      </c>
      <c r="E12" s="56">
        <v>50.3</v>
      </c>
      <c r="F12" s="56">
        <v>50.3</v>
      </c>
      <c r="G12" s="56">
        <v>50.2</v>
      </c>
      <c r="H12" s="56">
        <v>50.3</v>
      </c>
      <c r="I12" s="56">
        <v>50.2</v>
      </c>
      <c r="J12" s="56">
        <v>50.3</v>
      </c>
      <c r="K12" s="56">
        <v>50.7</v>
      </c>
      <c r="L12" s="56">
        <v>50.5</v>
      </c>
      <c r="M12" s="56">
        <v>50.5</v>
      </c>
      <c r="N12" s="56">
        <v>50.5</v>
      </c>
      <c r="O12" s="56">
        <v>50.2</v>
      </c>
      <c r="P12" s="56">
        <v>50.6</v>
      </c>
      <c r="Q12" s="49">
        <v>50.5</v>
      </c>
      <c r="R12" s="49">
        <v>50.4</v>
      </c>
      <c r="S12" s="49">
        <v>50.4</v>
      </c>
      <c r="T12" s="49">
        <v>50.4</v>
      </c>
      <c r="U12" s="49">
        <v>50.4</v>
      </c>
      <c r="V12" s="49">
        <v>50.4</v>
      </c>
      <c r="W12" s="49">
        <v>50.4</v>
      </c>
      <c r="X12" s="49">
        <v>50.4</v>
      </c>
      <c r="Y12" s="49">
        <v>50.4</v>
      </c>
      <c r="Z12" s="49">
        <v>50.5</v>
      </c>
      <c r="AA12" s="56">
        <v>50.6</v>
      </c>
      <c r="AB12" s="56">
        <v>50.6</v>
      </c>
      <c r="AC12" s="56">
        <v>50.7</v>
      </c>
      <c r="AD12" s="56">
        <v>50.6</v>
      </c>
      <c r="AE12" s="56">
        <v>50.8</v>
      </c>
      <c r="AF12" s="56">
        <v>50.7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</v>
      </c>
      <c r="C13" s="56">
        <v>43</v>
      </c>
      <c r="D13" s="56">
        <v>43</v>
      </c>
      <c r="E13" s="56">
        <v>43.1</v>
      </c>
      <c r="F13" s="56">
        <v>43.1</v>
      </c>
      <c r="G13" s="56">
        <v>43</v>
      </c>
      <c r="H13" s="56">
        <v>43.1</v>
      </c>
      <c r="I13" s="56">
        <v>43.1</v>
      </c>
      <c r="J13" s="56">
        <v>43.1</v>
      </c>
      <c r="K13" s="56">
        <v>43.1</v>
      </c>
      <c r="L13" s="56">
        <v>43.5</v>
      </c>
      <c r="M13" s="56">
        <v>43.5</v>
      </c>
      <c r="N13" s="56">
        <v>43.5</v>
      </c>
      <c r="O13" s="56">
        <v>43.4</v>
      </c>
      <c r="P13" s="56">
        <v>43.3</v>
      </c>
      <c r="Q13" s="49">
        <v>43.3</v>
      </c>
      <c r="R13" s="49">
        <v>43.3</v>
      </c>
      <c r="S13" s="49">
        <v>43.3</v>
      </c>
      <c r="T13" s="49">
        <v>43.3</v>
      </c>
      <c r="U13" s="49">
        <v>43.3</v>
      </c>
      <c r="V13" s="49">
        <v>43.3</v>
      </c>
      <c r="W13" s="49">
        <v>43.3</v>
      </c>
      <c r="X13" s="49">
        <v>43.3</v>
      </c>
      <c r="Y13" s="49">
        <v>43.3</v>
      </c>
      <c r="Z13" s="49">
        <v>43.3</v>
      </c>
      <c r="AA13" s="56">
        <v>43.4</v>
      </c>
      <c r="AB13" s="56">
        <v>43.4</v>
      </c>
      <c r="AC13" s="56">
        <v>43.4</v>
      </c>
      <c r="AD13" s="56">
        <v>43.5</v>
      </c>
      <c r="AE13" s="56">
        <v>43.4</v>
      </c>
      <c r="AF13" s="56">
        <v>43.6</v>
      </c>
      <c r="AG13" s="59">
        <v>45</v>
      </c>
      <c r="AH13" s="52">
        <f t="shared" si="2"/>
        <v>43.6</v>
      </c>
      <c r="AI13" s="53">
        <f t="shared" si="3"/>
        <v>43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22</v>
      </c>
      <c r="C14" s="56">
        <v>22</v>
      </c>
      <c r="D14" s="56">
        <v>22</v>
      </c>
      <c r="E14" s="56">
        <v>22</v>
      </c>
      <c r="F14" s="56">
        <v>22</v>
      </c>
      <c r="G14" s="56">
        <v>22</v>
      </c>
      <c r="H14" s="56">
        <v>22</v>
      </c>
      <c r="I14" s="56">
        <v>22</v>
      </c>
      <c r="J14" s="56">
        <v>22</v>
      </c>
      <c r="K14" s="56">
        <v>22</v>
      </c>
      <c r="L14" s="56">
        <v>22</v>
      </c>
      <c r="M14" s="56">
        <v>22</v>
      </c>
      <c r="N14" s="56">
        <v>22</v>
      </c>
      <c r="O14" s="56">
        <v>22</v>
      </c>
      <c r="P14" s="56">
        <v>22</v>
      </c>
      <c r="Q14" s="49">
        <v>22</v>
      </c>
      <c r="R14" s="49">
        <v>22</v>
      </c>
      <c r="S14" s="49">
        <v>22</v>
      </c>
      <c r="T14" s="49">
        <v>22</v>
      </c>
      <c r="U14" s="49">
        <v>22</v>
      </c>
      <c r="V14" s="49">
        <v>22</v>
      </c>
      <c r="W14" s="49">
        <v>22</v>
      </c>
      <c r="X14" s="49">
        <v>22</v>
      </c>
      <c r="Y14" s="49">
        <v>22</v>
      </c>
      <c r="Z14" s="49">
        <v>22</v>
      </c>
      <c r="AA14" s="56">
        <v>22</v>
      </c>
      <c r="AB14" s="56">
        <v>22</v>
      </c>
      <c r="AC14" s="56">
        <v>22</v>
      </c>
      <c r="AD14" s="56">
        <v>22</v>
      </c>
      <c r="AE14" s="56">
        <v>22</v>
      </c>
      <c r="AF14" s="56">
        <v>22</v>
      </c>
      <c r="AG14" s="59">
        <v>25</v>
      </c>
      <c r="AH14" s="52">
        <f t="shared" si="2"/>
        <v>22</v>
      </c>
      <c r="AI14" s="53">
        <f t="shared" si="3"/>
        <v>22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25</v>
      </c>
      <c r="P15" s="56">
        <v>25</v>
      </c>
      <c r="Q15" s="49">
        <v>25.2</v>
      </c>
      <c r="R15" s="49">
        <v>25.3</v>
      </c>
      <c r="S15" s="49">
        <v>25.3</v>
      </c>
      <c r="T15" s="49">
        <v>25.3</v>
      </c>
      <c r="U15" s="49">
        <v>25.3</v>
      </c>
      <c r="V15" s="49">
        <v>25.3</v>
      </c>
      <c r="W15" s="49">
        <v>0</v>
      </c>
      <c r="X15" s="49">
        <v>0</v>
      </c>
      <c r="Y15" s="49">
        <v>12</v>
      </c>
      <c r="Z15" s="49">
        <v>26</v>
      </c>
      <c r="AA15" s="56">
        <v>26</v>
      </c>
      <c r="AB15" s="56">
        <v>26</v>
      </c>
      <c r="AC15" s="56">
        <v>25.8</v>
      </c>
      <c r="AD15" s="56">
        <v>25.8</v>
      </c>
      <c r="AE15" s="56">
        <v>25.9</v>
      </c>
      <c r="AF15" s="56">
        <v>26</v>
      </c>
      <c r="AG15" s="59">
        <v>25</v>
      </c>
      <c r="AH15" s="52">
        <f t="shared" si="2"/>
        <v>26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56">
        <v>6.2</v>
      </c>
      <c r="N16" s="56">
        <v>6.2</v>
      </c>
      <c r="O16" s="56">
        <v>6.2</v>
      </c>
      <c r="P16" s="56">
        <v>6.2</v>
      </c>
      <c r="Q16" s="56">
        <v>6.2</v>
      </c>
      <c r="R16" s="56">
        <v>6.2</v>
      </c>
      <c r="S16" s="56">
        <v>6.2</v>
      </c>
      <c r="T16" s="56">
        <v>6.2</v>
      </c>
      <c r="U16" s="56">
        <v>6.2</v>
      </c>
      <c r="V16" s="56">
        <v>6.2</v>
      </c>
      <c r="W16" s="56">
        <v>6.2</v>
      </c>
      <c r="X16" s="56">
        <v>6.2</v>
      </c>
      <c r="Y16" s="56">
        <v>6.2</v>
      </c>
      <c r="Z16" s="56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</v>
      </c>
      <c r="C17" s="56">
        <v>22</v>
      </c>
      <c r="D17" s="56">
        <v>22</v>
      </c>
      <c r="E17" s="56">
        <v>22</v>
      </c>
      <c r="F17" s="56">
        <v>22</v>
      </c>
      <c r="G17" s="56">
        <v>22</v>
      </c>
      <c r="H17" s="56">
        <v>22</v>
      </c>
      <c r="I17" s="56">
        <v>22</v>
      </c>
      <c r="J17" s="56">
        <v>22</v>
      </c>
      <c r="K17" s="56">
        <v>22</v>
      </c>
      <c r="L17" s="56">
        <v>22</v>
      </c>
      <c r="M17" s="56">
        <v>22</v>
      </c>
      <c r="N17" s="56">
        <v>22</v>
      </c>
      <c r="O17" s="56">
        <v>22</v>
      </c>
      <c r="P17" s="56">
        <v>22</v>
      </c>
      <c r="Q17" s="56">
        <v>22</v>
      </c>
      <c r="R17" s="56">
        <v>22</v>
      </c>
      <c r="S17" s="56">
        <v>22</v>
      </c>
      <c r="T17" s="56">
        <v>22</v>
      </c>
      <c r="U17" s="56">
        <v>22</v>
      </c>
      <c r="V17" s="56">
        <v>22</v>
      </c>
      <c r="W17" s="56">
        <v>22</v>
      </c>
      <c r="X17" s="56">
        <v>22</v>
      </c>
      <c r="Y17" s="56">
        <v>22</v>
      </c>
      <c r="Z17" s="56">
        <v>25.5</v>
      </c>
      <c r="AA17" s="49">
        <v>24.9</v>
      </c>
      <c r="AB17" s="49">
        <v>24.9</v>
      </c>
      <c r="AC17" s="49">
        <v>24.7</v>
      </c>
      <c r="AD17" s="49">
        <v>24.6</v>
      </c>
      <c r="AE17" s="49">
        <v>25</v>
      </c>
      <c r="AF17" s="49">
        <v>25.1</v>
      </c>
      <c r="AG17" s="59">
        <v>22.1</v>
      </c>
      <c r="AH17" s="52">
        <f t="shared" si="2"/>
        <v>25.5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21</v>
      </c>
      <c r="C18" s="56">
        <v>21</v>
      </c>
      <c r="D18" s="56">
        <v>21</v>
      </c>
      <c r="E18" s="56">
        <v>21</v>
      </c>
      <c r="F18" s="56">
        <v>21</v>
      </c>
      <c r="G18" s="56">
        <v>21</v>
      </c>
      <c r="H18" s="56">
        <v>21</v>
      </c>
      <c r="I18" s="56">
        <v>21</v>
      </c>
      <c r="J18" s="56">
        <v>21</v>
      </c>
      <c r="K18" s="56">
        <v>21</v>
      </c>
      <c r="L18" s="56">
        <v>21</v>
      </c>
      <c r="M18" s="56">
        <v>21</v>
      </c>
      <c r="N18" s="56">
        <v>21</v>
      </c>
      <c r="O18" s="56">
        <v>21</v>
      </c>
      <c r="P18" s="56">
        <v>21</v>
      </c>
      <c r="Q18" s="56">
        <v>21</v>
      </c>
      <c r="R18" s="56">
        <v>21</v>
      </c>
      <c r="S18" s="56">
        <v>21</v>
      </c>
      <c r="T18" s="56">
        <v>21</v>
      </c>
      <c r="U18" s="56">
        <v>21</v>
      </c>
      <c r="V18" s="56">
        <v>21</v>
      </c>
      <c r="W18" s="56">
        <v>21</v>
      </c>
      <c r="X18" s="56">
        <v>21</v>
      </c>
      <c r="Y18" s="56">
        <v>21</v>
      </c>
      <c r="Z18" s="56">
        <v>21</v>
      </c>
      <c r="AA18" s="49">
        <v>21</v>
      </c>
      <c r="AB18" s="49">
        <v>21</v>
      </c>
      <c r="AC18" s="49">
        <v>21</v>
      </c>
      <c r="AD18" s="49">
        <v>21</v>
      </c>
      <c r="AE18" s="49">
        <v>21</v>
      </c>
      <c r="AF18" s="49">
        <v>21</v>
      </c>
      <c r="AG18" s="59">
        <v>22.1</v>
      </c>
      <c r="AH18" s="52">
        <f t="shared" si="2"/>
        <v>21</v>
      </c>
      <c r="AI18" s="53">
        <f t="shared" si="3"/>
        <v>21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22</v>
      </c>
      <c r="C19" s="56">
        <v>22</v>
      </c>
      <c r="D19" s="56">
        <v>22</v>
      </c>
      <c r="E19" s="56">
        <v>22</v>
      </c>
      <c r="F19" s="56">
        <v>22</v>
      </c>
      <c r="G19" s="56">
        <v>22</v>
      </c>
      <c r="H19" s="56">
        <v>22</v>
      </c>
      <c r="I19" s="56">
        <v>22</v>
      </c>
      <c r="J19" s="56">
        <v>22</v>
      </c>
      <c r="K19" s="56">
        <v>22</v>
      </c>
      <c r="L19" s="56">
        <v>22</v>
      </c>
      <c r="M19" s="56">
        <v>22</v>
      </c>
      <c r="N19" s="56">
        <v>22</v>
      </c>
      <c r="O19" s="56">
        <v>22</v>
      </c>
      <c r="P19" s="56">
        <v>22</v>
      </c>
      <c r="Q19" s="56">
        <v>22</v>
      </c>
      <c r="R19" s="56">
        <v>22</v>
      </c>
      <c r="S19" s="56">
        <v>22</v>
      </c>
      <c r="T19" s="56">
        <v>22</v>
      </c>
      <c r="U19" s="56">
        <v>22</v>
      </c>
      <c r="V19" s="56">
        <v>22</v>
      </c>
      <c r="W19" s="56">
        <v>22</v>
      </c>
      <c r="X19" s="56">
        <v>22</v>
      </c>
      <c r="Y19" s="56">
        <v>22</v>
      </c>
      <c r="Z19" s="56">
        <v>22.5</v>
      </c>
      <c r="AA19" s="49">
        <v>27.5</v>
      </c>
      <c r="AB19" s="49">
        <v>27.5</v>
      </c>
      <c r="AC19" s="49">
        <v>27.4</v>
      </c>
      <c r="AD19" s="49">
        <v>27.4</v>
      </c>
      <c r="AE19" s="49">
        <v>27.1</v>
      </c>
      <c r="AF19" s="49">
        <v>27.2</v>
      </c>
      <c r="AG19" s="59">
        <v>22</v>
      </c>
      <c r="AH19" s="52">
        <f t="shared" si="2"/>
        <v>27.5</v>
      </c>
      <c r="AI19" s="53">
        <f t="shared" si="3"/>
        <v>22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22</v>
      </c>
      <c r="C20" s="56">
        <v>22</v>
      </c>
      <c r="D20" s="56">
        <v>22</v>
      </c>
      <c r="E20" s="56">
        <v>22</v>
      </c>
      <c r="F20" s="56">
        <v>22</v>
      </c>
      <c r="G20" s="56">
        <v>22</v>
      </c>
      <c r="H20" s="56">
        <v>22</v>
      </c>
      <c r="I20" s="56">
        <v>22</v>
      </c>
      <c r="J20" s="56">
        <v>22</v>
      </c>
      <c r="K20" s="56">
        <v>22</v>
      </c>
      <c r="L20" s="56">
        <v>22</v>
      </c>
      <c r="M20" s="56">
        <v>22</v>
      </c>
      <c r="N20" s="56">
        <v>22</v>
      </c>
      <c r="O20" s="56">
        <v>22</v>
      </c>
      <c r="P20" s="56">
        <v>22</v>
      </c>
      <c r="Q20" s="56">
        <v>22</v>
      </c>
      <c r="R20" s="56">
        <v>22</v>
      </c>
      <c r="S20" s="56">
        <v>22</v>
      </c>
      <c r="T20" s="56">
        <v>22</v>
      </c>
      <c r="U20" s="56">
        <v>22</v>
      </c>
      <c r="V20" s="56">
        <v>22</v>
      </c>
      <c r="W20" s="56">
        <v>22</v>
      </c>
      <c r="X20" s="56">
        <v>22</v>
      </c>
      <c r="Y20" s="56">
        <v>22</v>
      </c>
      <c r="Z20" s="56">
        <v>22</v>
      </c>
      <c r="AA20" s="56">
        <v>22</v>
      </c>
      <c r="AB20" s="56">
        <v>22</v>
      </c>
      <c r="AC20" s="56">
        <v>22</v>
      </c>
      <c r="AD20" s="56">
        <v>22</v>
      </c>
      <c r="AE20" s="56">
        <v>22</v>
      </c>
      <c r="AF20" s="56">
        <v>22</v>
      </c>
      <c r="AG20" s="59">
        <v>22</v>
      </c>
      <c r="AH20" s="52">
        <f t="shared" si="2"/>
        <v>22</v>
      </c>
      <c r="AI20" s="53">
        <f t="shared" si="3"/>
        <v>22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7.8</v>
      </c>
      <c r="C21" s="56">
        <v>7.8</v>
      </c>
      <c r="D21" s="56">
        <v>7.8</v>
      </c>
      <c r="E21" s="56">
        <v>7.8</v>
      </c>
      <c r="F21" s="56">
        <v>7.8</v>
      </c>
      <c r="G21" s="56">
        <v>7.8</v>
      </c>
      <c r="H21" s="56">
        <v>7.8</v>
      </c>
      <c r="I21" s="56">
        <v>7.8</v>
      </c>
      <c r="J21" s="56">
        <v>7.8</v>
      </c>
      <c r="K21" s="56">
        <v>7.8</v>
      </c>
      <c r="L21" s="56">
        <v>7.8</v>
      </c>
      <c r="M21" s="56">
        <v>7.8</v>
      </c>
      <c r="N21" s="56">
        <v>7.8</v>
      </c>
      <c r="O21" s="56">
        <v>7.8</v>
      </c>
      <c r="P21" s="56">
        <v>7.8</v>
      </c>
      <c r="Q21" s="56">
        <v>7.8</v>
      </c>
      <c r="R21" s="56">
        <v>7.8</v>
      </c>
      <c r="S21" s="56">
        <v>7.8</v>
      </c>
      <c r="T21" s="56">
        <v>7.8</v>
      </c>
      <c r="U21" s="56">
        <v>7.8</v>
      </c>
      <c r="V21" s="56">
        <v>7.8</v>
      </c>
      <c r="W21" s="56">
        <v>7.8</v>
      </c>
      <c r="X21" s="56">
        <v>7.8</v>
      </c>
      <c r="Y21" s="56">
        <v>7.8</v>
      </c>
      <c r="Z21" s="56">
        <v>7.8</v>
      </c>
      <c r="AA21" s="56">
        <v>7.8</v>
      </c>
      <c r="AB21" s="56">
        <v>7.8</v>
      </c>
      <c r="AC21" s="56">
        <v>7.8</v>
      </c>
      <c r="AD21" s="56">
        <v>7.8</v>
      </c>
      <c r="AE21" s="56">
        <v>7.8</v>
      </c>
      <c r="AF21" s="56">
        <v>7.8</v>
      </c>
      <c r="AG21" s="59">
        <v>14.9</v>
      </c>
      <c r="AH21" s="52">
        <f t="shared" si="2"/>
        <v>7.8</v>
      </c>
      <c r="AI21" s="53">
        <f t="shared" si="3"/>
        <v>7.8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</v>
      </c>
      <c r="C23" s="56">
        <v>10</v>
      </c>
      <c r="D23" s="56">
        <v>10</v>
      </c>
      <c r="E23" s="56">
        <v>10</v>
      </c>
      <c r="F23" s="56">
        <v>10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56">
        <v>10</v>
      </c>
      <c r="M23" s="56">
        <v>10</v>
      </c>
      <c r="N23" s="56">
        <v>10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10</v>
      </c>
      <c r="AA23" s="56">
        <v>10</v>
      </c>
      <c r="AB23" s="56">
        <v>10</v>
      </c>
      <c r="AC23" s="56">
        <v>10</v>
      </c>
      <c r="AD23" s="56">
        <v>10</v>
      </c>
      <c r="AE23" s="56">
        <v>10</v>
      </c>
      <c r="AF23" s="56">
        <v>10</v>
      </c>
      <c r="AG23" s="59">
        <v>13</v>
      </c>
      <c r="AH23" s="52">
        <f t="shared" si="2"/>
        <v>10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12</v>
      </c>
      <c r="C24" s="56">
        <v>12</v>
      </c>
      <c r="D24" s="56">
        <v>12</v>
      </c>
      <c r="E24" s="56">
        <v>12</v>
      </c>
      <c r="F24" s="56">
        <v>12</v>
      </c>
      <c r="G24" s="56">
        <v>12</v>
      </c>
      <c r="H24" s="56">
        <v>12</v>
      </c>
      <c r="I24" s="56">
        <v>12</v>
      </c>
      <c r="J24" s="56">
        <v>12</v>
      </c>
      <c r="K24" s="56">
        <v>12</v>
      </c>
      <c r="L24" s="56">
        <v>12</v>
      </c>
      <c r="M24" s="56">
        <v>12</v>
      </c>
      <c r="N24" s="56">
        <v>12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56">
        <v>0</v>
      </c>
      <c r="V24" s="56">
        <v>8</v>
      </c>
      <c r="W24" s="56">
        <v>8</v>
      </c>
      <c r="X24" s="56">
        <v>12</v>
      </c>
      <c r="Y24" s="56">
        <v>12</v>
      </c>
      <c r="Z24" s="56">
        <v>12</v>
      </c>
      <c r="AA24" s="56">
        <v>12</v>
      </c>
      <c r="AB24" s="56">
        <v>12</v>
      </c>
      <c r="AC24" s="56">
        <v>12</v>
      </c>
      <c r="AD24" s="56">
        <v>12</v>
      </c>
      <c r="AE24" s="56">
        <v>12</v>
      </c>
      <c r="AF24" s="56">
        <v>12</v>
      </c>
      <c r="AG24" s="59">
        <v>12</v>
      </c>
      <c r="AH24" s="52">
        <f t="shared" si="2"/>
        <v>12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9">
        <v>12</v>
      </c>
      <c r="AH26" s="52">
        <f>MAX(B26:AF26)</f>
        <v>10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8</v>
      </c>
      <c r="C27" s="56">
        <v>8</v>
      </c>
      <c r="D27" s="56">
        <v>8</v>
      </c>
      <c r="E27" s="56">
        <v>8</v>
      </c>
      <c r="F27" s="56">
        <v>8</v>
      </c>
      <c r="G27" s="56">
        <v>8</v>
      </c>
      <c r="H27" s="56">
        <v>8</v>
      </c>
      <c r="I27" s="56">
        <v>8</v>
      </c>
      <c r="J27" s="56">
        <v>8</v>
      </c>
      <c r="K27" s="56">
        <v>8</v>
      </c>
      <c r="L27" s="56">
        <v>8</v>
      </c>
      <c r="M27" s="56">
        <v>8</v>
      </c>
      <c r="N27" s="56">
        <v>8</v>
      </c>
      <c r="O27" s="56">
        <v>8</v>
      </c>
      <c r="P27" s="56">
        <v>8</v>
      </c>
      <c r="Q27" s="56">
        <v>8</v>
      </c>
      <c r="R27" s="56">
        <v>8</v>
      </c>
      <c r="S27" s="56">
        <v>8</v>
      </c>
      <c r="T27" s="56">
        <v>8</v>
      </c>
      <c r="U27" s="56">
        <v>8</v>
      </c>
      <c r="V27" s="56">
        <v>8</v>
      </c>
      <c r="W27" s="56">
        <v>8</v>
      </c>
      <c r="X27" s="56">
        <v>8</v>
      </c>
      <c r="Y27" s="56">
        <v>8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8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167</v>
      </c>
      <c r="C28" s="56">
        <v>167</v>
      </c>
      <c r="D28" s="56">
        <v>167</v>
      </c>
      <c r="E28" s="56">
        <v>167</v>
      </c>
      <c r="F28" s="56">
        <v>167</v>
      </c>
      <c r="G28" s="56">
        <v>167</v>
      </c>
      <c r="H28" s="56">
        <v>167</v>
      </c>
      <c r="I28" s="56">
        <v>167</v>
      </c>
      <c r="J28" s="56">
        <v>167</v>
      </c>
      <c r="K28" s="56">
        <v>167</v>
      </c>
      <c r="L28" s="56">
        <v>167</v>
      </c>
      <c r="M28" s="56">
        <v>167</v>
      </c>
      <c r="N28" s="56">
        <v>167</v>
      </c>
      <c r="O28" s="56">
        <v>167</v>
      </c>
      <c r="P28" s="56">
        <v>167</v>
      </c>
      <c r="Q28" s="56">
        <v>167</v>
      </c>
      <c r="R28" s="56">
        <v>167</v>
      </c>
      <c r="S28" s="56">
        <v>167</v>
      </c>
      <c r="T28" s="56">
        <v>167</v>
      </c>
      <c r="U28" s="56">
        <v>167</v>
      </c>
      <c r="V28" s="56">
        <v>167</v>
      </c>
      <c r="W28" s="56">
        <v>167</v>
      </c>
      <c r="X28" s="56">
        <v>167</v>
      </c>
      <c r="Y28" s="56">
        <v>167</v>
      </c>
      <c r="Z28" s="56">
        <v>167</v>
      </c>
      <c r="AA28" s="56">
        <v>167</v>
      </c>
      <c r="AB28" s="56">
        <v>167</v>
      </c>
      <c r="AC28" s="56">
        <v>167</v>
      </c>
      <c r="AD28" s="56">
        <v>167</v>
      </c>
      <c r="AE28" s="56">
        <v>167</v>
      </c>
      <c r="AF28" s="56">
        <v>167</v>
      </c>
      <c r="AG28" s="59">
        <v>85</v>
      </c>
      <c r="AH28" s="52">
        <f t="shared" si="2"/>
        <v>167</v>
      </c>
      <c r="AI28" s="53">
        <f t="shared" si="3"/>
        <v>167</v>
      </c>
      <c r="AK28" s="54"/>
    </row>
    <row r="29" spans="1:88" ht="15.75" thickBot="1" x14ac:dyDescent="0.3">
      <c r="A29" s="66" t="s">
        <v>36</v>
      </c>
      <c r="B29" s="56">
        <v>148</v>
      </c>
      <c r="C29" s="56">
        <v>143</v>
      </c>
      <c r="D29" s="56">
        <v>145.1</v>
      </c>
      <c r="E29" s="56">
        <v>144.19999999999999</v>
      </c>
      <c r="F29" s="56">
        <v>143.6</v>
      </c>
      <c r="G29" s="56">
        <v>142.80000000000001</v>
      </c>
      <c r="H29" s="56">
        <v>136.6</v>
      </c>
      <c r="I29" s="56">
        <v>136.4</v>
      </c>
      <c r="J29" s="56">
        <v>138.1</v>
      </c>
      <c r="K29" s="56">
        <v>136.9</v>
      </c>
      <c r="L29" s="67">
        <v>135.30000000000001</v>
      </c>
      <c r="M29" s="67">
        <v>121.4</v>
      </c>
      <c r="N29" s="67">
        <v>128.30000000000001</v>
      </c>
      <c r="O29" s="67">
        <v>135.9</v>
      </c>
      <c r="P29" s="67">
        <v>134.9</v>
      </c>
      <c r="Q29" s="67">
        <v>132.6</v>
      </c>
      <c r="R29" s="67">
        <v>120</v>
      </c>
      <c r="S29" s="67">
        <v>131</v>
      </c>
      <c r="T29" s="67">
        <v>131</v>
      </c>
      <c r="U29" s="67">
        <v>90</v>
      </c>
      <c r="V29" s="67">
        <v>121</v>
      </c>
      <c r="W29" s="67">
        <v>116.2</v>
      </c>
      <c r="X29" s="67">
        <v>119</v>
      </c>
      <c r="Y29" s="67">
        <v>119</v>
      </c>
      <c r="Z29" s="67">
        <v>117</v>
      </c>
      <c r="AA29" s="67">
        <v>116.5</v>
      </c>
      <c r="AB29" s="67"/>
      <c r="AC29" s="67">
        <v>112.1</v>
      </c>
      <c r="AD29" s="67">
        <v>113</v>
      </c>
      <c r="AE29" s="56">
        <v>120.1</v>
      </c>
      <c r="AF29" s="56">
        <v>113.5</v>
      </c>
      <c r="AG29" s="59">
        <v>240</v>
      </c>
      <c r="AH29" s="52">
        <f t="shared" si="2"/>
        <v>148</v>
      </c>
      <c r="AI29" s="53">
        <f t="shared" si="3"/>
        <v>90</v>
      </c>
      <c r="AK29" s="54"/>
    </row>
    <row r="30" spans="1:88" ht="15.75" thickBot="1" x14ac:dyDescent="0.3">
      <c r="A30" s="68" t="s">
        <v>37</v>
      </c>
      <c r="B30" s="69">
        <f>SUM(B11:B28)</f>
        <v>483.7</v>
      </c>
      <c r="C30" s="69">
        <f t="shared" ref="C30:AF30" si="4">SUM(C11:C28)</f>
        <v>483.7</v>
      </c>
      <c r="D30" s="69">
        <f t="shared" si="4"/>
        <v>484</v>
      </c>
      <c r="E30" s="69">
        <f t="shared" si="4"/>
        <v>484.1</v>
      </c>
      <c r="F30" s="69">
        <f t="shared" si="4"/>
        <v>484.1</v>
      </c>
      <c r="G30" s="69">
        <f t="shared" si="4"/>
        <v>483.9</v>
      </c>
      <c r="H30" s="69">
        <f t="shared" si="4"/>
        <v>484.1</v>
      </c>
      <c r="I30" s="69">
        <f t="shared" si="4"/>
        <v>484</v>
      </c>
      <c r="J30" s="69">
        <f t="shared" si="4"/>
        <v>484.1</v>
      </c>
      <c r="K30" s="69">
        <f t="shared" si="4"/>
        <v>484.5</v>
      </c>
      <c r="L30" s="69">
        <f t="shared" si="4"/>
        <v>484.7</v>
      </c>
      <c r="M30" s="69">
        <f t="shared" si="4"/>
        <v>487.7</v>
      </c>
      <c r="N30" s="69">
        <f t="shared" si="4"/>
        <v>486.2</v>
      </c>
      <c r="O30" s="69">
        <f t="shared" si="4"/>
        <v>488.79999999999995</v>
      </c>
      <c r="P30" s="69">
        <f t="shared" si="4"/>
        <v>489.09999999999997</v>
      </c>
      <c r="Q30" s="69">
        <f t="shared" si="4"/>
        <v>489.79999999999995</v>
      </c>
      <c r="R30" s="69">
        <f t="shared" si="4"/>
        <v>490.2</v>
      </c>
      <c r="S30" s="69">
        <f t="shared" si="4"/>
        <v>490.2</v>
      </c>
      <c r="T30" s="69">
        <f t="shared" si="4"/>
        <v>490.2</v>
      </c>
      <c r="U30" s="69">
        <f t="shared" si="4"/>
        <v>490.2</v>
      </c>
      <c r="V30" s="69">
        <f>SUM(V11:V28)</f>
        <v>498.2</v>
      </c>
      <c r="W30" s="69">
        <f t="shared" si="4"/>
        <v>472.9</v>
      </c>
      <c r="X30" s="69">
        <f t="shared" si="4"/>
        <v>476.9</v>
      </c>
      <c r="Y30" s="69">
        <f t="shared" si="4"/>
        <v>488.9</v>
      </c>
      <c r="Z30" s="69">
        <f t="shared" si="4"/>
        <v>498</v>
      </c>
      <c r="AA30" s="69">
        <f t="shared" si="4"/>
        <v>502.6</v>
      </c>
      <c r="AB30" s="69">
        <f t="shared" si="4"/>
        <v>502.6</v>
      </c>
      <c r="AC30" s="69">
        <f t="shared" si="4"/>
        <v>502.2</v>
      </c>
      <c r="AD30" s="69">
        <f t="shared" si="4"/>
        <v>502.09999999999997</v>
      </c>
      <c r="AE30" s="69">
        <f t="shared" si="4"/>
        <v>502.4</v>
      </c>
      <c r="AF30" s="69">
        <f t="shared" si="4"/>
        <v>502.8</v>
      </c>
      <c r="AG30" s="59">
        <f>SUM(AG11:AG29)</f>
        <v>729.2</v>
      </c>
      <c r="AH30" s="52">
        <f t="shared" si="2"/>
        <v>502.8</v>
      </c>
      <c r="AI30" s="53">
        <f t="shared" si="3"/>
        <v>472.9</v>
      </c>
      <c r="AK30" s="54"/>
    </row>
    <row r="31" spans="1:88" x14ac:dyDescent="0.25">
      <c r="A31" s="55" t="s">
        <v>38</v>
      </c>
      <c r="B31" s="56">
        <v>45</v>
      </c>
      <c r="C31" s="56">
        <v>45</v>
      </c>
      <c r="D31" s="56">
        <v>30</v>
      </c>
      <c r="E31" s="56">
        <v>0</v>
      </c>
      <c r="F31" s="56">
        <v>0</v>
      </c>
      <c r="G31" s="56">
        <v>30</v>
      </c>
      <c r="H31" s="56">
        <v>45.5</v>
      </c>
      <c r="I31" s="56">
        <v>132.1</v>
      </c>
      <c r="J31" s="56">
        <v>96.8</v>
      </c>
      <c r="K31" s="56">
        <v>85.7</v>
      </c>
      <c r="L31" s="49">
        <v>96.8</v>
      </c>
      <c r="M31" s="49">
        <v>96.8</v>
      </c>
      <c r="N31" s="49">
        <v>96.8</v>
      </c>
      <c r="O31" s="49">
        <v>85</v>
      </c>
      <c r="P31" s="49">
        <v>61.3</v>
      </c>
      <c r="Q31" s="49">
        <v>60.7</v>
      </c>
      <c r="R31" s="49">
        <v>97.6</v>
      </c>
      <c r="S31" s="49">
        <v>86</v>
      </c>
      <c r="T31" s="49">
        <v>97</v>
      </c>
      <c r="U31" s="49">
        <v>90</v>
      </c>
      <c r="V31" s="49">
        <v>73</v>
      </c>
      <c r="W31" s="49">
        <v>80.599999999999994</v>
      </c>
      <c r="X31" s="49">
        <v>90</v>
      </c>
      <c r="Y31" s="49">
        <v>94</v>
      </c>
      <c r="Z31" s="49">
        <v>97</v>
      </c>
      <c r="AA31" s="48">
        <v>96.7</v>
      </c>
      <c r="AB31" s="48">
        <v>96.7</v>
      </c>
      <c r="AC31" s="48">
        <v>86.7</v>
      </c>
      <c r="AD31" s="48">
        <v>81.3</v>
      </c>
      <c r="AE31" s="48">
        <v>60.7</v>
      </c>
      <c r="AF31" s="48">
        <v>60.9</v>
      </c>
      <c r="AG31" s="57">
        <v>144</v>
      </c>
      <c r="AH31" s="52">
        <f t="shared" si="2"/>
        <v>132.1</v>
      </c>
      <c r="AI31" s="53">
        <f t="shared" si="3"/>
        <v>0</v>
      </c>
      <c r="AK31" s="54"/>
    </row>
    <row r="32" spans="1:88" x14ac:dyDescent="0.25">
      <c r="A32" s="58" t="s">
        <v>39</v>
      </c>
      <c r="B32" s="56">
        <v>0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22.6</v>
      </c>
      <c r="I32" s="56">
        <v>29.5</v>
      </c>
      <c r="J32" s="56">
        <v>46</v>
      </c>
      <c r="K32" s="56">
        <v>46.1</v>
      </c>
      <c r="L32" s="70">
        <v>60.1</v>
      </c>
      <c r="M32" s="70">
        <v>70</v>
      </c>
      <c r="N32" s="70">
        <v>70</v>
      </c>
      <c r="O32" s="70">
        <v>70</v>
      </c>
      <c r="P32" s="70">
        <v>29.8</v>
      </c>
      <c r="Q32" s="70">
        <v>29.8</v>
      </c>
      <c r="R32" s="70">
        <v>35</v>
      </c>
      <c r="S32" s="70">
        <v>48</v>
      </c>
      <c r="T32" s="70">
        <v>55</v>
      </c>
      <c r="U32" s="70">
        <v>59.4</v>
      </c>
      <c r="V32" s="70">
        <v>64</v>
      </c>
      <c r="W32" s="70">
        <v>69.5</v>
      </c>
      <c r="X32" s="70">
        <v>70</v>
      </c>
      <c r="Y32" s="70">
        <v>70</v>
      </c>
      <c r="Z32" s="70">
        <v>70</v>
      </c>
      <c r="AA32" s="56">
        <v>69.7</v>
      </c>
      <c r="AB32" s="56">
        <v>69.7</v>
      </c>
      <c r="AC32" s="56">
        <v>64.3</v>
      </c>
      <c r="AD32" s="56">
        <v>58.5</v>
      </c>
      <c r="AE32" s="56">
        <v>48.7</v>
      </c>
      <c r="AF32" s="56">
        <v>44.4</v>
      </c>
      <c r="AG32" s="59">
        <v>70</v>
      </c>
      <c r="AH32" s="52">
        <f t="shared" si="2"/>
        <v>70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22</v>
      </c>
      <c r="C33" s="56">
        <v>22.5</v>
      </c>
      <c r="D33" s="56">
        <v>0</v>
      </c>
      <c r="E33" s="56">
        <v>0</v>
      </c>
      <c r="F33" s="56">
        <v>0</v>
      </c>
      <c r="G33" s="56">
        <v>22.7</v>
      </c>
      <c r="H33" s="56">
        <v>22.1</v>
      </c>
      <c r="I33" s="56">
        <v>39.799999999999997</v>
      </c>
      <c r="J33" s="56">
        <v>40.299999999999997</v>
      </c>
      <c r="K33" s="56">
        <v>40.299999999999997</v>
      </c>
      <c r="L33" s="70">
        <v>46.2</v>
      </c>
      <c r="M33" s="70">
        <v>46.4</v>
      </c>
      <c r="N33" s="70">
        <v>46.4</v>
      </c>
      <c r="O33" s="70">
        <v>36.1</v>
      </c>
      <c r="P33" s="70">
        <v>36.299999999999997</v>
      </c>
      <c r="Q33" s="70">
        <v>36</v>
      </c>
      <c r="R33" s="70">
        <v>46</v>
      </c>
      <c r="S33" s="70">
        <v>45</v>
      </c>
      <c r="T33" s="70">
        <v>45</v>
      </c>
      <c r="U33" s="70">
        <v>44.2</v>
      </c>
      <c r="V33" s="70">
        <v>33</v>
      </c>
      <c r="W33" s="70">
        <v>44</v>
      </c>
      <c r="X33" s="70">
        <v>46</v>
      </c>
      <c r="Y33" s="70">
        <v>46</v>
      </c>
      <c r="Z33" s="70">
        <v>46</v>
      </c>
      <c r="AA33" s="56">
        <v>46.5</v>
      </c>
      <c r="AB33" s="56">
        <v>46.5</v>
      </c>
      <c r="AC33" s="56">
        <v>45.6</v>
      </c>
      <c r="AD33" s="56">
        <v>36.5</v>
      </c>
      <c r="AE33" s="56">
        <v>35.799999999999997</v>
      </c>
      <c r="AF33" s="56">
        <v>38.799999999999997</v>
      </c>
      <c r="AG33" s="59">
        <v>69</v>
      </c>
      <c r="AH33" s="52">
        <f t="shared" si="2"/>
        <v>46.5</v>
      </c>
      <c r="AI33" s="53">
        <f t="shared" si="3"/>
        <v>0</v>
      </c>
      <c r="AK33" s="54"/>
    </row>
    <row r="34" spans="1:41" x14ac:dyDescent="0.25">
      <c r="A34" s="58" t="s">
        <v>41</v>
      </c>
      <c r="B34" s="56">
        <v>29</v>
      </c>
      <c r="C34" s="56">
        <v>29</v>
      </c>
      <c r="D34" s="56">
        <v>28.7</v>
      </c>
      <c r="E34" s="56">
        <v>29</v>
      </c>
      <c r="F34" s="56">
        <v>29</v>
      </c>
      <c r="G34" s="56">
        <v>29</v>
      </c>
      <c r="H34" s="56">
        <v>29</v>
      </c>
      <c r="I34" s="56">
        <v>29</v>
      </c>
      <c r="J34" s="56">
        <v>29</v>
      </c>
      <c r="K34" s="56">
        <v>29</v>
      </c>
      <c r="L34" s="70">
        <v>29</v>
      </c>
      <c r="M34" s="70">
        <v>29</v>
      </c>
      <c r="N34" s="70">
        <v>29</v>
      </c>
      <c r="O34" s="70">
        <v>28.7</v>
      </c>
      <c r="P34" s="70">
        <v>28.7</v>
      </c>
      <c r="Q34" s="70">
        <v>29</v>
      </c>
      <c r="R34" s="70">
        <v>0</v>
      </c>
      <c r="S34" s="70">
        <v>0</v>
      </c>
      <c r="T34" s="70">
        <v>0</v>
      </c>
      <c r="U34" s="70">
        <v>0</v>
      </c>
      <c r="V34" s="70">
        <v>27.7</v>
      </c>
      <c r="W34" s="70">
        <v>28</v>
      </c>
      <c r="X34" s="70">
        <v>28</v>
      </c>
      <c r="Y34" s="70">
        <v>28</v>
      </c>
      <c r="Z34" s="70">
        <v>28</v>
      </c>
      <c r="AA34" s="56">
        <v>28.2</v>
      </c>
      <c r="AB34" s="56">
        <v>28.2</v>
      </c>
      <c r="AC34" s="56">
        <v>28.2</v>
      </c>
      <c r="AD34" s="56">
        <v>28</v>
      </c>
      <c r="AE34" s="56">
        <v>28</v>
      </c>
      <c r="AF34" s="56">
        <v>27.7</v>
      </c>
      <c r="AG34" s="59">
        <v>60</v>
      </c>
      <c r="AH34" s="52">
        <f t="shared" si="2"/>
        <v>29</v>
      </c>
      <c r="AI34" s="53">
        <f t="shared" si="3"/>
        <v>0</v>
      </c>
      <c r="AK34" s="54"/>
    </row>
    <row r="35" spans="1:41" x14ac:dyDescent="0.25">
      <c r="A35" s="58" t="s">
        <v>42</v>
      </c>
      <c r="B35" s="56">
        <v>24</v>
      </c>
      <c r="C35" s="56">
        <v>24</v>
      </c>
      <c r="D35" s="56">
        <v>30</v>
      </c>
      <c r="E35" s="56">
        <v>30</v>
      </c>
      <c r="F35" s="56">
        <v>30</v>
      </c>
      <c r="G35" s="56">
        <v>30</v>
      </c>
      <c r="H35" s="56">
        <v>30</v>
      </c>
      <c r="I35" s="56">
        <v>24.1</v>
      </c>
      <c r="J35" s="56">
        <v>24.5</v>
      </c>
      <c r="K35" s="56">
        <v>24.4</v>
      </c>
      <c r="L35" s="49">
        <v>24.3</v>
      </c>
      <c r="M35" s="49">
        <v>24.3</v>
      </c>
      <c r="N35" s="49">
        <v>24.3</v>
      </c>
      <c r="O35" s="49">
        <v>24.9</v>
      </c>
      <c r="P35" s="49">
        <v>24.8</v>
      </c>
      <c r="Q35" s="49">
        <v>24.6</v>
      </c>
      <c r="R35" s="49">
        <v>24</v>
      </c>
      <c r="S35" s="49">
        <v>24</v>
      </c>
      <c r="T35" s="49">
        <v>24.5</v>
      </c>
      <c r="U35" s="49">
        <v>27.5</v>
      </c>
      <c r="V35" s="70">
        <v>27.7</v>
      </c>
      <c r="W35" s="70">
        <v>27.6</v>
      </c>
      <c r="X35" s="70">
        <v>27.6</v>
      </c>
      <c r="Y35" s="70">
        <v>27.6</v>
      </c>
      <c r="Z35" s="70">
        <v>24</v>
      </c>
      <c r="AA35" s="56">
        <v>30</v>
      </c>
      <c r="AB35" s="56">
        <v>30</v>
      </c>
      <c r="AC35" s="56">
        <v>30</v>
      </c>
      <c r="AD35" s="56">
        <v>30</v>
      </c>
      <c r="AE35" s="56">
        <v>30.1</v>
      </c>
      <c r="AF35" s="56">
        <v>24.3</v>
      </c>
      <c r="AG35" s="59">
        <v>30</v>
      </c>
      <c r="AH35" s="52">
        <f t="shared" si="2"/>
        <v>30.1</v>
      </c>
      <c r="AI35" s="53">
        <f t="shared" si="3"/>
        <v>24</v>
      </c>
      <c r="AK35" s="54"/>
    </row>
    <row r="36" spans="1:41" x14ac:dyDescent="0.25">
      <c r="A36" s="58" t="s">
        <v>43</v>
      </c>
      <c r="B36" s="71">
        <v>13.8</v>
      </c>
      <c r="C36" s="71">
        <v>13.8</v>
      </c>
      <c r="D36" s="71">
        <v>13</v>
      </c>
      <c r="E36" s="71">
        <v>12.9</v>
      </c>
      <c r="F36" s="71">
        <v>12.9</v>
      </c>
      <c r="G36" s="71">
        <v>12.5</v>
      </c>
      <c r="H36" s="71">
        <v>12.4</v>
      </c>
      <c r="I36" s="71">
        <v>12.4</v>
      </c>
      <c r="J36" s="71">
        <v>12.3</v>
      </c>
      <c r="K36" s="71">
        <v>12.1</v>
      </c>
      <c r="L36" s="49">
        <v>11.4</v>
      </c>
      <c r="M36" s="49">
        <v>11.4</v>
      </c>
      <c r="N36" s="49">
        <v>11.4</v>
      </c>
      <c r="O36" s="49">
        <v>16.3</v>
      </c>
      <c r="P36" s="49">
        <v>16.3</v>
      </c>
      <c r="Q36" s="49">
        <v>16.3</v>
      </c>
      <c r="R36" s="49">
        <v>16.3</v>
      </c>
      <c r="S36" s="49">
        <v>16.3</v>
      </c>
      <c r="T36" s="49">
        <v>15.7</v>
      </c>
      <c r="U36" s="49">
        <v>16.7</v>
      </c>
      <c r="V36" s="49">
        <v>16.600000000000001</v>
      </c>
      <c r="W36" s="49">
        <v>16.5</v>
      </c>
      <c r="X36" s="49">
        <v>16.5</v>
      </c>
      <c r="Y36" s="49">
        <v>16.5</v>
      </c>
      <c r="Z36" s="49">
        <v>16.600000000000001</v>
      </c>
      <c r="AA36" s="56">
        <v>16.600000000000001</v>
      </c>
      <c r="AB36" s="56">
        <v>16.600000000000001</v>
      </c>
      <c r="AC36" s="56">
        <v>15.6</v>
      </c>
      <c r="AD36" s="56">
        <v>15.6</v>
      </c>
      <c r="AE36" s="56">
        <v>15.7</v>
      </c>
      <c r="AF36" s="56">
        <v>15.7</v>
      </c>
      <c r="AG36" s="59">
        <v>24</v>
      </c>
      <c r="AH36" s="52">
        <f t="shared" si="2"/>
        <v>16.7</v>
      </c>
      <c r="AI36" s="53">
        <f t="shared" si="3"/>
        <v>11.4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7</v>
      </c>
      <c r="C39" s="71">
        <v>7</v>
      </c>
      <c r="D39" s="71">
        <v>7</v>
      </c>
      <c r="E39" s="71">
        <v>3</v>
      </c>
      <c r="F39" s="71">
        <v>3</v>
      </c>
      <c r="G39" s="71">
        <v>3</v>
      </c>
      <c r="H39" s="71">
        <v>3</v>
      </c>
      <c r="I39" s="71">
        <v>3</v>
      </c>
      <c r="J39" s="71">
        <v>3</v>
      </c>
      <c r="K39" s="71">
        <v>3.9</v>
      </c>
      <c r="L39" s="49">
        <v>3.9</v>
      </c>
      <c r="M39" s="49">
        <v>3.9</v>
      </c>
      <c r="N39" s="49">
        <v>3.9</v>
      </c>
      <c r="O39" s="49">
        <v>3.9</v>
      </c>
      <c r="P39" s="49">
        <v>3.9</v>
      </c>
      <c r="Q39" s="49">
        <v>3.9</v>
      </c>
      <c r="R39" s="49">
        <v>12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49">
        <v>3.9</v>
      </c>
      <c r="AA39" s="56">
        <v>3.9</v>
      </c>
      <c r="AB39" s="56">
        <v>3.9</v>
      </c>
      <c r="AC39" s="56">
        <v>3.9</v>
      </c>
      <c r="AD39" s="56">
        <v>3.9</v>
      </c>
      <c r="AE39" s="56">
        <v>3.9</v>
      </c>
      <c r="AF39" s="56">
        <v>3.9</v>
      </c>
      <c r="AG39" s="59">
        <v>14</v>
      </c>
      <c r="AH39" s="52">
        <f t="shared" si="2"/>
        <v>12</v>
      </c>
      <c r="AI39" s="53">
        <f t="shared" si="3"/>
        <v>3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9.1999999999999993</v>
      </c>
      <c r="C40" s="56">
        <v>9.1999999999999993</v>
      </c>
      <c r="D40" s="56">
        <v>9.1999999999999993</v>
      </c>
      <c r="E40" s="56">
        <v>6.2</v>
      </c>
      <c r="F40" s="56">
        <v>6.2</v>
      </c>
      <c r="G40" s="56">
        <v>6.2</v>
      </c>
      <c r="H40" s="56">
        <v>6.2</v>
      </c>
      <c r="I40" s="56">
        <v>6.2</v>
      </c>
      <c r="J40" s="56">
        <v>6.2</v>
      </c>
      <c r="K40" s="56">
        <v>6.2</v>
      </c>
      <c r="L40" s="49">
        <v>8.5</v>
      </c>
      <c r="M40" s="49">
        <v>8.5</v>
      </c>
      <c r="N40" s="49">
        <v>8.5</v>
      </c>
      <c r="O40" s="49">
        <v>5.6</v>
      </c>
      <c r="P40" s="49">
        <v>6.9</v>
      </c>
      <c r="Q40" s="49">
        <v>6.9</v>
      </c>
      <c r="R40" s="49">
        <v>9</v>
      </c>
      <c r="S40" s="49">
        <v>9</v>
      </c>
      <c r="T40" s="49">
        <v>9</v>
      </c>
      <c r="U40" s="49">
        <v>9</v>
      </c>
      <c r="V40" s="49">
        <v>9</v>
      </c>
      <c r="W40" s="49">
        <v>9</v>
      </c>
      <c r="X40" s="49">
        <v>9</v>
      </c>
      <c r="Y40" s="49">
        <v>9</v>
      </c>
      <c r="Z40" s="49">
        <v>9.1999999999999993</v>
      </c>
      <c r="AA40" s="56">
        <v>8.9</v>
      </c>
      <c r="AB40" s="56">
        <v>8.6999999999999993</v>
      </c>
      <c r="AC40" s="56">
        <v>8.6999999999999993</v>
      </c>
      <c r="AD40" s="56">
        <v>8.6999999999999993</v>
      </c>
      <c r="AE40" s="56">
        <v>8.6999999999999993</v>
      </c>
      <c r="AF40" s="56">
        <v>8.6999999999999993</v>
      </c>
      <c r="AG40" s="59">
        <v>10.050000000000001</v>
      </c>
      <c r="AH40" s="52">
        <f t="shared" si="2"/>
        <v>9.1999999999999993</v>
      </c>
      <c r="AI40" s="53">
        <f t="shared" si="3"/>
        <v>5.6</v>
      </c>
      <c r="AK40" s="54"/>
    </row>
    <row r="41" spans="1:41" x14ac:dyDescent="0.25">
      <c r="A41" s="58" t="s">
        <v>48</v>
      </c>
      <c r="B41" s="56">
        <v>2.5</v>
      </c>
      <c r="C41" s="56">
        <v>2.5</v>
      </c>
      <c r="D41" s="56">
        <v>2.5</v>
      </c>
      <c r="E41" s="56">
        <v>2.5</v>
      </c>
      <c r="F41" s="56">
        <v>2.5</v>
      </c>
      <c r="G41" s="56">
        <v>2.5</v>
      </c>
      <c r="H41" s="56">
        <v>2.5</v>
      </c>
      <c r="I41" s="56">
        <v>2.5</v>
      </c>
      <c r="J41" s="56">
        <v>2.5</v>
      </c>
      <c r="K41" s="56">
        <v>2.5</v>
      </c>
      <c r="L41" s="49">
        <v>2.5</v>
      </c>
      <c r="M41" s="49">
        <v>2.5</v>
      </c>
      <c r="N41" s="49">
        <v>2.5</v>
      </c>
      <c r="O41" s="49">
        <v>2.5</v>
      </c>
      <c r="P41" s="49">
        <v>2.5</v>
      </c>
      <c r="Q41" s="49">
        <v>2.5</v>
      </c>
      <c r="R41" s="49">
        <v>3</v>
      </c>
      <c r="S41" s="49">
        <v>3</v>
      </c>
      <c r="T41" s="49">
        <v>3</v>
      </c>
      <c r="U41" s="49">
        <v>3</v>
      </c>
      <c r="V41" s="49">
        <v>3</v>
      </c>
      <c r="W41" s="49">
        <v>3</v>
      </c>
      <c r="X41" s="49">
        <v>3</v>
      </c>
      <c r="Y41" s="49">
        <v>3</v>
      </c>
      <c r="Z41" s="49">
        <v>3</v>
      </c>
      <c r="AA41" s="56">
        <v>3</v>
      </c>
      <c r="AB41" s="56">
        <v>3</v>
      </c>
      <c r="AC41" s="56">
        <v>3</v>
      </c>
      <c r="AD41" s="56">
        <v>3</v>
      </c>
      <c r="AE41" s="56">
        <v>3</v>
      </c>
      <c r="AF41" s="56">
        <v>3</v>
      </c>
      <c r="AG41" s="59">
        <v>6.2</v>
      </c>
      <c r="AH41" s="52">
        <f t="shared" si="2"/>
        <v>3</v>
      </c>
      <c r="AI41" s="53">
        <f t="shared" si="3"/>
        <v>2.5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166.04</v>
      </c>
      <c r="C43" s="69">
        <f t="shared" si="6"/>
        <v>166.54</v>
      </c>
      <c r="D43" s="69">
        <f t="shared" si="6"/>
        <v>133.94</v>
      </c>
      <c r="E43" s="69">
        <f t="shared" si="6"/>
        <v>97.140000000000015</v>
      </c>
      <c r="F43" s="69">
        <f t="shared" si="6"/>
        <v>97.140000000000015</v>
      </c>
      <c r="G43" s="69">
        <f t="shared" si="6"/>
        <v>149.43999999999997</v>
      </c>
      <c r="H43" s="69">
        <f t="shared" si="6"/>
        <v>186.83999999999997</v>
      </c>
      <c r="I43" s="69">
        <f t="shared" si="6"/>
        <v>292.14</v>
      </c>
      <c r="J43" s="69">
        <f t="shared" si="6"/>
        <v>274.14000000000004</v>
      </c>
      <c r="K43" s="69">
        <f t="shared" si="6"/>
        <v>263.74000000000007</v>
      </c>
      <c r="L43" s="69">
        <f t="shared" si="6"/>
        <v>296.24</v>
      </c>
      <c r="M43" s="69">
        <f t="shared" si="6"/>
        <v>306.33999999999997</v>
      </c>
      <c r="N43" s="69">
        <f t="shared" si="6"/>
        <v>306.33999999999997</v>
      </c>
      <c r="O43" s="69">
        <f t="shared" si="6"/>
        <v>286.54000000000002</v>
      </c>
      <c r="P43" s="69">
        <f t="shared" si="6"/>
        <v>224.04000000000002</v>
      </c>
      <c r="Q43" s="69">
        <f t="shared" si="6"/>
        <v>223.24</v>
      </c>
      <c r="R43" s="69">
        <f t="shared" si="6"/>
        <v>256.44</v>
      </c>
      <c r="S43" s="69">
        <f t="shared" si="6"/>
        <v>256.84000000000003</v>
      </c>
      <c r="T43" s="69">
        <f t="shared" si="6"/>
        <v>274.74</v>
      </c>
      <c r="U43" s="69">
        <f t="shared" si="6"/>
        <v>275.34000000000003</v>
      </c>
      <c r="V43" s="69">
        <f t="shared" si="6"/>
        <v>279.54000000000002</v>
      </c>
      <c r="W43" s="69">
        <f t="shared" si="6"/>
        <v>303.74</v>
      </c>
      <c r="X43" s="69">
        <f t="shared" si="6"/>
        <v>315.64000000000004</v>
      </c>
      <c r="Y43" s="69">
        <f t="shared" si="6"/>
        <v>319.64000000000004</v>
      </c>
      <c r="Z43" s="69">
        <f t="shared" si="6"/>
        <v>311.24</v>
      </c>
      <c r="AA43" s="69">
        <f t="shared" si="6"/>
        <v>317.04000000000002</v>
      </c>
      <c r="AB43" s="69">
        <f t="shared" si="6"/>
        <v>316.84000000000003</v>
      </c>
      <c r="AC43" s="69">
        <f t="shared" si="6"/>
        <v>299.53999999999996</v>
      </c>
      <c r="AD43" s="69">
        <f t="shared" si="6"/>
        <v>279.03999999999996</v>
      </c>
      <c r="AE43" s="69">
        <f t="shared" si="6"/>
        <v>248.13999999999996</v>
      </c>
      <c r="AF43" s="69">
        <f t="shared" si="6"/>
        <v>240.93999999999997</v>
      </c>
      <c r="AG43" s="74">
        <f>SUM(AG31:AG42)</f>
        <v>464.91</v>
      </c>
      <c r="AH43" s="52">
        <f t="shared" si="2"/>
        <v>319.64000000000004</v>
      </c>
      <c r="AI43" s="53">
        <f t="shared" si="3"/>
        <v>97.140000000000015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0</v>
      </c>
      <c r="M44" s="75">
        <v>0</v>
      </c>
      <c r="N44" s="75">
        <v>0</v>
      </c>
      <c r="O44" s="75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14</v>
      </c>
      <c r="Z44" s="49">
        <v>59.5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59.5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0</v>
      </c>
      <c r="M45" s="75">
        <v>0</v>
      </c>
      <c r="N45" s="75">
        <v>0</v>
      </c>
      <c r="O45" s="75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28.6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28.6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6">
        <v>0</v>
      </c>
      <c r="M46" s="76">
        <v>0</v>
      </c>
      <c r="N46" s="76">
        <v>0</v>
      </c>
      <c r="O46" s="76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10.4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10.4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14</v>
      </c>
      <c r="Z47" s="69">
        <f t="shared" si="7"/>
        <v>98.5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98.5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25</v>
      </c>
      <c r="C48" s="49">
        <v>24</v>
      </c>
      <c r="D48" s="49">
        <v>14</v>
      </c>
      <c r="E48" s="49">
        <v>17</v>
      </c>
      <c r="F48" s="49">
        <v>16</v>
      </c>
      <c r="G48" s="49">
        <v>13.3</v>
      </c>
      <c r="H48" s="49">
        <v>0</v>
      </c>
      <c r="I48" s="49">
        <v>0</v>
      </c>
      <c r="J48" s="49">
        <v>-1.6</v>
      </c>
      <c r="K48" s="49">
        <v>0</v>
      </c>
      <c r="L48" s="49">
        <v>0</v>
      </c>
      <c r="M48" s="49">
        <v>25</v>
      </c>
      <c r="N48" s="49">
        <v>26</v>
      </c>
      <c r="O48" s="49">
        <v>15.2</v>
      </c>
      <c r="P48" s="49">
        <v>11.4</v>
      </c>
      <c r="Q48" s="49">
        <v>12.47</v>
      </c>
      <c r="R48" s="49">
        <v>20.2</v>
      </c>
      <c r="S48" s="49">
        <v>20.5</v>
      </c>
      <c r="T48" s="49">
        <v>19.5</v>
      </c>
      <c r="U48" s="49">
        <v>30</v>
      </c>
      <c r="V48" s="49">
        <v>30.3</v>
      </c>
      <c r="W48" s="49">
        <v>25</v>
      </c>
      <c r="X48" s="49">
        <v>25</v>
      </c>
      <c r="Y48" s="49">
        <v>26</v>
      </c>
      <c r="Z48" s="49">
        <v>50</v>
      </c>
      <c r="AA48" s="49">
        <v>57.39</v>
      </c>
      <c r="AB48" s="49">
        <v>41.72</v>
      </c>
      <c r="AC48" s="49">
        <v>41.72</v>
      </c>
      <c r="AD48" s="49">
        <v>38.869999999999997</v>
      </c>
      <c r="AE48" s="49">
        <v>35.869999999999997</v>
      </c>
      <c r="AF48" s="49">
        <v>39.5</v>
      </c>
      <c r="AG48" s="57"/>
      <c r="AH48" s="52">
        <f t="shared" si="2"/>
        <v>57.39</v>
      </c>
      <c r="AI48" s="53">
        <f t="shared" si="3"/>
        <v>-1.6</v>
      </c>
      <c r="AK48" s="54"/>
    </row>
    <row r="49" spans="1:37" x14ac:dyDescent="0.25">
      <c r="A49" s="58" t="s">
        <v>56</v>
      </c>
      <c r="B49" s="70">
        <v>-18</v>
      </c>
      <c r="C49" s="70">
        <v>-18</v>
      </c>
      <c r="D49" s="70">
        <v>-13</v>
      </c>
      <c r="E49" s="70">
        <v>-7.5</v>
      </c>
      <c r="F49" s="70">
        <v>-5.7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79">
        <v>36</v>
      </c>
      <c r="V49" s="79">
        <v>0</v>
      </c>
      <c r="W49" s="79">
        <v>0</v>
      </c>
      <c r="X49" s="79">
        <v>0</v>
      </c>
      <c r="Y49" s="79">
        <v>0</v>
      </c>
      <c r="Z49" s="79">
        <v>40</v>
      </c>
      <c r="AA49" s="70">
        <v>59.8</v>
      </c>
      <c r="AB49" s="70">
        <v>59.8</v>
      </c>
      <c r="AC49" s="70">
        <v>40.299999999999997</v>
      </c>
      <c r="AD49" s="70">
        <v>31.7</v>
      </c>
      <c r="AE49" s="70">
        <v>0</v>
      </c>
      <c r="AF49" s="70">
        <v>0</v>
      </c>
      <c r="AG49" s="59"/>
      <c r="AH49" s="52">
        <f t="shared" si="2"/>
        <v>59.8</v>
      </c>
      <c r="AI49" s="53">
        <f t="shared" si="3"/>
        <v>-18</v>
      </c>
      <c r="AK49" s="54"/>
    </row>
    <row r="50" spans="1:37" x14ac:dyDescent="0.25">
      <c r="A50" s="58" t="s">
        <v>57</v>
      </c>
      <c r="B50" s="70">
        <v>-67</v>
      </c>
      <c r="C50" s="70">
        <v>-70</v>
      </c>
      <c r="D50" s="70">
        <v>-35</v>
      </c>
      <c r="E50" s="70">
        <v>-24</v>
      </c>
      <c r="F50" s="70">
        <v>-12</v>
      </c>
      <c r="G50" s="49">
        <v>-20</v>
      </c>
      <c r="H50" s="49">
        <v>-5</v>
      </c>
      <c r="I50" s="49">
        <v>-11</v>
      </c>
      <c r="J50" s="49">
        <v>-13</v>
      </c>
      <c r="K50" s="49">
        <v>-10</v>
      </c>
      <c r="L50" s="70">
        <v>3</v>
      </c>
      <c r="M50" s="70">
        <v>-10</v>
      </c>
      <c r="N50" s="70">
        <v>-5</v>
      </c>
      <c r="O50" s="70">
        <v>-40</v>
      </c>
      <c r="P50" s="70">
        <v>-18</v>
      </c>
      <c r="Q50" s="70">
        <v>-6</v>
      </c>
      <c r="R50" s="70">
        <v>5</v>
      </c>
      <c r="S50" s="70">
        <v>-4</v>
      </c>
      <c r="T50" s="70">
        <v>25</v>
      </c>
      <c r="U50" s="80">
        <v>13</v>
      </c>
      <c r="V50" s="80">
        <v>30</v>
      </c>
      <c r="W50" s="80">
        <v>20</v>
      </c>
      <c r="X50" s="80">
        <v>75</v>
      </c>
      <c r="Y50" s="80">
        <v>100</v>
      </c>
      <c r="Z50" s="80">
        <v>94</v>
      </c>
      <c r="AA50" s="70">
        <v>92</v>
      </c>
      <c r="AB50" s="70">
        <v>83</v>
      </c>
      <c r="AC50" s="70">
        <v>83</v>
      </c>
      <c r="AD50" s="70">
        <v>57</v>
      </c>
      <c r="AE50" s="70">
        <v>40</v>
      </c>
      <c r="AF50" s="70">
        <v>0</v>
      </c>
      <c r="AG50" s="81"/>
      <c r="AH50" s="52">
        <f t="shared" si="2"/>
        <v>100</v>
      </c>
      <c r="AI50" s="53">
        <f t="shared" si="3"/>
        <v>-70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3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3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85">
        <v>0</v>
      </c>
      <c r="M57" s="85">
        <v>0</v>
      </c>
      <c r="N57" s="85">
        <v>0</v>
      </c>
      <c r="O57" s="83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85">
        <v>0</v>
      </c>
      <c r="M58" s="85">
        <v>0</v>
      </c>
      <c r="N58" s="85">
        <v>0</v>
      </c>
      <c r="O58" s="83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-60</v>
      </c>
      <c r="C59" s="69">
        <f t="shared" ref="C59:AF59" si="8">SUM(C48:C58)</f>
        <v>-64</v>
      </c>
      <c r="D59" s="69">
        <f t="shared" si="8"/>
        <v>-34</v>
      </c>
      <c r="E59" s="69">
        <f t="shared" si="8"/>
        <v>-14.5</v>
      </c>
      <c r="F59" s="69">
        <f t="shared" si="8"/>
        <v>-1.6999999999999993</v>
      </c>
      <c r="G59" s="69">
        <f t="shared" si="8"/>
        <v>-6.6999999999999993</v>
      </c>
      <c r="H59" s="69">
        <f t="shared" si="8"/>
        <v>-5</v>
      </c>
      <c r="I59" s="69">
        <f t="shared" si="8"/>
        <v>-11</v>
      </c>
      <c r="J59" s="69">
        <f t="shared" si="8"/>
        <v>-14.6</v>
      </c>
      <c r="K59" s="69">
        <f t="shared" si="8"/>
        <v>-10</v>
      </c>
      <c r="L59" s="69">
        <f t="shared" si="8"/>
        <v>3</v>
      </c>
      <c r="M59" s="69">
        <f t="shared" si="8"/>
        <v>15</v>
      </c>
      <c r="N59" s="69">
        <f t="shared" si="8"/>
        <v>21</v>
      </c>
      <c r="O59" s="69">
        <f t="shared" si="8"/>
        <v>-24.8</v>
      </c>
      <c r="P59" s="69">
        <f t="shared" si="8"/>
        <v>-6.6</v>
      </c>
      <c r="Q59" s="69">
        <f t="shared" si="8"/>
        <v>6.4700000000000006</v>
      </c>
      <c r="R59" s="69">
        <f t="shared" si="8"/>
        <v>25.2</v>
      </c>
      <c r="S59" s="69">
        <f t="shared" si="8"/>
        <v>16.5</v>
      </c>
      <c r="T59" s="69">
        <f t="shared" si="8"/>
        <v>44.5</v>
      </c>
      <c r="U59" s="69">
        <f t="shared" si="8"/>
        <v>79</v>
      </c>
      <c r="V59" s="69">
        <f t="shared" si="8"/>
        <v>60.3</v>
      </c>
      <c r="W59" s="69">
        <f t="shared" si="8"/>
        <v>45</v>
      </c>
      <c r="X59" s="69">
        <f t="shared" si="8"/>
        <v>100</v>
      </c>
      <c r="Y59" s="69">
        <f t="shared" si="8"/>
        <v>126</v>
      </c>
      <c r="Z59" s="69">
        <f t="shared" si="8"/>
        <v>184</v>
      </c>
      <c r="AA59" s="69">
        <f t="shared" si="8"/>
        <v>209.19</v>
      </c>
      <c r="AB59" s="69">
        <f t="shared" si="8"/>
        <v>184.51999999999998</v>
      </c>
      <c r="AC59" s="69">
        <f t="shared" si="8"/>
        <v>165.01999999999998</v>
      </c>
      <c r="AD59" s="69">
        <f t="shared" si="8"/>
        <v>127.57</v>
      </c>
      <c r="AE59" s="69">
        <f t="shared" si="8"/>
        <v>75.87</v>
      </c>
      <c r="AF59" s="69">
        <f t="shared" si="8"/>
        <v>39.5</v>
      </c>
      <c r="AG59" s="74">
        <f>SUM(AG48:AG58)</f>
        <v>0</v>
      </c>
      <c r="AH59" s="52">
        <f t="shared" si="2"/>
        <v>209.19</v>
      </c>
      <c r="AI59" s="53">
        <f t="shared" si="3"/>
        <v>-64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589.74</v>
      </c>
      <c r="C65" s="91">
        <f t="shared" ref="C65:AF65" si="10">C63+C59+C47+C43+C30+C64</f>
        <v>586.24</v>
      </c>
      <c r="D65" s="91">
        <f t="shared" si="10"/>
        <v>583.94000000000005</v>
      </c>
      <c r="E65" s="91">
        <f t="shared" si="10"/>
        <v>566.74</v>
      </c>
      <c r="F65" s="91">
        <f t="shared" si="10"/>
        <v>579.54000000000008</v>
      </c>
      <c r="G65" s="91">
        <f t="shared" si="10"/>
        <v>626.64</v>
      </c>
      <c r="H65" s="91">
        <f t="shared" si="10"/>
        <v>665.94</v>
      </c>
      <c r="I65" s="91">
        <f t="shared" si="10"/>
        <v>765.14</v>
      </c>
      <c r="J65" s="91">
        <f t="shared" si="10"/>
        <v>743.6400000000001</v>
      </c>
      <c r="K65" s="91">
        <f t="shared" si="10"/>
        <v>738.24</v>
      </c>
      <c r="L65" s="91">
        <f t="shared" si="10"/>
        <v>783.94</v>
      </c>
      <c r="M65" s="91">
        <f t="shared" si="10"/>
        <v>809.04</v>
      </c>
      <c r="N65" s="91">
        <f t="shared" si="10"/>
        <v>813.54</v>
      </c>
      <c r="O65" s="91">
        <f t="shared" si="10"/>
        <v>750.54</v>
      </c>
      <c r="P65" s="91">
        <f t="shared" si="10"/>
        <v>706.54</v>
      </c>
      <c r="Q65" s="91">
        <f t="shared" si="10"/>
        <v>719.51</v>
      </c>
      <c r="R65" s="91">
        <f t="shared" si="10"/>
        <v>771.83999999999992</v>
      </c>
      <c r="S65" s="91">
        <f t="shared" si="10"/>
        <v>763.54</v>
      </c>
      <c r="T65" s="91">
        <f t="shared" si="10"/>
        <v>809.44</v>
      </c>
      <c r="U65" s="91">
        <f t="shared" si="10"/>
        <v>844.54</v>
      </c>
      <c r="V65" s="91">
        <f t="shared" si="10"/>
        <v>838.04</v>
      </c>
      <c r="W65" s="91">
        <f t="shared" si="10"/>
        <v>821.64</v>
      </c>
      <c r="X65" s="91">
        <f t="shared" si="10"/>
        <v>892.54</v>
      </c>
      <c r="Y65" s="91">
        <f t="shared" si="10"/>
        <v>948.54</v>
      </c>
      <c r="Z65" s="91">
        <f t="shared" si="10"/>
        <v>1091.74</v>
      </c>
      <c r="AA65" s="91">
        <f t="shared" si="10"/>
        <v>1028.83</v>
      </c>
      <c r="AB65" s="91">
        <f t="shared" si="10"/>
        <v>1003.96</v>
      </c>
      <c r="AC65" s="91">
        <f t="shared" si="10"/>
        <v>966.76</v>
      </c>
      <c r="AD65" s="91">
        <f t="shared" si="10"/>
        <v>908.70999999999992</v>
      </c>
      <c r="AE65" s="91">
        <f t="shared" si="10"/>
        <v>826.41</v>
      </c>
      <c r="AF65" s="91">
        <f t="shared" si="10"/>
        <v>783.24</v>
      </c>
      <c r="AG65" s="74">
        <f>AG63+AG59+AG47+AG43+AG30+AG64</f>
        <v>1355.5100000000002</v>
      </c>
      <c r="AH65" s="52">
        <f t="shared" si="2"/>
        <v>1091.74</v>
      </c>
      <c r="AI65" s="53">
        <f t="shared" si="3"/>
        <v>566.74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18</v>
      </c>
      <c r="C67" s="82">
        <f t="shared" si="13"/>
        <v>18</v>
      </c>
      <c r="D67" s="82">
        <f t="shared" si="13"/>
        <v>13</v>
      </c>
      <c r="E67" s="82">
        <f t="shared" si="13"/>
        <v>7.5</v>
      </c>
      <c r="F67" s="82">
        <f t="shared" si="13"/>
        <v>5.7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18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67</v>
      </c>
      <c r="C69" s="82">
        <f t="shared" ref="C69:AF69" si="17">IF(C50&lt;0,C50*-1,0)</f>
        <v>70</v>
      </c>
      <c r="D69" s="82">
        <f t="shared" si="17"/>
        <v>35</v>
      </c>
      <c r="E69" s="82">
        <f t="shared" si="17"/>
        <v>24</v>
      </c>
      <c r="F69" s="82">
        <f t="shared" si="17"/>
        <v>12</v>
      </c>
      <c r="G69" s="82">
        <f t="shared" si="17"/>
        <v>20</v>
      </c>
      <c r="H69" s="82">
        <f t="shared" si="17"/>
        <v>5</v>
      </c>
      <c r="I69" s="82">
        <f t="shared" si="17"/>
        <v>11</v>
      </c>
      <c r="J69" s="82">
        <f t="shared" si="17"/>
        <v>13</v>
      </c>
      <c r="K69" s="82">
        <f t="shared" si="17"/>
        <v>10</v>
      </c>
      <c r="L69" s="82">
        <f t="shared" si="17"/>
        <v>0</v>
      </c>
      <c r="M69" s="82">
        <f t="shared" si="17"/>
        <v>10</v>
      </c>
      <c r="N69" s="82">
        <f t="shared" si="17"/>
        <v>5</v>
      </c>
      <c r="O69" s="82">
        <f t="shared" si="17"/>
        <v>40</v>
      </c>
      <c r="P69" s="82">
        <f t="shared" si="17"/>
        <v>18</v>
      </c>
      <c r="Q69" s="82">
        <f t="shared" si="17"/>
        <v>6</v>
      </c>
      <c r="R69" s="82">
        <f t="shared" si="17"/>
        <v>0</v>
      </c>
      <c r="S69" s="82">
        <f t="shared" si="17"/>
        <v>4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70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85</v>
      </c>
      <c r="C71" s="69">
        <f t="shared" ref="C71:AF71" si="18">SUM(C66:C70)</f>
        <v>88</v>
      </c>
      <c r="D71" s="69">
        <f t="shared" si="18"/>
        <v>48</v>
      </c>
      <c r="E71" s="69">
        <f t="shared" si="18"/>
        <v>31.5</v>
      </c>
      <c r="F71" s="69">
        <f t="shared" si="18"/>
        <v>17.7</v>
      </c>
      <c r="G71" s="69">
        <f t="shared" si="18"/>
        <v>20</v>
      </c>
      <c r="H71" s="69">
        <f t="shared" si="18"/>
        <v>5</v>
      </c>
      <c r="I71" s="69">
        <f t="shared" si="18"/>
        <v>11</v>
      </c>
      <c r="J71" s="69">
        <f t="shared" si="18"/>
        <v>13</v>
      </c>
      <c r="K71" s="69">
        <f t="shared" si="18"/>
        <v>10</v>
      </c>
      <c r="L71" s="69">
        <f t="shared" si="18"/>
        <v>0</v>
      </c>
      <c r="M71" s="69">
        <f t="shared" si="18"/>
        <v>10</v>
      </c>
      <c r="N71" s="69">
        <f t="shared" si="18"/>
        <v>5</v>
      </c>
      <c r="O71" s="69">
        <f t="shared" si="18"/>
        <v>40</v>
      </c>
      <c r="P71" s="69">
        <f t="shared" si="18"/>
        <v>18</v>
      </c>
      <c r="Q71" s="69">
        <f t="shared" si="18"/>
        <v>6</v>
      </c>
      <c r="R71" s="69">
        <f t="shared" si="18"/>
        <v>0</v>
      </c>
      <c r="S71" s="69">
        <f t="shared" si="18"/>
        <v>4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88</v>
      </c>
      <c r="AI71" s="53">
        <f t="shared" si="3"/>
        <v>0</v>
      </c>
    </row>
    <row r="72" spans="1:35" x14ac:dyDescent="0.25">
      <c r="A72" s="93" t="s">
        <v>79</v>
      </c>
      <c r="B72" s="94">
        <v>49.98</v>
      </c>
      <c r="C72" s="94">
        <v>49.98</v>
      </c>
      <c r="D72" s="94">
        <v>50.05</v>
      </c>
      <c r="E72" s="94">
        <v>50.036000000000001</v>
      </c>
      <c r="F72" s="94">
        <v>50.012</v>
      </c>
      <c r="G72" s="94">
        <v>49.984000000000002</v>
      </c>
      <c r="H72" s="94">
        <v>49.856999999999999</v>
      </c>
      <c r="I72" s="94">
        <v>49.857999999999997</v>
      </c>
      <c r="J72" s="94">
        <v>50.034999999999997</v>
      </c>
      <c r="K72" s="94">
        <v>49.994999999999997</v>
      </c>
      <c r="L72" s="94">
        <v>50.08</v>
      </c>
      <c r="M72" s="94">
        <v>50.006</v>
      </c>
      <c r="N72" s="94">
        <v>50.076000000000001</v>
      </c>
      <c r="O72" s="94">
        <v>50</v>
      </c>
      <c r="P72" s="94">
        <v>50.02</v>
      </c>
      <c r="Q72" s="95">
        <v>50</v>
      </c>
      <c r="R72" s="94">
        <v>50.058999999999997</v>
      </c>
      <c r="S72" s="94">
        <v>49.970999999999997</v>
      </c>
      <c r="T72" s="94">
        <v>50.055999999999997</v>
      </c>
      <c r="U72" s="94">
        <v>50.058</v>
      </c>
      <c r="V72" s="94">
        <v>50.064</v>
      </c>
      <c r="W72" s="94">
        <v>50.085999999999999</v>
      </c>
      <c r="X72" s="94">
        <v>49.902999999999999</v>
      </c>
      <c r="Y72" s="94">
        <v>50.05</v>
      </c>
      <c r="Z72" s="94">
        <v>49.994</v>
      </c>
      <c r="AA72" s="94">
        <v>49.976999999999997</v>
      </c>
      <c r="AB72" s="94">
        <v>49.976999999999997</v>
      </c>
      <c r="AC72" s="94">
        <v>50.005000000000003</v>
      </c>
      <c r="AD72" s="94">
        <v>50.058</v>
      </c>
      <c r="AE72" s="94">
        <v>50.026000000000003</v>
      </c>
      <c r="AF72" s="96">
        <v>50.09</v>
      </c>
      <c r="AG72" s="97"/>
      <c r="AH72" s="52">
        <f t="shared" si="2"/>
        <v>50.09</v>
      </c>
      <c r="AI72" s="53">
        <f t="shared" si="3"/>
        <v>49.856999999999999</v>
      </c>
    </row>
    <row r="73" spans="1:35" x14ac:dyDescent="0.25">
      <c r="A73" s="98" t="s">
        <v>80</v>
      </c>
      <c r="B73" s="70">
        <v>129.30000000000001</v>
      </c>
      <c r="C73" s="70">
        <v>130</v>
      </c>
      <c r="D73" s="70">
        <v>128.4</v>
      </c>
      <c r="E73" s="70">
        <v>127.8</v>
      </c>
      <c r="F73" s="70">
        <v>129.4</v>
      </c>
      <c r="G73" s="70">
        <v>129.19999999999999</v>
      </c>
      <c r="H73" s="70">
        <v>128.9</v>
      </c>
      <c r="I73" s="70">
        <v>128.9</v>
      </c>
      <c r="J73" s="70">
        <v>128.5</v>
      </c>
      <c r="K73" s="70">
        <v>128.5</v>
      </c>
      <c r="L73" s="70">
        <v>127.6</v>
      </c>
      <c r="M73" s="70">
        <v>125.1</v>
      </c>
      <c r="N73" s="70">
        <v>124.6</v>
      </c>
      <c r="O73" s="70">
        <v>125.3</v>
      </c>
      <c r="P73" s="70">
        <v>125.9</v>
      </c>
      <c r="Q73" s="99">
        <v>126.4</v>
      </c>
      <c r="R73" s="99">
        <v>125.3</v>
      </c>
      <c r="S73" s="99">
        <v>125.3</v>
      </c>
      <c r="T73" s="99">
        <v>124.5</v>
      </c>
      <c r="U73" s="99">
        <v>124.5</v>
      </c>
      <c r="V73" s="99">
        <v>126.6</v>
      </c>
      <c r="W73" s="99">
        <v>126.6</v>
      </c>
      <c r="X73" s="99">
        <v>126.6</v>
      </c>
      <c r="Y73" s="99">
        <v>126.6</v>
      </c>
      <c r="Z73" s="99">
        <v>125.7</v>
      </c>
      <c r="AA73" s="70">
        <v>126.1</v>
      </c>
      <c r="AB73" s="70">
        <v>126.6</v>
      </c>
      <c r="AC73" s="70">
        <v>126.6</v>
      </c>
      <c r="AD73" s="70">
        <v>125.9</v>
      </c>
      <c r="AE73" s="70">
        <v>126.6</v>
      </c>
      <c r="AF73" s="100">
        <v>126.5</v>
      </c>
      <c r="AG73" s="101"/>
      <c r="AH73" s="52">
        <f t="shared" si="2"/>
        <v>130</v>
      </c>
      <c r="AI73" s="53">
        <f t="shared" si="3"/>
        <v>124.5</v>
      </c>
    </row>
    <row r="74" spans="1:35" x14ac:dyDescent="0.25">
      <c r="A74" s="98" t="s">
        <v>81</v>
      </c>
      <c r="B74" s="70">
        <v>132</v>
      </c>
      <c r="C74" s="70">
        <v>133</v>
      </c>
      <c r="D74" s="70">
        <v>131.19999999999999</v>
      </c>
      <c r="E74" s="70">
        <v>130.19999999999999</v>
      </c>
      <c r="F74" s="70">
        <v>131.9</v>
      </c>
      <c r="G74" s="70">
        <v>131.69999999999999</v>
      </c>
      <c r="H74" s="70">
        <v>131.69999999999999</v>
      </c>
      <c r="I74" s="70">
        <v>131.6</v>
      </c>
      <c r="J74" s="70">
        <v>131.30000000000001</v>
      </c>
      <c r="K74" s="70">
        <v>130.80000000000001</v>
      </c>
      <c r="L74" s="70">
        <v>130.19999999999999</v>
      </c>
      <c r="M74" s="70">
        <v>128</v>
      </c>
      <c r="N74" s="70">
        <v>127</v>
      </c>
      <c r="O74" s="70">
        <v>128</v>
      </c>
      <c r="P74" s="70">
        <v>128.6</v>
      </c>
      <c r="Q74" s="99">
        <v>129</v>
      </c>
      <c r="R74" s="99">
        <v>128</v>
      </c>
      <c r="S74" s="99">
        <v>128</v>
      </c>
      <c r="T74" s="99">
        <v>126.8</v>
      </c>
      <c r="U74" s="99">
        <v>126.8</v>
      </c>
      <c r="V74" s="99">
        <v>129.1</v>
      </c>
      <c r="W74" s="99">
        <v>129.1</v>
      </c>
      <c r="X74" s="99">
        <v>129.1</v>
      </c>
      <c r="Y74" s="99">
        <v>128.69999999999999</v>
      </c>
      <c r="Z74" s="99">
        <v>128.69999999999999</v>
      </c>
      <c r="AA74" s="70">
        <v>128.69999999999999</v>
      </c>
      <c r="AB74" s="70">
        <v>128.69999999999999</v>
      </c>
      <c r="AC74" s="70">
        <v>129</v>
      </c>
      <c r="AD74" s="70">
        <v>128.5</v>
      </c>
      <c r="AE74" s="70">
        <v>129.80000000000001</v>
      </c>
      <c r="AF74" s="100">
        <v>129.69999999999999</v>
      </c>
      <c r="AG74" s="101"/>
      <c r="AH74" s="52">
        <f t="shared" si="2"/>
        <v>133</v>
      </c>
      <c r="AI74" s="53">
        <f t="shared" si="3"/>
        <v>126.8</v>
      </c>
    </row>
    <row r="75" spans="1:35" x14ac:dyDescent="0.25">
      <c r="A75" s="98" t="s">
        <v>82</v>
      </c>
      <c r="B75" s="70">
        <v>129.4</v>
      </c>
      <c r="C75" s="70">
        <v>130</v>
      </c>
      <c r="D75" s="70">
        <v>130.30000000000001</v>
      </c>
      <c r="E75" s="70">
        <v>130.19999999999999</v>
      </c>
      <c r="F75" s="70">
        <v>130.19999999999999</v>
      </c>
      <c r="G75" s="70">
        <v>125.1</v>
      </c>
      <c r="H75" s="70">
        <v>127.8</v>
      </c>
      <c r="I75" s="70">
        <v>128.19999999999999</v>
      </c>
      <c r="J75" s="70">
        <v>127.7</v>
      </c>
      <c r="K75" s="70">
        <v>129.6</v>
      </c>
      <c r="L75" s="70">
        <v>128.5</v>
      </c>
      <c r="M75" s="70">
        <v>126.8</v>
      </c>
      <c r="N75" s="70">
        <v>127.8</v>
      </c>
      <c r="O75" s="70">
        <v>129.69999999999999</v>
      </c>
      <c r="P75" s="70">
        <v>129.6</v>
      </c>
      <c r="Q75" s="70">
        <v>130.1</v>
      </c>
      <c r="R75" s="70">
        <v>126.9</v>
      </c>
      <c r="S75" s="70">
        <v>126.9</v>
      </c>
      <c r="T75" s="99">
        <v>128.6</v>
      </c>
      <c r="U75" s="99">
        <v>128.6</v>
      </c>
      <c r="V75" s="99">
        <v>126.4</v>
      </c>
      <c r="W75" s="99">
        <v>126.4</v>
      </c>
      <c r="X75" s="99">
        <v>126.4</v>
      </c>
      <c r="Y75" s="99">
        <v>129.19999999999999</v>
      </c>
      <c r="Z75" s="99">
        <v>129.19999999999999</v>
      </c>
      <c r="AA75" s="70">
        <v>126.1</v>
      </c>
      <c r="AB75" s="70">
        <v>126.6</v>
      </c>
      <c r="AC75" s="70">
        <v>126.6</v>
      </c>
      <c r="AD75" s="70">
        <v>127.2</v>
      </c>
      <c r="AE75" s="70">
        <v>127.7</v>
      </c>
      <c r="AF75" s="100">
        <v>126.6</v>
      </c>
      <c r="AG75" s="101"/>
      <c r="AH75" s="52">
        <f t="shared" si="2"/>
        <v>130.30000000000001</v>
      </c>
      <c r="AI75" s="53">
        <f t="shared" si="3"/>
        <v>125.1</v>
      </c>
    </row>
    <row r="76" spans="1:35" x14ac:dyDescent="0.25">
      <c r="A76" s="102" t="s">
        <v>83</v>
      </c>
      <c r="B76" s="70">
        <v>133.5</v>
      </c>
      <c r="C76" s="70">
        <v>134</v>
      </c>
      <c r="D76" s="70">
        <v>133.30000000000001</v>
      </c>
      <c r="E76" s="70">
        <v>133.30000000000001</v>
      </c>
      <c r="F76" s="70">
        <v>133.1</v>
      </c>
      <c r="G76" s="70">
        <v>130.19999999999999</v>
      </c>
      <c r="H76" s="70">
        <v>131.6</v>
      </c>
      <c r="I76" s="70">
        <v>131.30000000000001</v>
      </c>
      <c r="J76" s="70">
        <v>131</v>
      </c>
      <c r="K76" s="70">
        <v>132</v>
      </c>
      <c r="L76" s="70">
        <v>131</v>
      </c>
      <c r="M76" s="70">
        <v>130.4</v>
      </c>
      <c r="N76" s="70">
        <v>128.1</v>
      </c>
      <c r="O76" s="70">
        <v>134.1</v>
      </c>
      <c r="P76" s="70">
        <v>133.6</v>
      </c>
      <c r="Q76" s="70">
        <v>134.1</v>
      </c>
      <c r="R76" s="70">
        <v>130.9</v>
      </c>
      <c r="S76" s="70">
        <v>130.9</v>
      </c>
      <c r="T76" s="99">
        <v>132.19999999999999</v>
      </c>
      <c r="U76" s="99">
        <v>132.19999999999999</v>
      </c>
      <c r="V76" s="99">
        <v>129.69999999999999</v>
      </c>
      <c r="W76" s="99">
        <v>129.69999999999999</v>
      </c>
      <c r="X76" s="99">
        <v>129.69999999999999</v>
      </c>
      <c r="Y76" s="99">
        <v>132.1</v>
      </c>
      <c r="Z76" s="99">
        <v>132.1</v>
      </c>
      <c r="AA76" s="70">
        <v>128.9</v>
      </c>
      <c r="AB76" s="70">
        <v>128.9</v>
      </c>
      <c r="AC76" s="70">
        <v>130.19999999999999</v>
      </c>
      <c r="AD76" s="70">
        <v>131.1</v>
      </c>
      <c r="AE76" s="70">
        <v>131.69999999999999</v>
      </c>
      <c r="AF76" s="100">
        <v>130.9</v>
      </c>
      <c r="AG76" s="101"/>
      <c r="AH76" s="52">
        <f t="shared" si="2"/>
        <v>134.1</v>
      </c>
      <c r="AI76" s="53">
        <f t="shared" si="3"/>
        <v>128.1</v>
      </c>
    </row>
    <row r="77" spans="1:35" x14ac:dyDescent="0.25">
      <c r="A77" s="102" t="s">
        <v>84</v>
      </c>
      <c r="B77" s="103">
        <v>135.30000000000001</v>
      </c>
      <c r="C77" s="103">
        <v>135.9</v>
      </c>
      <c r="D77" s="103">
        <v>130.19999999999999</v>
      </c>
      <c r="E77" s="103">
        <v>128</v>
      </c>
      <c r="F77" s="103">
        <v>134.5</v>
      </c>
      <c r="G77" s="103">
        <v>134.80000000000001</v>
      </c>
      <c r="H77" s="103">
        <v>133.5</v>
      </c>
      <c r="I77" s="103">
        <v>132.1</v>
      </c>
      <c r="J77" s="103">
        <v>133.80000000000001</v>
      </c>
      <c r="K77" s="103">
        <v>133.9</v>
      </c>
      <c r="L77" s="103">
        <v>137.19999999999999</v>
      </c>
      <c r="M77" s="103">
        <v>135.5</v>
      </c>
      <c r="N77" s="103">
        <v>131.69999999999999</v>
      </c>
      <c r="O77" s="103"/>
      <c r="P77" s="103">
        <v>134.19999999999999</v>
      </c>
      <c r="Q77" s="103">
        <v>134.6</v>
      </c>
      <c r="R77" s="103">
        <v>133.30000000000001</v>
      </c>
      <c r="S77" s="103">
        <v>133.30000000000001</v>
      </c>
      <c r="T77" s="99">
        <v>132.69999999999999</v>
      </c>
      <c r="U77" s="99">
        <v>132.69999999999999</v>
      </c>
      <c r="V77" s="99">
        <v>132.80000000000001</v>
      </c>
      <c r="W77" s="99">
        <v>132.80000000000001</v>
      </c>
      <c r="X77" s="99">
        <v>132.80000000000001</v>
      </c>
      <c r="Y77" s="99">
        <v>132.80000000000001</v>
      </c>
      <c r="Z77" s="99">
        <v>132.80000000000001</v>
      </c>
      <c r="AA77" s="103">
        <v>134.19999999999999</v>
      </c>
      <c r="AB77" s="103">
        <v>135.30000000000001</v>
      </c>
      <c r="AC77" s="103">
        <v>135.30000000000001</v>
      </c>
      <c r="AD77" s="103">
        <v>132.19999999999999</v>
      </c>
      <c r="AE77" s="103">
        <v>131.6</v>
      </c>
      <c r="AF77" s="104">
        <v>130.19999999999999</v>
      </c>
      <c r="AG77" s="105"/>
      <c r="AH77" s="52">
        <f t="shared" si="2"/>
        <v>137.19999999999999</v>
      </c>
      <c r="AI77" s="53">
        <f t="shared" si="3"/>
        <v>128</v>
      </c>
    </row>
    <row r="78" spans="1:35" x14ac:dyDescent="0.25">
      <c r="A78" s="98" t="s">
        <v>85</v>
      </c>
      <c r="B78" s="70">
        <v>133</v>
      </c>
      <c r="C78" s="70">
        <v>133</v>
      </c>
      <c r="D78" s="70">
        <v>128.30000000000001</v>
      </c>
      <c r="E78" s="70">
        <v>132.9</v>
      </c>
      <c r="F78" s="70">
        <v>134.1</v>
      </c>
      <c r="G78" s="70">
        <v>133.80000000000001</v>
      </c>
      <c r="H78" s="70">
        <v>132.80000000000001</v>
      </c>
      <c r="I78" s="70">
        <v>129</v>
      </c>
      <c r="J78" s="70">
        <v>130.1</v>
      </c>
      <c r="K78" s="70">
        <v>132.19999999999999</v>
      </c>
      <c r="L78" s="70">
        <v>136.19999999999999</v>
      </c>
      <c r="M78" s="70">
        <v>133.6</v>
      </c>
      <c r="N78" s="70">
        <v>135.4</v>
      </c>
      <c r="O78" s="70"/>
      <c r="P78" s="70">
        <v>137</v>
      </c>
      <c r="Q78" s="70">
        <v>136.6</v>
      </c>
      <c r="R78" s="70">
        <v>134.6</v>
      </c>
      <c r="S78" s="70">
        <v>134.6</v>
      </c>
      <c r="T78" s="99">
        <v>135.1</v>
      </c>
      <c r="U78" s="99">
        <v>135.1</v>
      </c>
      <c r="V78" s="99">
        <v>133.6</v>
      </c>
      <c r="W78" s="99">
        <v>133.6</v>
      </c>
      <c r="X78" s="99">
        <v>133.6</v>
      </c>
      <c r="Y78" s="99">
        <v>134.6</v>
      </c>
      <c r="Z78" s="99">
        <v>134.1</v>
      </c>
      <c r="AA78" s="70">
        <v>133.1</v>
      </c>
      <c r="AB78" s="70">
        <v>133.1</v>
      </c>
      <c r="AC78" s="70">
        <v>131.6</v>
      </c>
      <c r="AD78" s="70">
        <v>132</v>
      </c>
      <c r="AE78" s="70">
        <v>132.6</v>
      </c>
      <c r="AF78" s="100">
        <v>133.80000000000001</v>
      </c>
      <c r="AG78" s="101"/>
      <c r="AH78" s="52">
        <f>MAX(B78:AF78)</f>
        <v>137</v>
      </c>
      <c r="AI78" s="53">
        <f>MIN(B78:AF78)</f>
        <v>128.30000000000001</v>
      </c>
    </row>
    <row r="79" spans="1:35" ht="15.75" thickBot="1" x14ac:dyDescent="0.3">
      <c r="A79" s="98" t="s">
        <v>86</v>
      </c>
      <c r="B79" s="106">
        <v>67.400000000000006</v>
      </c>
      <c r="C79" s="106">
        <v>67.400000000000006</v>
      </c>
      <c r="D79" s="106">
        <v>66.7</v>
      </c>
      <c r="E79" s="106">
        <v>66.400000000000006</v>
      </c>
      <c r="F79" s="106">
        <v>67.099999999999994</v>
      </c>
      <c r="G79" s="106">
        <v>66.900000000000006</v>
      </c>
      <c r="H79" s="106">
        <v>67.2</v>
      </c>
      <c r="I79" s="106">
        <v>67</v>
      </c>
      <c r="J79" s="106">
        <v>66.900000000000006</v>
      </c>
      <c r="K79" s="106">
        <v>66.599999999999994</v>
      </c>
      <c r="L79" s="106">
        <v>66.3</v>
      </c>
      <c r="M79" s="106">
        <v>64.900000000000006</v>
      </c>
      <c r="N79" s="106">
        <v>64.900000000000006</v>
      </c>
      <c r="O79" s="106">
        <v>65.400000000000006</v>
      </c>
      <c r="P79" s="106">
        <v>65.599999999999994</v>
      </c>
      <c r="Q79" s="106">
        <v>65.900000000000006</v>
      </c>
      <c r="R79" s="106">
        <v>65.2</v>
      </c>
      <c r="S79" s="106">
        <v>65.2</v>
      </c>
      <c r="T79" s="106">
        <v>64.8</v>
      </c>
      <c r="U79" s="106">
        <v>64.8</v>
      </c>
      <c r="V79" s="106">
        <v>66.099999999999994</v>
      </c>
      <c r="W79" s="106">
        <v>66.099999999999994</v>
      </c>
      <c r="X79" s="106">
        <v>66.099999999999994</v>
      </c>
      <c r="Y79" s="106">
        <v>66.099999999999994</v>
      </c>
      <c r="Z79" s="106"/>
      <c r="AA79" s="106">
        <v>65.599999999999994</v>
      </c>
      <c r="AB79" s="106">
        <v>65.5</v>
      </c>
      <c r="AC79" s="106">
        <v>65.5</v>
      </c>
      <c r="AD79" s="106">
        <v>65.400000000000006</v>
      </c>
      <c r="AE79" s="106">
        <v>66</v>
      </c>
      <c r="AF79" s="107">
        <v>66</v>
      </c>
      <c r="AG79" s="108"/>
      <c r="AH79" s="52">
        <f>MAX(B79:AF79)</f>
        <v>67.400000000000006</v>
      </c>
      <c r="AI79" s="53">
        <f>MIN(B79:AF79)</f>
        <v>64.8</v>
      </c>
    </row>
    <row r="80" spans="1:35" x14ac:dyDescent="0.25">
      <c r="A80" s="109" t="s">
        <v>87</v>
      </c>
      <c r="B80" s="110">
        <f t="shared" ref="B80:AF80" si="19">SUMIF(B48:B57,"&gt;0")</f>
        <v>25</v>
      </c>
      <c r="C80" s="110">
        <f t="shared" si="19"/>
        <v>24</v>
      </c>
      <c r="D80" s="110">
        <f t="shared" si="19"/>
        <v>14</v>
      </c>
      <c r="E80" s="110">
        <f t="shared" si="19"/>
        <v>17</v>
      </c>
      <c r="F80" s="110">
        <f t="shared" si="19"/>
        <v>16</v>
      </c>
      <c r="G80" s="110">
        <f t="shared" si="19"/>
        <v>13.3</v>
      </c>
      <c r="H80" s="110">
        <f t="shared" si="19"/>
        <v>0</v>
      </c>
      <c r="I80" s="110">
        <f t="shared" si="19"/>
        <v>0</v>
      </c>
      <c r="J80" s="110">
        <f t="shared" si="19"/>
        <v>0</v>
      </c>
      <c r="K80" s="110">
        <f t="shared" si="19"/>
        <v>0</v>
      </c>
      <c r="L80" s="110">
        <f t="shared" si="19"/>
        <v>3</v>
      </c>
      <c r="M80" s="110">
        <f t="shared" si="19"/>
        <v>25</v>
      </c>
      <c r="N80" s="110">
        <f t="shared" si="19"/>
        <v>26</v>
      </c>
      <c r="O80" s="110">
        <f t="shared" si="19"/>
        <v>15.2</v>
      </c>
      <c r="P80" s="110">
        <f t="shared" si="19"/>
        <v>11.4</v>
      </c>
      <c r="Q80" s="110">
        <f t="shared" si="19"/>
        <v>12.47</v>
      </c>
      <c r="R80" s="110">
        <f t="shared" si="19"/>
        <v>25.2</v>
      </c>
      <c r="S80" s="110">
        <f t="shared" si="19"/>
        <v>20.5</v>
      </c>
      <c r="T80" s="110">
        <f t="shared" si="19"/>
        <v>44.5</v>
      </c>
      <c r="U80" s="110">
        <f t="shared" si="19"/>
        <v>79</v>
      </c>
      <c r="V80" s="110">
        <f t="shared" si="19"/>
        <v>60.3</v>
      </c>
      <c r="W80" s="110">
        <f t="shared" si="19"/>
        <v>45</v>
      </c>
      <c r="X80" s="110">
        <f t="shared" si="19"/>
        <v>100</v>
      </c>
      <c r="Y80" s="110">
        <f t="shared" si="19"/>
        <v>126</v>
      </c>
      <c r="Z80" s="110">
        <f t="shared" si="19"/>
        <v>184</v>
      </c>
      <c r="AA80" s="110">
        <f t="shared" si="19"/>
        <v>209.19</v>
      </c>
      <c r="AB80" s="110">
        <f t="shared" si="19"/>
        <v>184.51999999999998</v>
      </c>
      <c r="AC80" s="110">
        <f t="shared" si="19"/>
        <v>165.01999999999998</v>
      </c>
      <c r="AD80" s="110">
        <f t="shared" si="19"/>
        <v>127.57</v>
      </c>
      <c r="AE80" s="110">
        <f t="shared" si="19"/>
        <v>75.87</v>
      </c>
      <c r="AF80" s="110">
        <f t="shared" si="19"/>
        <v>39.5</v>
      </c>
      <c r="AG80" s="111"/>
      <c r="AH80" s="52">
        <f>MAX(B80:AF80)</f>
        <v>209.19</v>
      </c>
      <c r="AI80" s="53">
        <f>MIN(B80:AF80)</f>
        <v>0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117.51999999999998</v>
      </c>
      <c r="C82" s="115">
        <f t="shared" ref="C82:AF82" si="20">C11+C13+C17+C34+C36+C38+C40+C94+C108+C110+C121+C127+C130+C139+C143+C144+C147+C154+C159+C162+C163+C164+C172+C177+C83+C84+C85+C86+C99</f>
        <v>200.11999999999998</v>
      </c>
      <c r="D82" s="115">
        <f t="shared" si="20"/>
        <v>198.21999999999994</v>
      </c>
      <c r="E82" s="115">
        <f t="shared" si="20"/>
        <v>197.61999999999998</v>
      </c>
      <c r="F82" s="115">
        <f t="shared" si="20"/>
        <v>203.41999999999996</v>
      </c>
      <c r="G82" s="115">
        <f t="shared" si="20"/>
        <v>210.31999999999996</v>
      </c>
      <c r="H82" s="115">
        <f t="shared" si="20"/>
        <v>218.92</v>
      </c>
      <c r="I82" s="115">
        <f t="shared" si="20"/>
        <v>227.11999999999998</v>
      </c>
      <c r="J82" s="115">
        <f t="shared" si="20"/>
        <v>234.32</v>
      </c>
      <c r="K82" s="115">
        <f t="shared" si="20"/>
        <v>238.11999999999998</v>
      </c>
      <c r="L82" s="115">
        <f t="shared" si="20"/>
        <v>244.91999999999996</v>
      </c>
      <c r="M82" s="115">
        <f t="shared" si="20"/>
        <v>348.11999999999995</v>
      </c>
      <c r="N82" s="115">
        <f t="shared" si="20"/>
        <v>281.61999999999995</v>
      </c>
      <c r="O82" s="115">
        <f t="shared" si="20"/>
        <v>266.02</v>
      </c>
      <c r="P82" s="115">
        <f t="shared" si="20"/>
        <v>263.92</v>
      </c>
      <c r="Q82" s="115">
        <f t="shared" si="20"/>
        <v>255.42000000000002</v>
      </c>
      <c r="R82" s="115" t="e">
        <f t="shared" si="20"/>
        <v>#VALUE!</v>
      </c>
      <c r="S82" s="115" t="e">
        <f t="shared" si="20"/>
        <v>#VALUE!</v>
      </c>
      <c r="T82" s="115" t="e">
        <f t="shared" si="20"/>
        <v>#VALUE!</v>
      </c>
      <c r="U82" s="115" t="e">
        <f t="shared" si="20"/>
        <v>#VALUE!</v>
      </c>
      <c r="V82" s="115" t="e">
        <f t="shared" si="20"/>
        <v>#VALUE!</v>
      </c>
      <c r="W82" s="115" t="e">
        <f t="shared" si="20"/>
        <v>#VALUE!</v>
      </c>
      <c r="X82" s="115" t="e">
        <f t="shared" si="20"/>
        <v>#VALUE!</v>
      </c>
      <c r="Y82" s="115" t="e">
        <f t="shared" si="20"/>
        <v>#VALUE!</v>
      </c>
      <c r="Z82" s="115" t="e">
        <f t="shared" si="20"/>
        <v>#VALUE!</v>
      </c>
      <c r="AA82" s="115" t="e">
        <f t="shared" si="20"/>
        <v>#VALUE!</v>
      </c>
      <c r="AB82" s="115" t="e">
        <f t="shared" si="20"/>
        <v>#VALUE!</v>
      </c>
      <c r="AC82" s="115" t="e">
        <f t="shared" si="20"/>
        <v>#VALUE!</v>
      </c>
      <c r="AD82" s="115" t="e">
        <f t="shared" si="20"/>
        <v>#VALUE!</v>
      </c>
      <c r="AE82" s="115" t="e">
        <f t="shared" si="20"/>
        <v>#VALUE!</v>
      </c>
      <c r="AF82" s="115" t="e">
        <f t="shared" si="20"/>
        <v>#VALUE!</v>
      </c>
      <c r="AG82" s="116"/>
      <c r="AH82" s="52" t="e">
        <f>MAX(B82:AF82)</f>
        <v>#VALUE!</v>
      </c>
      <c r="AI82" s="53" t="e">
        <f>MIN(B82:AF82)</f>
        <v>#VALUE!</v>
      </c>
    </row>
    <row r="83" spans="1:37" x14ac:dyDescent="0.25">
      <c r="A83" s="117" t="s">
        <v>89</v>
      </c>
      <c r="B83" s="118">
        <v>27</v>
      </c>
      <c r="C83" s="118">
        <v>23</v>
      </c>
      <c r="D83" s="118">
        <v>-0.9</v>
      </c>
      <c r="E83" s="118">
        <v>-5</v>
      </c>
      <c r="F83" s="118">
        <v>0</v>
      </c>
      <c r="G83" s="118">
        <v>7.6</v>
      </c>
      <c r="H83" s="118">
        <v>18.899999999999999</v>
      </c>
      <c r="I83" s="118">
        <v>28.9</v>
      </c>
      <c r="J83" s="118">
        <v>45.2</v>
      </c>
      <c r="K83" s="118">
        <v>47</v>
      </c>
      <c r="L83" s="118">
        <v>58.8</v>
      </c>
      <c r="M83" s="118">
        <v>77.599999999999994</v>
      </c>
      <c r="N83" s="118">
        <v>78.3</v>
      </c>
      <c r="O83" s="118">
        <v>74.8</v>
      </c>
      <c r="P83" s="118">
        <v>57</v>
      </c>
      <c r="Q83" s="118">
        <v>55.3</v>
      </c>
      <c r="R83" s="118">
        <v>78.5</v>
      </c>
      <c r="S83" s="118">
        <v>77.5</v>
      </c>
      <c r="T83" s="118">
        <v>79</v>
      </c>
      <c r="U83" s="118">
        <v>76</v>
      </c>
      <c r="V83" s="118">
        <v>65.3</v>
      </c>
      <c r="W83" s="118">
        <v>69</v>
      </c>
      <c r="X83" s="118">
        <v>75.5</v>
      </c>
      <c r="Y83" s="118">
        <v>78</v>
      </c>
      <c r="Z83" s="118">
        <v>68</v>
      </c>
      <c r="AA83" s="50">
        <v>71.5</v>
      </c>
      <c r="AB83" s="50">
        <v>71.5</v>
      </c>
      <c r="AC83" s="50">
        <v>74.099999999999994</v>
      </c>
      <c r="AD83" s="50">
        <v>69.5</v>
      </c>
      <c r="AE83" s="50">
        <v>63.6</v>
      </c>
      <c r="AF83" s="119">
        <v>62.1</v>
      </c>
      <c r="AG83" s="120">
        <v>75</v>
      </c>
      <c r="AH83" s="52">
        <f>IF(ABS(MAX(B83:AF83))&gt;ABS(MIN(B83:AF83)),MAX(B83:AF83),MIN(B83:AF83))</f>
        <v>79</v>
      </c>
      <c r="AI83" s="121">
        <f>INDEX($B$9:$AF$9,1,MATCH(AH83,B83:AF83,0))</f>
        <v>0.66666666666666696</v>
      </c>
    </row>
    <row r="84" spans="1:37" x14ac:dyDescent="0.25">
      <c r="A84" s="122" t="s">
        <v>90</v>
      </c>
      <c r="B84" s="83">
        <v>-41</v>
      </c>
      <c r="C84" s="83">
        <v>-40</v>
      </c>
      <c r="D84" s="83">
        <v>-20</v>
      </c>
      <c r="E84" s="83">
        <v>-15</v>
      </c>
      <c r="F84" s="83">
        <v>-15</v>
      </c>
      <c r="G84" s="83">
        <v>-16</v>
      </c>
      <c r="H84" s="83">
        <v>-19</v>
      </c>
      <c r="I84" s="83">
        <v>-20</v>
      </c>
      <c r="J84" s="83">
        <v>-30</v>
      </c>
      <c r="K84" s="83">
        <v>-28</v>
      </c>
      <c r="L84" s="83">
        <f>-15.5-17.3</f>
        <v>-32.799999999999997</v>
      </c>
      <c r="M84" s="83">
        <v>48</v>
      </c>
      <c r="N84" s="83">
        <v>-25</v>
      </c>
      <c r="O84" s="83">
        <f>-16.7-18.2</f>
        <v>-34.9</v>
      </c>
      <c r="P84" s="83">
        <v>-21.5</v>
      </c>
      <c r="Q84" s="83">
        <v>-27.9</v>
      </c>
      <c r="R84" s="83">
        <v>-22</v>
      </c>
      <c r="S84" s="83">
        <v>-19</v>
      </c>
      <c r="T84" s="83">
        <v>19</v>
      </c>
      <c r="U84" s="83">
        <v>-17</v>
      </c>
      <c r="V84" s="83">
        <v>-28</v>
      </c>
      <c r="W84" s="83">
        <v>-27</v>
      </c>
      <c r="X84" s="83">
        <v>-12</v>
      </c>
      <c r="Y84" s="83">
        <v>-13</v>
      </c>
      <c r="Z84" s="83">
        <v>13</v>
      </c>
      <c r="AA84" s="70">
        <v>-2</v>
      </c>
      <c r="AB84" s="70">
        <v>-2</v>
      </c>
      <c r="AC84" s="70">
        <v>-24</v>
      </c>
      <c r="AD84" s="70">
        <v>-33</v>
      </c>
      <c r="AE84" s="70">
        <v>-53</v>
      </c>
      <c r="AF84" s="123">
        <v>-61</v>
      </c>
      <c r="AG84" s="120">
        <v>240</v>
      </c>
      <c r="AH84" s="52">
        <f>IF(ABS(MAX(B84:AF84))&gt;ABS(MIN(B84:AF84)),MAX(B84:AF84),MIN(B84:AF84))</f>
        <v>-61</v>
      </c>
      <c r="AI84" s="121">
        <f>INDEX($B$9:$AF$9,1,MATCH(AH84,B84:AF84,0))</f>
        <v>1</v>
      </c>
    </row>
    <row r="85" spans="1:37" x14ac:dyDescent="0.25">
      <c r="A85" s="122" t="s">
        <v>91</v>
      </c>
      <c r="B85" s="83">
        <v>5</v>
      </c>
      <c r="C85" s="83">
        <v>5.6</v>
      </c>
      <c r="D85" s="83">
        <v>8.6999999999999993</v>
      </c>
      <c r="E85" s="83">
        <v>9.9</v>
      </c>
      <c r="F85" s="83">
        <v>10.7</v>
      </c>
      <c r="G85" s="83">
        <v>11.5</v>
      </c>
      <c r="H85" s="83">
        <v>11.8</v>
      </c>
      <c r="I85" s="83">
        <v>13.6</v>
      </c>
      <c r="J85" s="83">
        <v>14.6</v>
      </c>
      <c r="K85" s="83">
        <v>14.8</v>
      </c>
      <c r="L85" s="83">
        <v>12.6</v>
      </c>
      <c r="M85" s="83">
        <v>13.2</v>
      </c>
      <c r="N85" s="83">
        <v>20.5</v>
      </c>
      <c r="O85" s="83">
        <v>16.7</v>
      </c>
      <c r="P85" s="83">
        <v>17.8</v>
      </c>
      <c r="Q85" s="83">
        <v>16.5</v>
      </c>
      <c r="R85" s="83">
        <v>17</v>
      </c>
      <c r="S85" s="83">
        <v>17.5</v>
      </c>
      <c r="T85" s="83">
        <v>16.7</v>
      </c>
      <c r="U85" s="83">
        <v>17</v>
      </c>
      <c r="V85" s="83">
        <v>16</v>
      </c>
      <c r="W85" s="83">
        <v>17</v>
      </c>
      <c r="X85" s="83">
        <v>21</v>
      </c>
      <c r="Y85" s="83">
        <v>28.7</v>
      </c>
      <c r="Z85" s="83">
        <v>25</v>
      </c>
      <c r="AA85" s="70">
        <v>22.5</v>
      </c>
      <c r="AB85" s="70">
        <v>22.5</v>
      </c>
      <c r="AC85" s="70">
        <v>0</v>
      </c>
      <c r="AD85" s="70">
        <v>0</v>
      </c>
      <c r="AE85" s="70">
        <v>0</v>
      </c>
      <c r="AF85" s="123">
        <v>0</v>
      </c>
      <c r="AG85" s="120">
        <v>60</v>
      </c>
      <c r="AH85" s="52">
        <f>IF(ABS(MAX(B85:AF85))&gt;ABS(MIN(B85:AF85)),MAX(B85:AF85),MIN(B85:AF85))</f>
        <v>28.7</v>
      </c>
      <c r="AI85" s="121">
        <f>INDEX($B$9:$AF$9,1,MATCH(AH85,B85:AF85,0))</f>
        <v>0.79166666666666663</v>
      </c>
    </row>
    <row r="86" spans="1:37" x14ac:dyDescent="0.25">
      <c r="A86" s="124" t="s">
        <v>92</v>
      </c>
      <c r="B86" s="85">
        <v>-85</v>
      </c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 t="s">
        <v>204</v>
      </c>
      <c r="S86" s="85" t="s">
        <v>204</v>
      </c>
      <c r="T86" s="85" t="s">
        <v>204</v>
      </c>
      <c r="U86" s="85" t="s">
        <v>204</v>
      </c>
      <c r="V86" s="85" t="s">
        <v>204</v>
      </c>
      <c r="W86" s="85" t="s">
        <v>204</v>
      </c>
      <c r="X86" s="85" t="s">
        <v>204</v>
      </c>
      <c r="Y86" s="85" t="s">
        <v>204</v>
      </c>
      <c r="Z86" s="85" t="s">
        <v>204</v>
      </c>
      <c r="AA86" s="85" t="s">
        <v>204</v>
      </c>
      <c r="AB86" s="85" t="s">
        <v>204</v>
      </c>
      <c r="AC86" s="85" t="s">
        <v>204</v>
      </c>
      <c r="AD86" s="85" t="s">
        <v>204</v>
      </c>
      <c r="AE86" s="85" t="s">
        <v>204</v>
      </c>
      <c r="AF86" s="85" t="s">
        <v>204</v>
      </c>
      <c r="AG86" s="127">
        <v>120</v>
      </c>
      <c r="AH86" s="52">
        <f>IF(ABS(MAX(B86:AF86))&gt;ABS(MIN(B86:AF86)),MAX(B86:AF86),MIN(B86:AF86))</f>
        <v>-85</v>
      </c>
      <c r="AI86" s="121">
        <f>INDEX($B$9:$AF$9,1,MATCH(AH86,B86:AF86,0))</f>
        <v>4.1666666666666664E-2</v>
      </c>
    </row>
    <row r="87" spans="1:37" ht="15.75" thickBot="1" x14ac:dyDescent="0.3">
      <c r="A87" s="124" t="s">
        <v>93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 t="s">
        <v>204</v>
      </c>
      <c r="S87" s="85" t="s">
        <v>204</v>
      </c>
      <c r="T87" s="85" t="s">
        <v>204</v>
      </c>
      <c r="U87" s="85" t="s">
        <v>204</v>
      </c>
      <c r="V87" s="85" t="s">
        <v>204</v>
      </c>
      <c r="W87" s="85" t="s">
        <v>204</v>
      </c>
      <c r="X87" s="85" t="s">
        <v>204</v>
      </c>
      <c r="Y87" s="85" t="s">
        <v>204</v>
      </c>
      <c r="Z87" s="85" t="s">
        <v>204</v>
      </c>
      <c r="AA87" s="85" t="s">
        <v>204</v>
      </c>
      <c r="AB87" s="85" t="s">
        <v>204</v>
      </c>
      <c r="AC87" s="85" t="s">
        <v>204</v>
      </c>
      <c r="AD87" s="85" t="s">
        <v>204</v>
      </c>
      <c r="AE87" s="85" t="s">
        <v>204</v>
      </c>
      <c r="AF87" s="85" t="s">
        <v>204</v>
      </c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809.04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15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15)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15)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589.74</v>
      </c>
      <c r="U193" s="173">
        <f t="shared" si="37"/>
        <v>586.24</v>
      </c>
      <c r="V193" s="173">
        <f t="shared" si="37"/>
        <v>583.94000000000005</v>
      </c>
      <c r="W193" s="173">
        <f t="shared" si="37"/>
        <v>566.74</v>
      </c>
      <c r="X193" s="173">
        <f t="shared" si="37"/>
        <v>579.54000000000008</v>
      </c>
      <c r="Y193" s="173">
        <f t="shared" si="37"/>
        <v>626.64</v>
      </c>
      <c r="Z193" s="173">
        <f t="shared" si="37"/>
        <v>665.94</v>
      </c>
      <c r="AA193" s="173">
        <f t="shared" si="37"/>
        <v>765.14</v>
      </c>
      <c r="AB193" s="173">
        <f t="shared" si="37"/>
        <v>743.6400000000001</v>
      </c>
      <c r="AC193" s="173">
        <f t="shared" si="37"/>
        <v>738.24</v>
      </c>
      <c r="AD193" s="173">
        <f t="shared" si="37"/>
        <v>783.94</v>
      </c>
      <c r="AE193" s="173">
        <f t="shared" si="37"/>
        <v>809.04</v>
      </c>
      <c r="AF193" s="173">
        <f t="shared" si="37"/>
        <v>813.54</v>
      </c>
      <c r="AG193" s="173">
        <f t="shared" si="37"/>
        <v>750.54</v>
      </c>
      <c r="AH193" s="173">
        <f t="shared" si="37"/>
        <v>706.54</v>
      </c>
      <c r="AI193" s="173">
        <f t="shared" si="37"/>
        <v>719.51</v>
      </c>
      <c r="AJ193" s="173">
        <f t="shared" si="37"/>
        <v>771.83999999999992</v>
      </c>
      <c r="AK193" s="173">
        <f t="shared" si="37"/>
        <v>763.54</v>
      </c>
      <c r="AL193" s="173">
        <f t="shared" si="37"/>
        <v>809.44</v>
      </c>
      <c r="AM193" s="173">
        <f t="shared" si="37"/>
        <v>844.54</v>
      </c>
      <c r="AN193" s="173">
        <f t="shared" si="37"/>
        <v>838.04</v>
      </c>
      <c r="AO193" s="173">
        <f t="shared" si="37"/>
        <v>821.64</v>
      </c>
      <c r="AP193" s="173">
        <f t="shared" si="37"/>
        <v>892.54</v>
      </c>
      <c r="AQ193" s="173">
        <f t="shared" si="37"/>
        <v>948.54</v>
      </c>
      <c r="AR193" s="173">
        <f t="shared" si="37"/>
        <v>1091.74</v>
      </c>
      <c r="AS193" s="173">
        <f t="shared" si="37"/>
        <v>1028.83</v>
      </c>
      <c r="AT193" s="173">
        <f t="shared" si="37"/>
        <v>1003.96</v>
      </c>
      <c r="AU193" s="173">
        <f t="shared" si="37"/>
        <v>966.76</v>
      </c>
      <c r="AV193" s="173">
        <f t="shared" si="37"/>
        <v>908.70999999999992</v>
      </c>
      <c r="AW193" s="173">
        <f t="shared" si="37"/>
        <v>826.41</v>
      </c>
      <c r="AX193" s="173">
        <f t="shared" si="37"/>
        <v>783.24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261" priority="181">
      <formula>S$9&gt;=20/24</formula>
    </cfRule>
    <cfRule type="expression" dxfId="3260" priority="182">
      <formula>AND(S$9&gt;=14/24,S$9&lt;20/24)</formula>
    </cfRule>
    <cfRule type="expression" dxfId="3259" priority="183">
      <formula>AND(S$9&gt;=8/24,S$9&lt;14/24)</formula>
    </cfRule>
    <cfRule type="expression" dxfId="3258" priority="184">
      <formula>S$9&lt;8/24</formula>
    </cfRule>
  </conditionalFormatting>
  <conditionalFormatting sqref="B8:AF10 AA70:AF70 B70:Q70 L32:Z33 L31:Q31 B47:AF47 B71:AF71 B72:Q72 C173:AF179 M36 N35:Q36 L29:Q29 L34:Q34 L49:T50 V35:W35 S34:W34 B59:AF69 B51:C58 D51:K52 B48:K50 N36:N39 M31:N34 L51:Z58 M37:Z39 R11:U11 X34:Z35 U11:Z12 Y32:Y35 B73:Z79 AC51 L44:AF46 AA48:AF50 AA72:AF79">
    <cfRule type="expression" dxfId="3257" priority="177">
      <formula>B$9&gt;=20/24</formula>
    </cfRule>
    <cfRule type="expression" dxfId="3256" priority="178">
      <formula>AND(B$9&gt;=14/24,B$9&lt;20/24)</formula>
    </cfRule>
    <cfRule type="expression" dxfId="3255" priority="179">
      <formula>AND(B$9&gt;=8/24,B$9&lt;14/24)</formula>
    </cfRule>
    <cfRule type="expression" dxfId="3254" priority="180">
      <formula>B$9&lt;8/24</formula>
    </cfRule>
  </conditionalFormatting>
  <conditionalFormatting sqref="B171:AF171">
    <cfRule type="expression" dxfId="3253" priority="173">
      <formula>B$9&gt;=20/24</formula>
    </cfRule>
    <cfRule type="expression" dxfId="3252" priority="174">
      <formula>AND(B$9&gt;=14/24,B$9&lt;20/24)</formula>
    </cfRule>
    <cfRule type="expression" dxfId="3251" priority="175">
      <formula>AND(B$9&gt;=8/24,B$9&lt;14/24)</formula>
    </cfRule>
    <cfRule type="expression" dxfId="3250" priority="176">
      <formula>B$9&lt;8/24</formula>
    </cfRule>
  </conditionalFormatting>
  <conditionalFormatting sqref="AL4:AL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249" priority="168">
      <formula>L$9&gt;=20/24</formula>
    </cfRule>
    <cfRule type="expression" dxfId="3248" priority="169">
      <formula>AND(L$9&gt;=14/24,L$9&lt;20/24)</formula>
    </cfRule>
    <cfRule type="expression" dxfId="3247" priority="170">
      <formula>AND(L$9&gt;=8/24,L$9&lt;14/24)</formula>
    </cfRule>
    <cfRule type="expression" dxfId="3246" priority="171">
      <formula>L$9&lt;8/24</formula>
    </cfRule>
  </conditionalFormatting>
  <conditionalFormatting sqref="L35:N35">
    <cfRule type="expression" dxfId="3245" priority="164">
      <formula>L$9&gt;=20/24</formula>
    </cfRule>
    <cfRule type="expression" dxfId="3244" priority="165">
      <formula>AND(L$9&gt;=14/24,L$9&lt;20/24)</formula>
    </cfRule>
    <cfRule type="expression" dxfId="3243" priority="166">
      <formula>AND(L$9&gt;=8/24,L$9&lt;14/24)</formula>
    </cfRule>
    <cfRule type="expression" dxfId="3242" priority="167">
      <formula>L$9&lt;8/24</formula>
    </cfRule>
  </conditionalFormatting>
  <conditionalFormatting sqref="U13:Z13">
    <cfRule type="expression" dxfId="3241" priority="160">
      <formula>U$9&gt;=20/24</formula>
    </cfRule>
    <cfRule type="expression" dxfId="3240" priority="161">
      <formula>AND(U$9&gt;=14/24,U$9&lt;20/24)</formula>
    </cfRule>
    <cfRule type="expression" dxfId="3239" priority="162">
      <formula>AND(U$9&gt;=8/24,U$9&lt;14/24)</formula>
    </cfRule>
    <cfRule type="expression" dxfId="3238" priority="163">
      <formula>U$9&lt;8/24</formula>
    </cfRule>
  </conditionalFormatting>
  <conditionalFormatting sqref="R31:Z31">
    <cfRule type="expression" dxfId="3237" priority="156">
      <formula>R$9&gt;=20/24</formula>
    </cfRule>
    <cfRule type="expression" dxfId="3236" priority="157">
      <formula>AND(R$9&gt;=14/24,R$9&lt;20/24)</formula>
    </cfRule>
    <cfRule type="expression" dxfId="3235" priority="158">
      <formula>AND(R$9&gt;=8/24,R$9&lt;14/24)</formula>
    </cfRule>
    <cfRule type="expression" dxfId="3234" priority="159">
      <formula>R$9&lt;8/24</formula>
    </cfRule>
  </conditionalFormatting>
  <conditionalFormatting sqref="R48:Z48">
    <cfRule type="expression" dxfId="3233" priority="152">
      <formula>R$9&gt;=20/24</formula>
    </cfRule>
    <cfRule type="expression" dxfId="3232" priority="153">
      <formula>AND(R$9&gt;=14/24,R$9&lt;20/24)</formula>
    </cfRule>
    <cfRule type="expression" dxfId="3231" priority="154">
      <formula>AND(R$9&gt;=8/24,R$9&lt;14/24)</formula>
    </cfRule>
    <cfRule type="expression" dxfId="3230" priority="155">
      <formula>R$9&lt;8/24</formula>
    </cfRule>
  </conditionalFormatting>
  <conditionalFormatting sqref="R70:Z70">
    <cfRule type="expression" dxfId="3229" priority="148">
      <formula>R$9&gt;=20/24</formula>
    </cfRule>
    <cfRule type="expression" dxfId="3228" priority="149">
      <formula>AND(R$9&gt;=14/24,R$9&lt;20/24)</formula>
    </cfRule>
    <cfRule type="expression" dxfId="3227" priority="150">
      <formula>AND(R$9&gt;=8/24,R$9&lt;14/24)</formula>
    </cfRule>
    <cfRule type="expression" dxfId="3226" priority="151">
      <formula>R$9&lt;8/24</formula>
    </cfRule>
  </conditionalFormatting>
  <conditionalFormatting sqref="R72:Z72">
    <cfRule type="expression" dxfId="3225" priority="144">
      <formula>R$9&gt;=20/24</formula>
    </cfRule>
    <cfRule type="expression" dxfId="3224" priority="145">
      <formula>AND(R$9&gt;=14/24,R$9&lt;20/24)</formula>
    </cfRule>
    <cfRule type="expression" dxfId="3223" priority="146">
      <formula>AND(R$9&gt;=8/24,R$9&lt;14/24)</formula>
    </cfRule>
    <cfRule type="expression" dxfId="3222" priority="147">
      <formula>R$9&lt;8/24</formula>
    </cfRule>
  </conditionalFormatting>
  <conditionalFormatting sqref="L11:Z27">
    <cfRule type="expression" dxfId="3221" priority="140">
      <formula>L$9&gt;=20/24</formula>
    </cfRule>
    <cfRule type="expression" dxfId="3220" priority="141">
      <formula>AND(L$9&gt;=14/24,L$9&lt;20/24)</formula>
    </cfRule>
    <cfRule type="expression" dxfId="3219" priority="142">
      <formula>AND(L$9&gt;=8/24,L$9&lt;14/24)</formula>
    </cfRule>
    <cfRule type="expression" dxfId="3218" priority="143">
      <formula>L$9&lt;8/24</formula>
    </cfRule>
  </conditionalFormatting>
  <conditionalFormatting sqref="L40:Z40">
    <cfRule type="expression" dxfId="3217" priority="136">
      <formula>L$9&gt;=20/24</formula>
    </cfRule>
    <cfRule type="expression" dxfId="3216" priority="137">
      <formula>AND(L$9&gt;=14/24,L$9&lt;20/24)</formula>
    </cfRule>
    <cfRule type="expression" dxfId="3215" priority="138">
      <formula>AND(L$9&gt;=8/24,L$9&lt;14/24)</formula>
    </cfRule>
    <cfRule type="expression" dxfId="3214" priority="139">
      <formula>L$9&lt;8/24</formula>
    </cfRule>
  </conditionalFormatting>
  <conditionalFormatting sqref="L41:Z41">
    <cfRule type="expression" dxfId="3213" priority="132">
      <formula>L$9&gt;=20/24</formula>
    </cfRule>
    <cfRule type="expression" dxfId="3212" priority="133">
      <formula>AND(L$9&gt;=14/24,L$9&lt;20/24)</formula>
    </cfRule>
    <cfRule type="expression" dxfId="3211" priority="134">
      <formula>AND(L$9&gt;=8/24,L$9&lt;14/24)</formula>
    </cfRule>
    <cfRule type="expression" dxfId="3210" priority="135">
      <formula>L$9&lt;8/24</formula>
    </cfRule>
  </conditionalFormatting>
  <conditionalFormatting sqref="L36:N39">
    <cfRule type="expression" dxfId="3209" priority="128">
      <formula>L$9&gt;=20/24</formula>
    </cfRule>
    <cfRule type="expression" dxfId="3208" priority="129">
      <formula>AND(L$9&gt;=14/24,L$9&lt;20/24)</formula>
    </cfRule>
    <cfRule type="expression" dxfId="3207" priority="130">
      <formula>AND(L$9&gt;=8/24,L$9&lt;14/24)</formula>
    </cfRule>
    <cfRule type="expression" dxfId="3206" priority="131">
      <formula>L$9&lt;8/24</formula>
    </cfRule>
  </conditionalFormatting>
  <conditionalFormatting sqref="R29:AD29">
    <cfRule type="expression" dxfId="3205" priority="124">
      <formula>R$9&gt;=20/24</formula>
    </cfRule>
    <cfRule type="expression" dxfId="3204" priority="125">
      <formula>AND(R$9&gt;=14/24,R$9&lt;20/24)</formula>
    </cfRule>
    <cfRule type="expression" dxfId="3203" priority="126">
      <formula>AND(R$9&gt;=8/24,R$9&lt;14/24)</formula>
    </cfRule>
    <cfRule type="expression" dxfId="3202" priority="127">
      <formula>R$9&lt;8/24</formula>
    </cfRule>
  </conditionalFormatting>
  <conditionalFormatting sqref="R12:T27 U12:W15 X12:Y13 U14:Z27 AA16:AF27">
    <cfRule type="expression" dxfId="3201" priority="120">
      <formula>R$9&gt;=20/24</formula>
    </cfRule>
    <cfRule type="expression" dxfId="3200" priority="121">
      <formula>AND(R$9&gt;=14/24,R$9&lt;20/24)</formula>
    </cfRule>
    <cfRule type="expression" dxfId="3199" priority="122">
      <formula>AND(R$9&gt;=8/24,R$9&lt;14/24)</formula>
    </cfRule>
    <cfRule type="expression" dxfId="3198" priority="123">
      <formula>R$9&lt;8/24</formula>
    </cfRule>
  </conditionalFormatting>
  <conditionalFormatting sqref="R34:R39 S35:U39 S39:Z39 V36:Z39">
    <cfRule type="expression" dxfId="3197" priority="116">
      <formula>R$9&gt;=20/24</formula>
    </cfRule>
    <cfRule type="expression" dxfId="3196" priority="117">
      <formula>AND(R$9&gt;=14/24,R$9&lt;20/24)</formula>
    </cfRule>
    <cfRule type="expression" dxfId="3195" priority="118">
      <formula>AND(R$9&gt;=8/24,R$9&lt;14/24)</formula>
    </cfRule>
    <cfRule type="expression" dxfId="3194" priority="119">
      <formula>R$9&lt;8/24</formula>
    </cfRule>
  </conditionalFormatting>
  <conditionalFormatting sqref="R40:Z40">
    <cfRule type="expression" dxfId="3193" priority="112">
      <formula>R$9&gt;=20/24</formula>
    </cfRule>
    <cfRule type="expression" dxfId="3192" priority="113">
      <formula>AND(R$9&gt;=14/24,R$9&lt;20/24)</formula>
    </cfRule>
    <cfRule type="expression" dxfId="3191" priority="114">
      <formula>AND(R$9&gt;=8/24,R$9&lt;14/24)</formula>
    </cfRule>
    <cfRule type="expression" dxfId="3190" priority="115">
      <formula>R$9&lt;8/24</formula>
    </cfRule>
  </conditionalFormatting>
  <conditionalFormatting sqref="R41:Z41">
    <cfRule type="expression" dxfId="3189" priority="108">
      <formula>R$9&gt;=20/24</formula>
    </cfRule>
    <cfRule type="expression" dxfId="3188" priority="109">
      <formula>AND(R$9&gt;=14/24,R$9&lt;20/24)</formula>
    </cfRule>
    <cfRule type="expression" dxfId="3187" priority="110">
      <formula>AND(R$9&gt;=8/24,R$9&lt;14/24)</formula>
    </cfRule>
    <cfRule type="expression" dxfId="3186" priority="111">
      <formula>R$9&lt;8/24</formula>
    </cfRule>
  </conditionalFormatting>
  <conditionalFormatting sqref="AC52:AC58">
    <cfRule type="expression" dxfId="3185" priority="104">
      <formula>AC$9&gt;=20/24</formula>
    </cfRule>
    <cfRule type="expression" dxfId="3184" priority="105">
      <formula>AND(AC$9&gt;=14/24,AC$9&lt;20/24)</formula>
    </cfRule>
    <cfRule type="expression" dxfId="3183" priority="106">
      <formula>AND(AC$9&gt;=8/24,AC$9&lt;14/24)</formula>
    </cfRule>
    <cfRule type="expression" dxfId="3182" priority="107">
      <formula>AC$9&lt;8/24</formula>
    </cfRule>
  </conditionalFormatting>
  <conditionalFormatting sqref="AA83:AF85">
    <cfRule type="expression" dxfId="3181" priority="100">
      <formula>AA$9&gt;=20/24</formula>
    </cfRule>
    <cfRule type="expression" dxfId="3180" priority="101">
      <formula>AND(AA$9&gt;=14/24,AA$9&lt;20/24)</formula>
    </cfRule>
    <cfRule type="expression" dxfId="3179" priority="102">
      <formula>AND(AA$9&gt;=8/24,AA$9&lt;14/24)</formula>
    </cfRule>
    <cfRule type="expression" dxfId="3178" priority="103">
      <formula>AA$9&lt;8/24</formula>
    </cfRule>
  </conditionalFormatting>
  <conditionalFormatting sqref="D53:K58">
    <cfRule type="expression" dxfId="3177" priority="96">
      <formula>D$9&gt;=20/24</formula>
    </cfRule>
    <cfRule type="expression" dxfId="3176" priority="97">
      <formula>AND(D$9&gt;=14/24,D$9&lt;20/24)</formula>
    </cfRule>
    <cfRule type="expression" dxfId="3175" priority="98">
      <formula>AND(D$9&gt;=8/24,D$9&lt;14/24)</formula>
    </cfRule>
    <cfRule type="expression" dxfId="3174" priority="99">
      <formula>D$9&lt;8/24</formula>
    </cfRule>
  </conditionalFormatting>
  <conditionalFormatting sqref="B83:K86">
    <cfRule type="expression" dxfId="3173" priority="92">
      <formula>B$9&gt;=20/24</formula>
    </cfRule>
    <cfRule type="expression" dxfId="3172" priority="93">
      <formula>AND(B$9&gt;=14/24,B$9&lt;20/24)</formula>
    </cfRule>
    <cfRule type="expression" dxfId="3171" priority="94">
      <formula>AND(B$9&gt;=8/24,B$9&lt;14/24)</formula>
    </cfRule>
    <cfRule type="expression" dxfId="3170" priority="95">
      <formula>B$9&lt;8/24</formula>
    </cfRule>
  </conditionalFormatting>
  <conditionalFormatting sqref="L83:Q86">
    <cfRule type="expression" dxfId="3169" priority="88">
      <formula>L$9&gt;=20/24</formula>
    </cfRule>
    <cfRule type="expression" dxfId="3168" priority="89">
      <formula>AND(L$9&gt;=14/24,L$9&lt;20/24)</formula>
    </cfRule>
    <cfRule type="expression" dxfId="3167" priority="90">
      <formula>AND(L$9&gt;=8/24,L$9&lt;14/24)</formula>
    </cfRule>
    <cfRule type="expression" dxfId="3166" priority="91">
      <formula>L$9&lt;8/24</formula>
    </cfRule>
  </conditionalFormatting>
  <conditionalFormatting sqref="R83:Z87 AA86:AB87">
    <cfRule type="expression" dxfId="3165" priority="84">
      <formula>R$9&gt;=20/24</formula>
    </cfRule>
    <cfRule type="expression" dxfId="3164" priority="85">
      <formula>AND(R$9&gt;=14/24,R$9&lt;20/24)</formula>
    </cfRule>
    <cfRule type="expression" dxfId="3163" priority="86">
      <formula>AND(R$9&gt;=8/24,R$9&lt;14/24)</formula>
    </cfRule>
    <cfRule type="expression" dxfId="3162" priority="87">
      <formula>R$9&lt;8/24</formula>
    </cfRule>
  </conditionalFormatting>
  <conditionalFormatting sqref="AG42 B11:AF47">
    <cfRule type="expression" dxfId="3161" priority="83">
      <formula>B11&gt;$AG11</formula>
    </cfRule>
  </conditionalFormatting>
  <conditionalFormatting sqref="T192:AX192">
    <cfRule type="expression" dxfId="3160" priority="79">
      <formula>T$9&gt;=20/24</formula>
    </cfRule>
    <cfRule type="expression" dxfId="3159" priority="80">
      <formula>AND(T$9&gt;=14/24,T$9&lt;20/24)</formula>
    </cfRule>
    <cfRule type="expression" dxfId="3158" priority="81">
      <formula>AND(T$9&gt;=8/24,T$9&lt;14/24)</formula>
    </cfRule>
    <cfRule type="expression" dxfId="3157" priority="82">
      <formula>T$9&lt;8/24</formula>
    </cfRule>
  </conditionalFormatting>
  <conditionalFormatting sqref="A11:A86 A88:A180">
    <cfRule type="expression" dxfId="3156" priority="78">
      <formula>$AH11=0</formula>
    </cfRule>
  </conditionalFormatting>
  <conditionalFormatting sqref="B87:K87">
    <cfRule type="expression" dxfId="3155" priority="70">
      <formula>B$9&gt;=20/24</formula>
    </cfRule>
    <cfRule type="expression" dxfId="3154" priority="71">
      <formula>AND(B$9&gt;=14/24,B$9&lt;20/24)</formula>
    </cfRule>
    <cfRule type="expression" dxfId="3153" priority="72">
      <formula>AND(B$9&gt;=8/24,B$9&lt;14/24)</formula>
    </cfRule>
    <cfRule type="expression" dxfId="3152" priority="73">
      <formula>B$9&lt;8/24</formula>
    </cfRule>
  </conditionalFormatting>
  <conditionalFormatting sqref="L87:Q87">
    <cfRule type="expression" dxfId="3151" priority="66">
      <formula>L$9&gt;=20/24</formula>
    </cfRule>
    <cfRule type="expression" dxfId="3150" priority="67">
      <formula>AND(L$9&gt;=14/24,L$9&lt;20/24)</formula>
    </cfRule>
    <cfRule type="expression" dxfId="3149" priority="68">
      <formula>AND(L$9&gt;=8/24,L$9&lt;14/24)</formula>
    </cfRule>
    <cfRule type="expression" dxfId="3148" priority="69">
      <formula>L$9&lt;8/24</formula>
    </cfRule>
  </conditionalFormatting>
  <conditionalFormatting sqref="A87">
    <cfRule type="expression" dxfId="3147" priority="61">
      <formula>$AH87=0</formula>
    </cfRule>
  </conditionalFormatting>
  <conditionalFormatting sqref="B28:AF28">
    <cfRule type="expression" dxfId="3146" priority="57">
      <formula>B$9&gt;=20/24</formula>
    </cfRule>
    <cfRule type="expression" dxfId="3145" priority="58">
      <formula>AND(B$9&gt;=14/24,B$9&lt;20/24)</formula>
    </cfRule>
    <cfRule type="expression" dxfId="3144" priority="59">
      <formula>AND(B$9&gt;=8/24,B$9&lt;14/24)</formula>
    </cfRule>
    <cfRule type="expression" dxfId="3143" priority="60">
      <formula>B$9&lt;8/24</formula>
    </cfRule>
  </conditionalFormatting>
  <conditionalFormatting sqref="R28:AA28">
    <cfRule type="expression" dxfId="3142" priority="53">
      <formula>R$9&gt;=20/24</formula>
    </cfRule>
    <cfRule type="expression" dxfId="3141" priority="54">
      <formula>AND(R$9&gt;=14/24,R$9&lt;20/24)</formula>
    </cfRule>
    <cfRule type="expression" dxfId="3140" priority="55">
      <formula>AND(R$9&gt;=8/24,R$9&lt;14/24)</formula>
    </cfRule>
    <cfRule type="expression" dxfId="3139" priority="56">
      <formula>R$9&lt;8/24</formula>
    </cfRule>
  </conditionalFormatting>
  <conditionalFormatting sqref="AA20:AA27 AB20">
    <cfRule type="expression" dxfId="3138" priority="49">
      <formula>AA$9&gt;=20/24</formula>
    </cfRule>
    <cfRule type="expression" dxfId="3137" priority="50">
      <formula>AND(AA$9&gt;=14/24,AA$9&lt;20/24)</formula>
    </cfRule>
    <cfRule type="expression" dxfId="3136" priority="51">
      <formula>AND(AA$9&gt;=8/24,AA$9&lt;14/24)</formula>
    </cfRule>
    <cfRule type="expression" dxfId="3135" priority="52">
      <formula>AA$9&lt;8/24</formula>
    </cfRule>
  </conditionalFormatting>
  <conditionalFormatting sqref="AA51:AB58">
    <cfRule type="expression" dxfId="3134" priority="45">
      <formula>AA$9&gt;=20/24</formula>
    </cfRule>
    <cfRule type="expression" dxfId="3133" priority="46">
      <formula>AND(AA$9&gt;=14/24,AA$9&lt;20/24)</formula>
    </cfRule>
    <cfRule type="expression" dxfId="3132" priority="47">
      <formula>AND(AA$9&gt;=8/24,AA$9&lt;14/24)</formula>
    </cfRule>
    <cfRule type="expression" dxfId="3131" priority="48">
      <formula>AA$9&lt;8/24</formula>
    </cfRule>
  </conditionalFormatting>
  <conditionalFormatting sqref="AC20:AC27 AB21:AB27">
    <cfRule type="expression" dxfId="3130" priority="41">
      <formula>AB$9&gt;=20/24</formula>
    </cfRule>
    <cfRule type="expression" dxfId="3129" priority="42">
      <formula>AND(AB$9&gt;=14/24,AB$9&lt;20/24)</formula>
    </cfRule>
    <cfRule type="expression" dxfId="3128" priority="43">
      <formula>AND(AB$9&gt;=8/24,AB$9&lt;14/24)</formula>
    </cfRule>
    <cfRule type="expression" dxfId="3127" priority="44">
      <formula>AB$9&lt;8/24</formula>
    </cfRule>
  </conditionalFormatting>
  <conditionalFormatting sqref="AC86:AF87">
    <cfRule type="expression" dxfId="3126" priority="37">
      <formula>AC$9&gt;=20/24</formula>
    </cfRule>
    <cfRule type="expression" dxfId="3125" priority="38">
      <formula>AND(AC$9&gt;=14/24,AC$9&lt;20/24)</formula>
    </cfRule>
    <cfRule type="expression" dxfId="3124" priority="39">
      <formula>AND(AC$9&gt;=8/24,AC$9&lt;14/24)</formula>
    </cfRule>
    <cfRule type="expression" dxfId="3123" priority="40">
      <formula>AC$9&lt;8/24</formula>
    </cfRule>
  </conditionalFormatting>
  <conditionalFormatting sqref="AD20:AD27">
    <cfRule type="expression" dxfId="3122" priority="33">
      <formula>AD$9&gt;=20/24</formula>
    </cfRule>
    <cfRule type="expression" dxfId="3121" priority="34">
      <formula>AND(AD$9&gt;=14/24,AD$9&lt;20/24)</formula>
    </cfRule>
    <cfRule type="expression" dxfId="3120" priority="35">
      <formula>AND(AD$9&gt;=8/24,AD$9&lt;14/24)</formula>
    </cfRule>
    <cfRule type="expression" dxfId="3119" priority="36">
      <formula>AD$9&lt;8/24</formula>
    </cfRule>
  </conditionalFormatting>
  <conditionalFormatting sqref="AD51">
    <cfRule type="expression" dxfId="3118" priority="29">
      <formula>AD$9&gt;=20/24</formula>
    </cfRule>
    <cfRule type="expression" dxfId="3117" priority="30">
      <formula>AND(AD$9&gt;=14/24,AD$9&lt;20/24)</formula>
    </cfRule>
    <cfRule type="expression" dxfId="3116" priority="31">
      <formula>AND(AD$9&gt;=8/24,AD$9&lt;14/24)</formula>
    </cfRule>
    <cfRule type="expression" dxfId="3115" priority="32">
      <formula>AD$9&lt;8/24</formula>
    </cfRule>
  </conditionalFormatting>
  <conditionalFormatting sqref="AD52:AD58">
    <cfRule type="expression" dxfId="3114" priority="25">
      <formula>AD$9&gt;=20/24</formula>
    </cfRule>
    <cfRule type="expression" dxfId="3113" priority="26">
      <formula>AND(AD$9&gt;=14/24,AD$9&lt;20/24)</formula>
    </cfRule>
    <cfRule type="expression" dxfId="3112" priority="27">
      <formula>AND(AD$9&gt;=8/24,AD$9&lt;14/24)</formula>
    </cfRule>
    <cfRule type="expression" dxfId="3111" priority="28">
      <formula>AD$9&lt;8/24</formula>
    </cfRule>
  </conditionalFormatting>
  <conditionalFormatting sqref="AE20:AE27">
    <cfRule type="expression" dxfId="3110" priority="21">
      <formula>AE$9&gt;=20/24</formula>
    </cfRule>
    <cfRule type="expression" dxfId="3109" priority="22">
      <formula>AND(AE$9&gt;=14/24,AE$9&lt;20/24)</formula>
    </cfRule>
    <cfRule type="expression" dxfId="3108" priority="23">
      <formula>AND(AE$9&gt;=8/24,AE$9&lt;14/24)</formula>
    </cfRule>
    <cfRule type="expression" dxfId="3107" priority="24">
      <formula>AE$9&lt;8/24</formula>
    </cfRule>
  </conditionalFormatting>
  <conditionalFormatting sqref="AE51">
    <cfRule type="expression" dxfId="3106" priority="17">
      <formula>AE$9&gt;=20/24</formula>
    </cfRule>
    <cfRule type="expression" dxfId="3105" priority="18">
      <formula>AND(AE$9&gt;=14/24,AE$9&lt;20/24)</formula>
    </cfRule>
    <cfRule type="expression" dxfId="3104" priority="19">
      <formula>AND(AE$9&gt;=8/24,AE$9&lt;14/24)</formula>
    </cfRule>
    <cfRule type="expression" dxfId="3103" priority="20">
      <formula>AE$9&lt;8/24</formula>
    </cfRule>
  </conditionalFormatting>
  <conditionalFormatting sqref="AE52:AE58">
    <cfRule type="expression" dxfId="3102" priority="13">
      <formula>AE$9&gt;=20/24</formula>
    </cfRule>
    <cfRule type="expression" dxfId="3101" priority="14">
      <formula>AND(AE$9&gt;=14/24,AE$9&lt;20/24)</formula>
    </cfRule>
    <cfRule type="expression" dxfId="3100" priority="15">
      <formula>AND(AE$9&gt;=8/24,AE$9&lt;14/24)</formula>
    </cfRule>
    <cfRule type="expression" dxfId="3099" priority="16">
      <formula>AE$9&lt;8/24</formula>
    </cfRule>
  </conditionalFormatting>
  <conditionalFormatting sqref="AF20:AF27">
    <cfRule type="expression" dxfId="3098" priority="9">
      <formula>AF$9&gt;=20/24</formula>
    </cfRule>
    <cfRule type="expression" dxfId="3097" priority="10">
      <formula>AND(AF$9&gt;=14/24,AF$9&lt;20/24)</formula>
    </cfRule>
    <cfRule type="expression" dxfId="3096" priority="11">
      <formula>AND(AF$9&gt;=8/24,AF$9&lt;14/24)</formula>
    </cfRule>
    <cfRule type="expression" dxfId="3095" priority="12">
      <formula>AF$9&lt;8/24</formula>
    </cfRule>
  </conditionalFormatting>
  <conditionalFormatting sqref="AF51">
    <cfRule type="expression" dxfId="3094" priority="5">
      <formula>AF$9&gt;=20/24</formula>
    </cfRule>
    <cfRule type="expression" dxfId="3093" priority="6">
      <formula>AND(AF$9&gt;=14/24,AF$9&lt;20/24)</formula>
    </cfRule>
    <cfRule type="expression" dxfId="3092" priority="7">
      <formula>AND(AF$9&gt;=8/24,AF$9&lt;14/24)</formula>
    </cfRule>
    <cfRule type="expression" dxfId="3091" priority="8">
      <formula>AF$9&lt;8/24</formula>
    </cfRule>
  </conditionalFormatting>
  <conditionalFormatting sqref="AF52:AF58">
    <cfRule type="expression" dxfId="3090" priority="1">
      <formula>AF$9&gt;=20/24</formula>
    </cfRule>
    <cfRule type="expression" dxfId="3089" priority="2">
      <formula>AND(AF$9&gt;=14/24,AF$9&lt;20/24)</formula>
    </cfRule>
    <cfRule type="expression" dxfId="3088" priority="3">
      <formula>AND(AF$9&gt;=8/24,AF$9&lt;14/24)</formula>
    </cfRule>
    <cfRule type="expression" dxfId="3087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56" sqref="A5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16</v>
      </c>
      <c r="D4" s="324">
        <f ca="1">IFERROR(DATE(2021,5,14)+C4,"")</f>
        <v>44346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59.16</v>
      </c>
      <c r="C5" s="32">
        <f t="shared" ref="C5:AF5" si="0">C59</f>
        <v>35</v>
      </c>
      <c r="D5" s="32">
        <f t="shared" si="0"/>
        <v>27.18</v>
      </c>
      <c r="E5" s="32">
        <f t="shared" si="0"/>
        <v>0.78000000000000114</v>
      </c>
      <c r="F5" s="32">
        <f t="shared" si="0"/>
        <v>2.4499999999999993</v>
      </c>
      <c r="G5" s="32">
        <f t="shared" si="0"/>
        <v>9</v>
      </c>
      <c r="H5" s="32">
        <f t="shared" si="0"/>
        <v>17.940000000000001</v>
      </c>
      <c r="I5" s="32">
        <f t="shared" si="0"/>
        <v>45</v>
      </c>
      <c r="J5" s="32">
        <f t="shared" si="0"/>
        <v>42</v>
      </c>
      <c r="K5" s="32">
        <f t="shared" si="0"/>
        <v>87</v>
      </c>
      <c r="L5" s="32">
        <f t="shared" si="0"/>
        <v>89.6</v>
      </c>
      <c r="M5" s="32">
        <f t="shared" si="0"/>
        <v>64.900000000000006</v>
      </c>
      <c r="N5" s="32">
        <f t="shared" si="0"/>
        <v>64</v>
      </c>
      <c r="O5" s="32">
        <f t="shared" si="0"/>
        <v>79.38</v>
      </c>
      <c r="P5" s="32">
        <f t="shared" si="0"/>
        <v>72.25</v>
      </c>
      <c r="Q5" s="32">
        <f t="shared" si="0"/>
        <v>69.25</v>
      </c>
      <c r="R5" s="32">
        <f t="shared" si="0"/>
        <v>113</v>
      </c>
      <c r="S5" s="32">
        <f t="shared" si="0"/>
        <v>114.6</v>
      </c>
      <c r="T5" s="32">
        <f t="shared" si="0"/>
        <v>97</v>
      </c>
      <c r="U5" s="32">
        <f t="shared" si="0"/>
        <v>99.66</v>
      </c>
      <c r="V5" s="32">
        <f t="shared" si="0"/>
        <v>100.6</v>
      </c>
      <c r="W5" s="32">
        <f t="shared" si="0"/>
        <v>95</v>
      </c>
      <c r="X5" s="32">
        <f t="shared" si="0"/>
        <v>126</v>
      </c>
      <c r="Y5" s="32">
        <f t="shared" si="0"/>
        <v>158.6</v>
      </c>
      <c r="Z5" s="32">
        <f t="shared" si="0"/>
        <v>277</v>
      </c>
      <c r="AA5" s="32">
        <f t="shared" si="0"/>
        <v>272.89999999999998</v>
      </c>
      <c r="AB5" s="32">
        <f t="shared" si="0"/>
        <v>245.2</v>
      </c>
      <c r="AC5" s="32">
        <f t="shared" si="0"/>
        <v>230.4</v>
      </c>
      <c r="AD5" s="32">
        <f t="shared" si="0"/>
        <v>204.1</v>
      </c>
      <c r="AE5" s="32">
        <f t="shared" si="0"/>
        <v>190.47</v>
      </c>
      <c r="AF5" s="32">
        <f t="shared" si="0"/>
        <v>111.55000000000001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823MW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Load=644</v>
      </c>
      <c r="B7" s="36">
        <f t="shared" ref="B7:AF7" si="1">B65</f>
        <v>698.09999999999991</v>
      </c>
      <c r="C7" s="36">
        <f t="shared" si="1"/>
        <v>683.33999999999992</v>
      </c>
      <c r="D7" s="36">
        <f t="shared" si="1"/>
        <v>670.81999999999994</v>
      </c>
      <c r="E7" s="36">
        <f t="shared" si="1"/>
        <v>643.52</v>
      </c>
      <c r="F7" s="36">
        <f t="shared" si="1"/>
        <v>644.79</v>
      </c>
      <c r="G7" s="36">
        <f t="shared" si="1"/>
        <v>650.93999999999994</v>
      </c>
      <c r="H7" s="36">
        <f t="shared" si="1"/>
        <v>669.28</v>
      </c>
      <c r="I7" s="36">
        <f t="shared" si="1"/>
        <v>713.24</v>
      </c>
      <c r="J7" s="36">
        <f t="shared" si="1"/>
        <v>735.43999999999994</v>
      </c>
      <c r="K7" s="36">
        <f t="shared" si="1"/>
        <v>778.33999999999992</v>
      </c>
      <c r="L7" s="36">
        <f>L65</f>
        <v>813.14</v>
      </c>
      <c r="M7" s="36">
        <f t="shared" si="1"/>
        <v>823.44</v>
      </c>
      <c r="N7" s="36">
        <f t="shared" si="1"/>
        <v>825.94</v>
      </c>
      <c r="O7" s="36">
        <f t="shared" si="1"/>
        <v>845.72</v>
      </c>
      <c r="P7" s="36">
        <f t="shared" si="1"/>
        <v>843.99</v>
      </c>
      <c r="Q7" s="36">
        <f t="shared" si="1"/>
        <v>876.19</v>
      </c>
      <c r="R7" s="36">
        <f t="shared" si="1"/>
        <v>920.24</v>
      </c>
      <c r="S7" s="36">
        <f t="shared" si="1"/>
        <v>905.33999999999992</v>
      </c>
      <c r="T7" s="36">
        <f t="shared" si="1"/>
        <v>905.44</v>
      </c>
      <c r="U7" s="36">
        <f t="shared" si="1"/>
        <v>888.50000000000011</v>
      </c>
      <c r="V7" s="36">
        <f t="shared" si="1"/>
        <v>862.44</v>
      </c>
      <c r="W7" s="36">
        <f t="shared" si="1"/>
        <v>856.84000000000015</v>
      </c>
      <c r="X7" s="36">
        <f t="shared" si="1"/>
        <v>896.94</v>
      </c>
      <c r="Y7" s="36">
        <f t="shared" si="1"/>
        <v>967.74000000000012</v>
      </c>
      <c r="Z7" s="36">
        <f t="shared" si="1"/>
        <v>1193.94</v>
      </c>
      <c r="AA7" s="36">
        <f t="shared" si="1"/>
        <v>1172.3399999999999</v>
      </c>
      <c r="AB7" s="36">
        <f t="shared" si="1"/>
        <v>1116.94</v>
      </c>
      <c r="AC7" s="36">
        <f t="shared" si="1"/>
        <v>1101.24</v>
      </c>
      <c r="AD7" s="36">
        <f t="shared" si="1"/>
        <v>1050.94</v>
      </c>
      <c r="AE7" s="36">
        <f t="shared" si="1"/>
        <v>1011.21</v>
      </c>
      <c r="AF7" s="36">
        <f t="shared" si="1"/>
        <v>956.89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50</v>
      </c>
      <c r="C11" s="48">
        <v>50</v>
      </c>
      <c r="D11" s="48">
        <v>50</v>
      </c>
      <c r="E11" s="48">
        <v>50</v>
      </c>
      <c r="F11" s="48">
        <v>50</v>
      </c>
      <c r="G11" s="48">
        <v>50</v>
      </c>
      <c r="H11" s="48">
        <v>50</v>
      </c>
      <c r="I11" s="48">
        <v>50</v>
      </c>
      <c r="J11" s="48">
        <v>50</v>
      </c>
      <c r="K11" s="48">
        <v>50</v>
      </c>
      <c r="L11" s="49">
        <v>50</v>
      </c>
      <c r="M11" s="49">
        <v>50</v>
      </c>
      <c r="N11" s="49">
        <v>50</v>
      </c>
      <c r="O11" s="49">
        <v>50</v>
      </c>
      <c r="P11" s="49">
        <v>50</v>
      </c>
      <c r="Q11" s="49">
        <v>50</v>
      </c>
      <c r="R11" s="49">
        <v>50</v>
      </c>
      <c r="S11" s="49">
        <v>50</v>
      </c>
      <c r="T11" s="49">
        <v>50</v>
      </c>
      <c r="U11" s="49">
        <v>40</v>
      </c>
      <c r="V11" s="49">
        <v>40</v>
      </c>
      <c r="W11" s="49">
        <v>40</v>
      </c>
      <c r="X11" s="49">
        <v>40</v>
      </c>
      <c r="Y11" s="49">
        <v>40</v>
      </c>
      <c r="Z11" s="49">
        <v>40</v>
      </c>
      <c r="AA11" s="49">
        <v>48</v>
      </c>
      <c r="AB11" s="48">
        <v>49</v>
      </c>
      <c r="AC11" s="48">
        <v>49</v>
      </c>
      <c r="AD11" s="48">
        <v>49</v>
      </c>
      <c r="AE11" s="48">
        <v>55</v>
      </c>
      <c r="AF11" s="48">
        <v>55</v>
      </c>
      <c r="AG11" s="51">
        <v>60</v>
      </c>
      <c r="AH11" s="52">
        <f>MAX(B11:AF11)</f>
        <v>55</v>
      </c>
      <c r="AI11" s="53">
        <f>MIN(B11:AF11)</f>
        <v>40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50.7</v>
      </c>
      <c r="C12" s="56">
        <v>50.9</v>
      </c>
      <c r="D12" s="56">
        <v>50.6</v>
      </c>
      <c r="E12" s="56">
        <v>50.7</v>
      </c>
      <c r="F12" s="56">
        <v>50.8</v>
      </c>
      <c r="G12" s="56">
        <v>50.8</v>
      </c>
      <c r="H12" s="56">
        <v>50.7</v>
      </c>
      <c r="I12" s="56">
        <v>50.9</v>
      </c>
      <c r="J12" s="56">
        <v>50.8</v>
      </c>
      <c r="K12" s="56">
        <v>50.9</v>
      </c>
      <c r="L12" s="49">
        <v>51</v>
      </c>
      <c r="M12" s="49">
        <v>51</v>
      </c>
      <c r="N12" s="49">
        <v>50.9</v>
      </c>
      <c r="O12" s="49">
        <v>50.5</v>
      </c>
      <c r="P12" s="49">
        <v>50.6</v>
      </c>
      <c r="Q12" s="49">
        <v>50.6</v>
      </c>
      <c r="R12" s="49">
        <v>50.6</v>
      </c>
      <c r="S12" s="49">
        <v>50.6</v>
      </c>
      <c r="T12" s="49">
        <v>50.6</v>
      </c>
      <c r="U12" s="49">
        <v>50.4</v>
      </c>
      <c r="V12" s="49">
        <v>50.4</v>
      </c>
      <c r="W12" s="49">
        <v>50.4</v>
      </c>
      <c r="X12" s="49">
        <v>50.4</v>
      </c>
      <c r="Y12" s="49">
        <v>50.4</v>
      </c>
      <c r="Z12" s="49">
        <v>50.4</v>
      </c>
      <c r="AA12" s="49">
        <v>50.5</v>
      </c>
      <c r="AB12" s="56">
        <v>50</v>
      </c>
      <c r="AC12" s="56">
        <v>50.6</v>
      </c>
      <c r="AD12" s="56">
        <v>50.5</v>
      </c>
      <c r="AE12" s="56">
        <v>50.6</v>
      </c>
      <c r="AF12" s="56">
        <v>50.5</v>
      </c>
      <c r="AG12" s="57">
        <v>50</v>
      </c>
      <c r="AH12" s="52">
        <f t="shared" ref="AH12:AH77" si="2">MAX(B12:AF12)</f>
        <v>51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43.4</v>
      </c>
      <c r="C13" s="56">
        <v>43.5</v>
      </c>
      <c r="D13" s="56">
        <v>43.4</v>
      </c>
      <c r="E13" s="56">
        <v>43.4</v>
      </c>
      <c r="F13" s="56">
        <v>43.4</v>
      </c>
      <c r="G13" s="56">
        <v>43.4</v>
      </c>
      <c r="H13" s="56">
        <v>43.4</v>
      </c>
      <c r="I13" s="56">
        <v>43.5</v>
      </c>
      <c r="J13" s="56">
        <v>43.5</v>
      </c>
      <c r="K13" s="56">
        <v>43.6</v>
      </c>
      <c r="L13" s="49">
        <v>42.9</v>
      </c>
      <c r="M13" s="49">
        <v>42.9</v>
      </c>
      <c r="N13" s="49">
        <v>43.4</v>
      </c>
      <c r="O13" s="49">
        <v>43.5</v>
      </c>
      <c r="P13" s="49">
        <v>43.4</v>
      </c>
      <c r="Q13" s="49">
        <v>43.3</v>
      </c>
      <c r="R13" s="49">
        <v>43.4</v>
      </c>
      <c r="S13" s="49">
        <v>43.4</v>
      </c>
      <c r="T13" s="49">
        <v>43.4</v>
      </c>
      <c r="U13" s="49">
        <v>43.4</v>
      </c>
      <c r="V13" s="49">
        <v>43.4</v>
      </c>
      <c r="W13" s="49">
        <v>43.4</v>
      </c>
      <c r="X13" s="49">
        <v>43.4</v>
      </c>
      <c r="Y13" s="49">
        <v>43.4</v>
      </c>
      <c r="Z13" s="49">
        <v>43.4</v>
      </c>
      <c r="AA13" s="49">
        <v>43.5</v>
      </c>
      <c r="AB13" s="56">
        <v>43.2</v>
      </c>
      <c r="AC13" s="56">
        <v>43.3</v>
      </c>
      <c r="AD13" s="56">
        <v>43.4</v>
      </c>
      <c r="AE13" s="56">
        <v>43.3</v>
      </c>
      <c r="AF13" s="56">
        <v>43.4</v>
      </c>
      <c r="AG13" s="59">
        <v>45</v>
      </c>
      <c r="AH13" s="52">
        <f t="shared" si="2"/>
        <v>43.6</v>
      </c>
      <c r="AI13" s="53">
        <f t="shared" si="3"/>
        <v>42.9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16</v>
      </c>
      <c r="K14" s="56">
        <v>16</v>
      </c>
      <c r="L14" s="49">
        <v>16</v>
      </c>
      <c r="M14" s="49">
        <v>16</v>
      </c>
      <c r="N14" s="49">
        <v>16</v>
      </c>
      <c r="O14" s="49">
        <v>16</v>
      </c>
      <c r="P14" s="49">
        <v>16</v>
      </c>
      <c r="Q14" s="49">
        <v>16</v>
      </c>
      <c r="R14" s="49">
        <v>16</v>
      </c>
      <c r="S14" s="49">
        <v>16</v>
      </c>
      <c r="T14" s="49">
        <v>16</v>
      </c>
      <c r="U14" s="49">
        <v>16</v>
      </c>
      <c r="V14" s="49">
        <v>16</v>
      </c>
      <c r="W14" s="49">
        <v>16</v>
      </c>
      <c r="X14" s="49">
        <v>16</v>
      </c>
      <c r="Y14" s="49">
        <v>16</v>
      </c>
      <c r="Z14" s="49">
        <v>22</v>
      </c>
      <c r="AA14" s="49">
        <v>22</v>
      </c>
      <c r="AB14" s="56">
        <v>22</v>
      </c>
      <c r="AC14" s="56">
        <v>22</v>
      </c>
      <c r="AD14" s="56">
        <v>22</v>
      </c>
      <c r="AE14" s="56">
        <v>22</v>
      </c>
      <c r="AF14" s="56">
        <v>22</v>
      </c>
      <c r="AG14" s="59">
        <v>25</v>
      </c>
      <c r="AH14" s="52">
        <f t="shared" si="2"/>
        <v>22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</v>
      </c>
      <c r="C15" s="56">
        <v>25</v>
      </c>
      <c r="D15" s="56">
        <v>25</v>
      </c>
      <c r="E15" s="56">
        <v>25.2</v>
      </c>
      <c r="F15" s="56">
        <v>25</v>
      </c>
      <c r="G15" s="56">
        <v>22.4</v>
      </c>
      <c r="H15" s="56">
        <v>22.4</v>
      </c>
      <c r="I15" s="56">
        <v>24</v>
      </c>
      <c r="J15" s="56">
        <v>22.9</v>
      </c>
      <c r="K15" s="56">
        <v>21</v>
      </c>
      <c r="L15" s="49">
        <v>21.2</v>
      </c>
      <c r="M15" s="49">
        <v>21.2</v>
      </c>
      <c r="N15" s="49">
        <v>21.2</v>
      </c>
      <c r="O15" s="49">
        <v>21.3</v>
      </c>
      <c r="P15" s="49">
        <v>23.9</v>
      </c>
      <c r="Q15" s="49">
        <v>21.4</v>
      </c>
      <c r="R15" s="49">
        <v>22</v>
      </c>
      <c r="S15" s="49">
        <v>22</v>
      </c>
      <c r="T15" s="49">
        <v>22</v>
      </c>
      <c r="U15" s="49">
        <v>26.1</v>
      </c>
      <c r="V15" s="49">
        <v>26.1</v>
      </c>
      <c r="W15" s="49">
        <v>26.1</v>
      </c>
      <c r="X15" s="49">
        <v>26.1</v>
      </c>
      <c r="Y15" s="49">
        <v>26.1</v>
      </c>
      <c r="Z15" s="49">
        <v>26.2</v>
      </c>
      <c r="AA15" s="49">
        <v>26.4</v>
      </c>
      <c r="AB15" s="56">
        <v>26.2</v>
      </c>
      <c r="AC15" s="56">
        <v>26.3</v>
      </c>
      <c r="AD15" s="56">
        <v>26.1</v>
      </c>
      <c r="AE15" s="56">
        <v>26.3</v>
      </c>
      <c r="AF15" s="56">
        <v>26</v>
      </c>
      <c r="AG15" s="59">
        <v>25</v>
      </c>
      <c r="AH15" s="52">
        <f t="shared" si="2"/>
        <v>26.4</v>
      </c>
      <c r="AI15" s="53">
        <f t="shared" si="3"/>
        <v>21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25.3</v>
      </c>
      <c r="C17" s="56">
        <v>25.6</v>
      </c>
      <c r="D17" s="56">
        <v>25.4</v>
      </c>
      <c r="E17" s="56">
        <v>25.3</v>
      </c>
      <c r="F17" s="56">
        <v>25.3</v>
      </c>
      <c r="G17" s="56">
        <v>25.5</v>
      </c>
      <c r="H17" s="56">
        <v>25.5</v>
      </c>
      <c r="I17" s="56">
        <v>25.4</v>
      </c>
      <c r="J17" s="56">
        <v>25.3</v>
      </c>
      <c r="K17" s="56">
        <v>25.2</v>
      </c>
      <c r="L17" s="49">
        <v>25.2</v>
      </c>
      <c r="M17" s="49">
        <v>25.2</v>
      </c>
      <c r="N17" s="49">
        <v>25</v>
      </c>
      <c r="O17" s="49">
        <v>25.4</v>
      </c>
      <c r="P17" s="49">
        <v>25.5</v>
      </c>
      <c r="Q17" s="49">
        <v>25.4</v>
      </c>
      <c r="R17" s="49">
        <v>22.5</v>
      </c>
      <c r="S17" s="49">
        <v>22.5</v>
      </c>
      <c r="T17" s="49">
        <v>22.5</v>
      </c>
      <c r="U17" s="49">
        <v>22.5</v>
      </c>
      <c r="V17" s="49">
        <v>22.5</v>
      </c>
      <c r="W17" s="49">
        <v>22.5</v>
      </c>
      <c r="X17" s="49">
        <v>22.5</v>
      </c>
      <c r="Y17" s="49">
        <v>22.5</v>
      </c>
      <c r="Z17" s="49">
        <v>25.5</v>
      </c>
      <c r="AA17" s="49">
        <v>22.5</v>
      </c>
      <c r="AB17" s="49">
        <v>22</v>
      </c>
      <c r="AC17" s="49">
        <v>22</v>
      </c>
      <c r="AD17" s="49">
        <v>22</v>
      </c>
      <c r="AE17" s="49">
        <v>22</v>
      </c>
      <c r="AF17" s="49">
        <v>22</v>
      </c>
      <c r="AG17" s="59">
        <v>22.1</v>
      </c>
      <c r="AH17" s="52">
        <f t="shared" si="2"/>
        <v>25.6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21</v>
      </c>
      <c r="AA18" s="49">
        <v>9.5</v>
      </c>
      <c r="AB18" s="49">
        <v>10</v>
      </c>
      <c r="AC18" s="49">
        <v>9.5</v>
      </c>
      <c r="AD18" s="49">
        <v>9.5</v>
      </c>
      <c r="AE18" s="49">
        <v>9</v>
      </c>
      <c r="AF18" s="49">
        <v>9</v>
      </c>
      <c r="AG18" s="59">
        <v>22.1</v>
      </c>
      <c r="AH18" s="52">
        <f t="shared" si="2"/>
        <v>21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27.2</v>
      </c>
      <c r="C19" s="56">
        <v>27.2</v>
      </c>
      <c r="D19" s="56">
        <v>27.2</v>
      </c>
      <c r="E19" s="56">
        <v>27.2</v>
      </c>
      <c r="F19" s="56">
        <v>26.5</v>
      </c>
      <c r="G19" s="56">
        <v>26.5</v>
      </c>
      <c r="H19" s="56">
        <v>26.3</v>
      </c>
      <c r="I19" s="56">
        <v>25.6</v>
      </c>
      <c r="J19" s="56">
        <v>24.9</v>
      </c>
      <c r="K19" s="56">
        <v>26</v>
      </c>
      <c r="L19" s="49">
        <v>26</v>
      </c>
      <c r="M19" s="49">
        <v>26</v>
      </c>
      <c r="N19" s="49">
        <v>24</v>
      </c>
      <c r="O19" s="49">
        <v>23.7</v>
      </c>
      <c r="P19" s="49">
        <v>23.1</v>
      </c>
      <c r="Q19" s="49">
        <v>23.7</v>
      </c>
      <c r="R19" s="49">
        <v>23.3</v>
      </c>
      <c r="S19" s="49">
        <v>23.6</v>
      </c>
      <c r="T19" s="49">
        <v>23.6</v>
      </c>
      <c r="U19" s="49">
        <v>23</v>
      </c>
      <c r="V19" s="49">
        <v>23</v>
      </c>
      <c r="W19" s="49">
        <v>23</v>
      </c>
      <c r="X19" s="49">
        <v>23</v>
      </c>
      <c r="Y19" s="49">
        <v>23</v>
      </c>
      <c r="Z19" s="49">
        <v>22.5</v>
      </c>
      <c r="AA19" s="49">
        <v>22</v>
      </c>
      <c r="AB19" s="49">
        <v>22</v>
      </c>
      <c r="AC19" s="49">
        <v>22</v>
      </c>
      <c r="AD19" s="49">
        <v>22</v>
      </c>
      <c r="AE19" s="49">
        <v>22</v>
      </c>
      <c r="AF19" s="49">
        <v>20</v>
      </c>
      <c r="AG19" s="59">
        <v>22</v>
      </c>
      <c r="AH19" s="52">
        <f t="shared" si="2"/>
        <v>27.2</v>
      </c>
      <c r="AI19" s="53">
        <f t="shared" si="3"/>
        <v>20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56">
        <v>7</v>
      </c>
      <c r="M20" s="56">
        <v>7</v>
      </c>
      <c r="N20" s="56">
        <v>7</v>
      </c>
      <c r="O20" s="56">
        <v>7</v>
      </c>
      <c r="P20" s="56">
        <v>7</v>
      </c>
      <c r="Q20" s="56">
        <v>7</v>
      </c>
      <c r="R20" s="56">
        <v>7</v>
      </c>
      <c r="S20" s="56">
        <v>7</v>
      </c>
      <c r="T20" s="56">
        <v>7</v>
      </c>
      <c r="U20" s="56">
        <v>7</v>
      </c>
      <c r="V20" s="56">
        <v>7</v>
      </c>
      <c r="W20" s="56">
        <v>7</v>
      </c>
      <c r="X20" s="56">
        <v>7</v>
      </c>
      <c r="Y20" s="56">
        <v>7</v>
      </c>
      <c r="Z20" s="56">
        <v>22</v>
      </c>
      <c r="AA20" s="56">
        <v>13</v>
      </c>
      <c r="AB20" s="56">
        <v>13</v>
      </c>
      <c r="AC20" s="49">
        <v>13</v>
      </c>
      <c r="AD20" s="49">
        <v>13</v>
      </c>
      <c r="AE20" s="49">
        <v>13</v>
      </c>
      <c r="AF20" s="49">
        <v>13</v>
      </c>
      <c r="AG20" s="59">
        <v>22</v>
      </c>
      <c r="AH20" s="52">
        <f t="shared" si="2"/>
        <v>22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56">
        <v>3.5</v>
      </c>
      <c r="M21" s="56">
        <v>3.5</v>
      </c>
      <c r="N21" s="56">
        <v>3.5</v>
      </c>
      <c r="O21" s="56">
        <v>3.5</v>
      </c>
      <c r="P21" s="56">
        <v>3.5</v>
      </c>
      <c r="Q21" s="56">
        <v>3.5</v>
      </c>
      <c r="R21" s="56">
        <v>3.5</v>
      </c>
      <c r="S21" s="56">
        <v>3.5</v>
      </c>
      <c r="T21" s="56">
        <v>3.5</v>
      </c>
      <c r="U21" s="56">
        <v>3.5</v>
      </c>
      <c r="V21" s="56">
        <v>3.5</v>
      </c>
      <c r="W21" s="56">
        <v>3.5</v>
      </c>
      <c r="X21" s="56">
        <v>3.5</v>
      </c>
      <c r="Y21" s="56">
        <v>3.5</v>
      </c>
      <c r="Z21" s="56">
        <v>7.8</v>
      </c>
      <c r="AA21" s="56">
        <v>7.5</v>
      </c>
      <c r="AB21" s="56">
        <v>7.5</v>
      </c>
      <c r="AC21" s="56">
        <v>7.5</v>
      </c>
      <c r="AD21" s="56">
        <v>7.5</v>
      </c>
      <c r="AE21" s="56">
        <v>7.5</v>
      </c>
      <c r="AF21" s="56">
        <v>7.5</v>
      </c>
      <c r="AG21" s="59">
        <v>14.9</v>
      </c>
      <c r="AH21" s="52">
        <f t="shared" si="2"/>
        <v>7.8</v>
      </c>
      <c r="AI21" s="53">
        <f t="shared" si="3"/>
        <v>3.5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56">
        <v>5</v>
      </c>
      <c r="AB22" s="56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10</v>
      </c>
      <c r="AA23" s="56">
        <v>10</v>
      </c>
      <c r="AB23" s="56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</v>
      </c>
      <c r="AH23" s="52">
        <f t="shared" si="2"/>
        <v>10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12</v>
      </c>
      <c r="AA24" s="56">
        <v>12</v>
      </c>
      <c r="AB24" s="56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12</v>
      </c>
      <c r="AH24" s="52">
        <f t="shared" si="2"/>
        <v>12</v>
      </c>
      <c r="AI24" s="53">
        <f t="shared" si="3"/>
        <v>3.5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2.2000000000000002</v>
      </c>
      <c r="AA25" s="56">
        <v>2.2000000000000002</v>
      </c>
      <c r="AB25" s="56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0</v>
      </c>
      <c r="AA26" s="56">
        <v>0</v>
      </c>
      <c r="AB26" s="56">
        <v>0</v>
      </c>
      <c r="AC26" s="49">
        <v>0</v>
      </c>
      <c r="AD26" s="49">
        <v>0</v>
      </c>
      <c r="AE26" s="49">
        <v>0</v>
      </c>
      <c r="AF26" s="49">
        <v>0</v>
      </c>
      <c r="AG26" s="59">
        <v>12</v>
      </c>
      <c r="AH26" s="52">
        <f>MAX(B26:AF26)</f>
        <v>4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120</v>
      </c>
      <c r="C28" s="56">
        <v>120</v>
      </c>
      <c r="D28" s="56">
        <v>120</v>
      </c>
      <c r="E28" s="56">
        <v>120</v>
      </c>
      <c r="F28" s="56">
        <v>120</v>
      </c>
      <c r="G28" s="56">
        <v>120</v>
      </c>
      <c r="H28" s="56">
        <v>120</v>
      </c>
      <c r="I28" s="56">
        <v>120</v>
      </c>
      <c r="J28" s="56">
        <v>120</v>
      </c>
      <c r="K28" s="56">
        <v>120</v>
      </c>
      <c r="L28" s="56">
        <v>120</v>
      </c>
      <c r="M28" s="56">
        <v>120</v>
      </c>
      <c r="N28" s="56">
        <v>120</v>
      </c>
      <c r="O28" s="56">
        <v>120</v>
      </c>
      <c r="P28" s="56">
        <v>120</v>
      </c>
      <c r="Q28" s="56">
        <v>120</v>
      </c>
      <c r="R28" s="56">
        <v>120</v>
      </c>
      <c r="S28" s="56">
        <v>120</v>
      </c>
      <c r="T28" s="56">
        <v>120</v>
      </c>
      <c r="U28" s="56">
        <v>120</v>
      </c>
      <c r="V28" s="56">
        <v>120</v>
      </c>
      <c r="W28" s="56">
        <v>120</v>
      </c>
      <c r="X28" s="56">
        <v>120</v>
      </c>
      <c r="Y28" s="56">
        <v>120</v>
      </c>
      <c r="Z28" s="56">
        <v>167</v>
      </c>
      <c r="AA28" s="56">
        <v>167</v>
      </c>
      <c r="AB28" s="56">
        <v>167</v>
      </c>
      <c r="AC28" s="56">
        <v>167</v>
      </c>
      <c r="AD28" s="56">
        <v>167</v>
      </c>
      <c r="AE28" s="56">
        <v>167</v>
      </c>
      <c r="AF28" s="56">
        <v>167</v>
      </c>
      <c r="AG28" s="59">
        <v>85</v>
      </c>
      <c r="AH28" s="52">
        <f t="shared" si="2"/>
        <v>167</v>
      </c>
      <c r="AI28" s="53">
        <f t="shared" si="3"/>
        <v>120</v>
      </c>
      <c r="AK28" s="54"/>
    </row>
    <row r="29" spans="1:88" ht="15.75" thickBot="1" x14ac:dyDescent="0.3">
      <c r="A29" s="66" t="s">
        <v>36</v>
      </c>
      <c r="B29" s="56">
        <v>115.1</v>
      </c>
      <c r="C29" s="56">
        <v>114</v>
      </c>
      <c r="D29" s="56">
        <v>107.4</v>
      </c>
      <c r="E29" s="56">
        <v>110.7</v>
      </c>
      <c r="F29" s="56">
        <v>107.6</v>
      </c>
      <c r="G29" s="56">
        <v>105</v>
      </c>
      <c r="H29" s="56">
        <v>103.8</v>
      </c>
      <c r="I29" s="56">
        <v>102.8</v>
      </c>
      <c r="J29" s="56">
        <v>104.6</v>
      </c>
      <c r="K29" s="56">
        <v>103.4</v>
      </c>
      <c r="L29" s="67">
        <v>104.8</v>
      </c>
      <c r="M29" s="67">
        <v>102.6</v>
      </c>
      <c r="N29" s="67">
        <v>102.2</v>
      </c>
      <c r="O29" s="67">
        <v>104.4</v>
      </c>
      <c r="P29" s="67">
        <v>104.2</v>
      </c>
      <c r="Q29" s="67">
        <v>99.9</v>
      </c>
      <c r="R29" s="67">
        <v>99.2</v>
      </c>
      <c r="S29" s="67">
        <v>98</v>
      </c>
      <c r="T29" s="67">
        <v>97</v>
      </c>
      <c r="U29" s="67">
        <v>96.2</v>
      </c>
      <c r="V29" s="67">
        <v>96.6</v>
      </c>
      <c r="W29" s="67">
        <v>96</v>
      </c>
      <c r="X29" s="67">
        <v>95</v>
      </c>
      <c r="Y29" s="67">
        <v>90</v>
      </c>
      <c r="Z29" s="67">
        <v>89</v>
      </c>
      <c r="AA29" s="67">
        <v>87.5</v>
      </c>
      <c r="AB29" s="67">
        <v>88</v>
      </c>
      <c r="AC29" s="67">
        <v>88</v>
      </c>
      <c r="AD29" s="67">
        <v>93.1</v>
      </c>
      <c r="AE29" s="67">
        <v>87.2</v>
      </c>
      <c r="AF29" s="67">
        <v>87.2</v>
      </c>
      <c r="AG29" s="59">
        <v>240</v>
      </c>
      <c r="AH29" s="52">
        <f t="shared" si="2"/>
        <v>115.1</v>
      </c>
      <c r="AI29" s="53">
        <f t="shared" si="3"/>
        <v>87.2</v>
      </c>
      <c r="AK29" s="54"/>
    </row>
    <row r="30" spans="1:88" ht="15.75" thickBot="1" x14ac:dyDescent="0.3">
      <c r="A30" s="68" t="s">
        <v>37</v>
      </c>
      <c r="B30" s="69">
        <f>SUM(B11:B28)</f>
        <v>399.79999999999995</v>
      </c>
      <c r="C30" s="69">
        <f t="shared" ref="C30:AF30" si="4">SUM(C11:C28)</f>
        <v>400.4</v>
      </c>
      <c r="D30" s="69">
        <f t="shared" si="4"/>
        <v>399.79999999999995</v>
      </c>
      <c r="E30" s="69">
        <f t="shared" si="4"/>
        <v>400</v>
      </c>
      <c r="F30" s="69">
        <f t="shared" si="4"/>
        <v>399.2</v>
      </c>
      <c r="G30" s="69">
        <f t="shared" si="4"/>
        <v>396.79999999999995</v>
      </c>
      <c r="H30" s="69">
        <f t="shared" si="4"/>
        <v>396.5</v>
      </c>
      <c r="I30" s="69">
        <f t="shared" si="4"/>
        <v>397.6</v>
      </c>
      <c r="J30" s="69">
        <f t="shared" si="4"/>
        <v>395.6</v>
      </c>
      <c r="K30" s="69">
        <f t="shared" si="4"/>
        <v>394.9</v>
      </c>
      <c r="L30" s="69">
        <f t="shared" si="4"/>
        <v>394.5</v>
      </c>
      <c r="M30" s="69">
        <f t="shared" si="4"/>
        <v>394.5</v>
      </c>
      <c r="N30" s="69">
        <f t="shared" si="4"/>
        <v>392.7</v>
      </c>
      <c r="O30" s="69">
        <f t="shared" si="4"/>
        <v>392.6</v>
      </c>
      <c r="P30" s="69">
        <f t="shared" si="4"/>
        <v>394.7</v>
      </c>
      <c r="Q30" s="69">
        <f t="shared" si="4"/>
        <v>392.59999999999997</v>
      </c>
      <c r="R30" s="69">
        <f t="shared" si="4"/>
        <v>390</v>
      </c>
      <c r="S30" s="69">
        <f t="shared" si="4"/>
        <v>390.29999999999995</v>
      </c>
      <c r="T30" s="69">
        <f t="shared" si="4"/>
        <v>390.29999999999995</v>
      </c>
      <c r="U30" s="69">
        <f t="shared" si="4"/>
        <v>383.6</v>
      </c>
      <c r="V30" s="69">
        <f>SUM(V11:V28)</f>
        <v>383.6</v>
      </c>
      <c r="W30" s="69">
        <f t="shared" si="4"/>
        <v>383.6</v>
      </c>
      <c r="X30" s="69">
        <f t="shared" si="4"/>
        <v>383.6</v>
      </c>
      <c r="Y30" s="69">
        <f t="shared" si="4"/>
        <v>383.6</v>
      </c>
      <c r="Z30" s="69">
        <f t="shared" si="4"/>
        <v>487.2</v>
      </c>
      <c r="AA30" s="69">
        <f>SUM(AA11:AA28)</f>
        <v>471.3</v>
      </c>
      <c r="AB30" s="69">
        <f t="shared" si="4"/>
        <v>471.29999999999995</v>
      </c>
      <c r="AC30" s="69">
        <f t="shared" si="4"/>
        <v>471.59999999999997</v>
      </c>
      <c r="AD30" s="69">
        <f t="shared" si="4"/>
        <v>471.4</v>
      </c>
      <c r="AE30" s="69">
        <f t="shared" si="4"/>
        <v>477.09999999999997</v>
      </c>
      <c r="AF30" s="69">
        <f t="shared" si="4"/>
        <v>474.8</v>
      </c>
      <c r="AG30" s="59">
        <f>SUM(AG11:AG29)</f>
        <v>729.2</v>
      </c>
      <c r="AH30" s="52">
        <f t="shared" si="2"/>
        <v>487.2</v>
      </c>
      <c r="AI30" s="53">
        <f t="shared" si="3"/>
        <v>383.6</v>
      </c>
      <c r="AK30" s="54"/>
    </row>
    <row r="31" spans="1:88" x14ac:dyDescent="0.25">
      <c r="A31" s="55" t="s">
        <v>38</v>
      </c>
      <c r="B31" s="56">
        <v>60.7</v>
      </c>
      <c r="C31" s="56">
        <v>60.8</v>
      </c>
      <c r="D31" s="56">
        <v>60.8</v>
      </c>
      <c r="E31" s="56">
        <v>60.8</v>
      </c>
      <c r="F31" s="56">
        <v>60.8</v>
      </c>
      <c r="G31" s="56">
        <v>60.8</v>
      </c>
      <c r="H31" s="56">
        <v>70.8</v>
      </c>
      <c r="I31" s="56">
        <v>70.8</v>
      </c>
      <c r="J31" s="56">
        <v>91.3</v>
      </c>
      <c r="K31" s="56">
        <v>80.599999999999994</v>
      </c>
      <c r="L31" s="49">
        <v>90.8</v>
      </c>
      <c r="M31" s="49">
        <v>97</v>
      </c>
      <c r="N31" s="49">
        <v>96.9</v>
      </c>
      <c r="O31" s="49">
        <v>96.9</v>
      </c>
      <c r="P31" s="49">
        <v>96.8</v>
      </c>
      <c r="Q31" s="49">
        <v>96.8</v>
      </c>
      <c r="R31" s="49">
        <v>97</v>
      </c>
      <c r="S31" s="49">
        <v>97</v>
      </c>
      <c r="T31" s="49">
        <v>97</v>
      </c>
      <c r="U31" s="49">
        <v>97</v>
      </c>
      <c r="V31" s="49">
        <v>97</v>
      </c>
      <c r="W31" s="49">
        <v>97</v>
      </c>
      <c r="X31" s="49">
        <v>97</v>
      </c>
      <c r="Y31" s="49">
        <v>97</v>
      </c>
      <c r="Z31" s="49">
        <v>97</v>
      </c>
      <c r="AA31" s="49">
        <v>97</v>
      </c>
      <c r="AB31" s="48">
        <v>97</v>
      </c>
      <c r="AC31" s="48">
        <v>97</v>
      </c>
      <c r="AD31" s="48">
        <v>97</v>
      </c>
      <c r="AE31" s="48">
        <v>96.9</v>
      </c>
      <c r="AF31" s="48">
        <v>96.8</v>
      </c>
      <c r="AG31" s="57">
        <v>144</v>
      </c>
      <c r="AH31" s="52">
        <f t="shared" si="2"/>
        <v>97</v>
      </c>
      <c r="AI31" s="53">
        <f t="shared" si="3"/>
        <v>60.7</v>
      </c>
      <c r="AK31" s="54"/>
    </row>
    <row r="32" spans="1:88" x14ac:dyDescent="0.25">
      <c r="A32" s="58" t="s">
        <v>39</v>
      </c>
      <c r="B32" s="56">
        <v>45.2</v>
      </c>
      <c r="C32" s="56">
        <v>49.7</v>
      </c>
      <c r="D32" s="56">
        <v>45.3</v>
      </c>
      <c r="E32" s="56">
        <v>45.7</v>
      </c>
      <c r="F32" s="56">
        <v>46.2</v>
      </c>
      <c r="G32" s="56">
        <v>46.2</v>
      </c>
      <c r="H32" s="56">
        <v>45.2</v>
      </c>
      <c r="I32" s="56">
        <v>63.2</v>
      </c>
      <c r="J32" s="56">
        <v>68.599999999999994</v>
      </c>
      <c r="K32" s="56">
        <v>69.400000000000006</v>
      </c>
      <c r="L32" s="70">
        <v>69.400000000000006</v>
      </c>
      <c r="M32" s="70">
        <v>69.7</v>
      </c>
      <c r="N32" s="70">
        <v>70.099999999999994</v>
      </c>
      <c r="O32" s="70">
        <v>69.2</v>
      </c>
      <c r="P32" s="70">
        <v>64.099999999999994</v>
      </c>
      <c r="Q32" s="70">
        <v>70.5</v>
      </c>
      <c r="R32" s="70">
        <v>69.2</v>
      </c>
      <c r="S32" s="70">
        <v>69.400000000000006</v>
      </c>
      <c r="T32" s="70">
        <v>69.5</v>
      </c>
      <c r="U32" s="70">
        <v>69</v>
      </c>
      <c r="V32" s="70">
        <v>69</v>
      </c>
      <c r="W32" s="70">
        <v>69</v>
      </c>
      <c r="X32" s="70">
        <v>69</v>
      </c>
      <c r="Y32" s="70">
        <v>70</v>
      </c>
      <c r="Z32" s="70">
        <v>70.8</v>
      </c>
      <c r="AA32" s="70">
        <v>70.3</v>
      </c>
      <c r="AB32" s="56">
        <v>70.599999999999994</v>
      </c>
      <c r="AC32" s="56">
        <v>70.3</v>
      </c>
      <c r="AD32" s="56">
        <v>70.099999999999994</v>
      </c>
      <c r="AE32" s="56">
        <v>70.900000000000006</v>
      </c>
      <c r="AF32" s="56">
        <v>69.7</v>
      </c>
      <c r="AG32" s="59">
        <v>70</v>
      </c>
      <c r="AH32" s="52">
        <f t="shared" si="2"/>
        <v>70.900000000000006</v>
      </c>
      <c r="AI32" s="53">
        <f t="shared" si="3"/>
        <v>45.2</v>
      </c>
      <c r="AK32" s="54"/>
    </row>
    <row r="33" spans="1:41" x14ac:dyDescent="0.25">
      <c r="A33" s="58" t="s">
        <v>40</v>
      </c>
      <c r="B33" s="56">
        <v>35.799999999999997</v>
      </c>
      <c r="C33" s="56">
        <v>39.9</v>
      </c>
      <c r="D33" s="56">
        <v>40.4</v>
      </c>
      <c r="E33" s="56">
        <v>38.6</v>
      </c>
      <c r="F33" s="56">
        <v>39.6</v>
      </c>
      <c r="G33" s="56">
        <v>39.6</v>
      </c>
      <c r="H33" s="56">
        <v>40.299999999999997</v>
      </c>
      <c r="I33" s="56">
        <v>44.2</v>
      </c>
      <c r="J33" s="56">
        <v>45.2</v>
      </c>
      <c r="K33" s="56">
        <v>44.8</v>
      </c>
      <c r="L33" s="70">
        <v>33.5</v>
      </c>
      <c r="M33" s="70">
        <v>45.6</v>
      </c>
      <c r="N33" s="70">
        <v>46.3</v>
      </c>
      <c r="O33" s="70">
        <v>45.2</v>
      </c>
      <c r="P33" s="70">
        <v>45.8</v>
      </c>
      <c r="Q33" s="70">
        <v>44.8</v>
      </c>
      <c r="R33" s="70">
        <v>45.4</v>
      </c>
      <c r="S33" s="70">
        <v>45.6</v>
      </c>
      <c r="T33" s="70">
        <v>45.6</v>
      </c>
      <c r="U33" s="70">
        <v>45.6</v>
      </c>
      <c r="V33" s="70">
        <v>45.6</v>
      </c>
      <c r="W33" s="70">
        <v>45.6</v>
      </c>
      <c r="X33" s="70">
        <v>45.6</v>
      </c>
      <c r="Y33" s="70">
        <v>46.3</v>
      </c>
      <c r="Z33" s="70">
        <v>46</v>
      </c>
      <c r="AA33" s="70">
        <v>45.7</v>
      </c>
      <c r="AB33" s="56">
        <v>44.5</v>
      </c>
      <c r="AC33" s="56">
        <v>45.4</v>
      </c>
      <c r="AD33" s="56">
        <v>45.9</v>
      </c>
      <c r="AE33" s="56">
        <v>45.1</v>
      </c>
      <c r="AF33" s="56">
        <v>45.2</v>
      </c>
      <c r="AG33" s="59">
        <v>69</v>
      </c>
      <c r="AH33" s="52">
        <f t="shared" si="2"/>
        <v>46.3</v>
      </c>
      <c r="AI33" s="53">
        <f t="shared" si="3"/>
        <v>33.5</v>
      </c>
      <c r="AK33" s="54"/>
    </row>
    <row r="34" spans="1:41" x14ac:dyDescent="0.25">
      <c r="A34" s="58" t="s">
        <v>41</v>
      </c>
      <c r="B34" s="56">
        <v>28</v>
      </c>
      <c r="C34" s="56">
        <v>28</v>
      </c>
      <c r="D34" s="56">
        <v>28</v>
      </c>
      <c r="E34" s="56">
        <v>28</v>
      </c>
      <c r="F34" s="56">
        <v>28</v>
      </c>
      <c r="G34" s="56">
        <v>28</v>
      </c>
      <c r="H34" s="56">
        <v>28</v>
      </c>
      <c r="I34" s="56">
        <v>28</v>
      </c>
      <c r="J34" s="56">
        <v>28.2</v>
      </c>
      <c r="K34" s="56">
        <v>28.2</v>
      </c>
      <c r="L34" s="70">
        <v>28.2</v>
      </c>
      <c r="M34" s="70">
        <v>28</v>
      </c>
      <c r="N34" s="70">
        <v>0</v>
      </c>
      <c r="O34" s="70">
        <v>0</v>
      </c>
      <c r="P34" s="70">
        <v>0</v>
      </c>
      <c r="Q34" s="70">
        <v>29.5</v>
      </c>
      <c r="R34" s="70">
        <v>29.5</v>
      </c>
      <c r="S34" s="70">
        <v>29.2</v>
      </c>
      <c r="T34" s="70">
        <v>29.5</v>
      </c>
      <c r="U34" s="70">
        <v>29.5</v>
      </c>
      <c r="V34" s="70">
        <v>29.5</v>
      </c>
      <c r="W34" s="70">
        <v>29.5</v>
      </c>
      <c r="X34" s="70">
        <v>29.5</v>
      </c>
      <c r="Y34" s="70">
        <v>29.7</v>
      </c>
      <c r="Z34" s="70">
        <v>29.7</v>
      </c>
      <c r="AA34" s="70">
        <v>29.7</v>
      </c>
      <c r="AB34" s="56">
        <v>29.6</v>
      </c>
      <c r="AC34" s="56">
        <v>29.6</v>
      </c>
      <c r="AD34" s="56">
        <v>29.7</v>
      </c>
      <c r="AE34" s="56">
        <v>29.7</v>
      </c>
      <c r="AF34" s="56">
        <v>29.7</v>
      </c>
      <c r="AG34" s="59">
        <v>60</v>
      </c>
      <c r="AH34" s="52">
        <f t="shared" si="2"/>
        <v>29.7</v>
      </c>
      <c r="AI34" s="53">
        <f t="shared" si="3"/>
        <v>0</v>
      </c>
      <c r="AK34" s="54"/>
    </row>
    <row r="35" spans="1:41" x14ac:dyDescent="0.25">
      <c r="A35" s="58" t="s">
        <v>42</v>
      </c>
      <c r="B35" s="56">
        <v>24.6</v>
      </c>
      <c r="C35" s="56">
        <v>24.7</v>
      </c>
      <c r="D35" s="56">
        <v>24.6</v>
      </c>
      <c r="E35" s="56">
        <v>25</v>
      </c>
      <c r="F35" s="56">
        <v>25</v>
      </c>
      <c r="G35" s="56">
        <v>25.2</v>
      </c>
      <c r="H35" s="56">
        <v>25.2</v>
      </c>
      <c r="I35" s="56">
        <v>20</v>
      </c>
      <c r="J35" s="56">
        <v>20</v>
      </c>
      <c r="K35" s="56">
        <v>29</v>
      </c>
      <c r="L35" s="49">
        <v>29</v>
      </c>
      <c r="M35" s="49">
        <v>29</v>
      </c>
      <c r="N35" s="49">
        <v>29</v>
      </c>
      <c r="O35" s="49">
        <v>30</v>
      </c>
      <c r="P35" s="49">
        <v>30</v>
      </c>
      <c r="Q35" s="49">
        <v>30</v>
      </c>
      <c r="R35" s="49">
        <v>29.6</v>
      </c>
      <c r="S35" s="49">
        <v>29.7</v>
      </c>
      <c r="T35" s="49">
        <v>30</v>
      </c>
      <c r="U35" s="49">
        <v>30</v>
      </c>
      <c r="V35" s="49">
        <v>30</v>
      </c>
      <c r="W35" s="49">
        <v>30</v>
      </c>
      <c r="X35" s="49">
        <v>30</v>
      </c>
      <c r="Y35" s="49">
        <v>30</v>
      </c>
      <c r="Z35" s="49">
        <v>30</v>
      </c>
      <c r="AA35" s="49">
        <v>30</v>
      </c>
      <c r="AB35" s="56">
        <v>30</v>
      </c>
      <c r="AC35" s="56">
        <v>30</v>
      </c>
      <c r="AD35" s="56">
        <v>30</v>
      </c>
      <c r="AE35" s="56">
        <v>30</v>
      </c>
      <c r="AF35" s="56">
        <v>30</v>
      </c>
      <c r="AG35" s="59">
        <v>30</v>
      </c>
      <c r="AH35" s="52">
        <f t="shared" si="2"/>
        <v>30</v>
      </c>
      <c r="AI35" s="53">
        <f t="shared" si="3"/>
        <v>20</v>
      </c>
      <c r="AK35" s="54"/>
    </row>
    <row r="36" spans="1:41" x14ac:dyDescent="0.25">
      <c r="A36" s="58" t="s">
        <v>43</v>
      </c>
      <c r="B36" s="71">
        <v>15.6</v>
      </c>
      <c r="C36" s="71">
        <v>15.6</v>
      </c>
      <c r="D36" s="71">
        <v>15.5</v>
      </c>
      <c r="E36" s="71">
        <v>15.5</v>
      </c>
      <c r="F36" s="71">
        <v>14.4</v>
      </c>
      <c r="G36" s="71">
        <v>16.2</v>
      </c>
      <c r="H36" s="71">
        <v>16.2</v>
      </c>
      <c r="I36" s="71">
        <v>15.3</v>
      </c>
      <c r="J36" s="71">
        <v>15.4</v>
      </c>
      <c r="K36" s="71">
        <v>15.4</v>
      </c>
      <c r="L36" s="49">
        <v>15.5</v>
      </c>
      <c r="M36" s="49">
        <v>15.5</v>
      </c>
      <c r="N36" s="49">
        <v>15.4</v>
      </c>
      <c r="O36" s="49">
        <v>15.4</v>
      </c>
      <c r="P36" s="49">
        <v>15.4</v>
      </c>
      <c r="Q36" s="49">
        <v>13.4</v>
      </c>
      <c r="R36" s="49">
        <v>15.1</v>
      </c>
      <c r="S36" s="49">
        <v>15.3</v>
      </c>
      <c r="T36" s="49">
        <v>12</v>
      </c>
      <c r="U36" s="49">
        <v>16.600000000000001</v>
      </c>
      <c r="V36" s="49">
        <v>16.600000000000001</v>
      </c>
      <c r="W36" s="49">
        <v>16.600000000000001</v>
      </c>
      <c r="X36" s="49">
        <v>16.600000000000001</v>
      </c>
      <c r="Y36" s="49">
        <v>16.5</v>
      </c>
      <c r="Z36" s="49">
        <v>16.5</v>
      </c>
      <c r="AA36" s="49">
        <v>16.5</v>
      </c>
      <c r="AB36" s="56">
        <v>16.5</v>
      </c>
      <c r="AC36" s="56">
        <v>16.5</v>
      </c>
      <c r="AD36" s="56">
        <v>16.399999999999999</v>
      </c>
      <c r="AE36" s="56">
        <v>16.399999999999999</v>
      </c>
      <c r="AF36" s="56">
        <v>16.399999999999999</v>
      </c>
      <c r="AG36" s="59">
        <v>24</v>
      </c>
      <c r="AH36" s="52">
        <f t="shared" si="2"/>
        <v>16.600000000000001</v>
      </c>
      <c r="AI36" s="53">
        <f t="shared" si="3"/>
        <v>12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56">
        <v>10</v>
      </c>
      <c r="O38" s="56">
        <v>10</v>
      </c>
      <c r="P38" s="56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3.9</v>
      </c>
      <c r="C39" s="71">
        <v>3.9</v>
      </c>
      <c r="D39" s="71">
        <v>3.9</v>
      </c>
      <c r="E39" s="71">
        <v>3.9</v>
      </c>
      <c r="F39" s="71">
        <v>3.9</v>
      </c>
      <c r="G39" s="71">
        <v>3.9</v>
      </c>
      <c r="H39" s="71">
        <v>3.9</v>
      </c>
      <c r="I39" s="71">
        <v>3.9</v>
      </c>
      <c r="J39" s="71">
        <v>3.9</v>
      </c>
      <c r="K39" s="71">
        <v>3.9</v>
      </c>
      <c r="L39" s="71">
        <v>3.9</v>
      </c>
      <c r="M39" s="71">
        <v>3.9</v>
      </c>
      <c r="N39" s="71">
        <v>7</v>
      </c>
      <c r="O39" s="71">
        <v>9</v>
      </c>
      <c r="P39" s="71">
        <v>9</v>
      </c>
      <c r="Q39" s="71">
        <v>9</v>
      </c>
      <c r="R39" s="71">
        <v>9</v>
      </c>
      <c r="S39" s="71">
        <v>9</v>
      </c>
      <c r="T39" s="71">
        <v>13</v>
      </c>
      <c r="U39" s="71">
        <v>13</v>
      </c>
      <c r="V39" s="71">
        <v>13</v>
      </c>
      <c r="W39" s="71">
        <v>13</v>
      </c>
      <c r="X39" s="71">
        <v>13</v>
      </c>
      <c r="Y39" s="71">
        <v>13</v>
      </c>
      <c r="Z39" s="71">
        <v>13</v>
      </c>
      <c r="AA39" s="71">
        <v>13</v>
      </c>
      <c r="AB39" s="71">
        <v>13</v>
      </c>
      <c r="AC39" s="71">
        <v>13</v>
      </c>
      <c r="AD39" s="71">
        <v>13</v>
      </c>
      <c r="AE39" s="71">
        <v>13</v>
      </c>
      <c r="AF39" s="71">
        <v>13</v>
      </c>
      <c r="AG39" s="59">
        <v>14</v>
      </c>
      <c r="AH39" s="52">
        <f t="shared" si="2"/>
        <v>13</v>
      </c>
      <c r="AI39" s="53">
        <f t="shared" si="3"/>
        <v>3.9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8.8000000000000007</v>
      </c>
      <c r="C40" s="56">
        <v>8.8000000000000007</v>
      </c>
      <c r="D40" s="56">
        <v>8.8000000000000007</v>
      </c>
      <c r="E40" s="56">
        <v>8.6999999999999993</v>
      </c>
      <c r="F40" s="56">
        <v>8.6999999999999993</v>
      </c>
      <c r="G40" s="56">
        <v>8.6999999999999993</v>
      </c>
      <c r="H40" s="56">
        <v>8.6999999999999993</v>
      </c>
      <c r="I40" s="56">
        <v>8.6999999999999993</v>
      </c>
      <c r="J40" s="56">
        <v>8.6999999999999993</v>
      </c>
      <c r="K40" s="56">
        <v>8.6</v>
      </c>
      <c r="L40" s="56">
        <v>8.6</v>
      </c>
      <c r="M40" s="56">
        <v>8.6</v>
      </c>
      <c r="N40" s="56">
        <v>8.6</v>
      </c>
      <c r="O40" s="56">
        <v>8.6</v>
      </c>
      <c r="P40" s="56">
        <v>8.6</v>
      </c>
      <c r="Q40" s="49">
        <v>6</v>
      </c>
      <c r="R40" s="49">
        <v>6</v>
      </c>
      <c r="S40" s="49">
        <v>6</v>
      </c>
      <c r="T40" s="49">
        <v>6</v>
      </c>
      <c r="U40" s="49">
        <v>6</v>
      </c>
      <c r="V40" s="49">
        <v>6</v>
      </c>
      <c r="W40" s="49">
        <v>6</v>
      </c>
      <c r="X40" s="49">
        <v>6</v>
      </c>
      <c r="Y40" s="49">
        <v>6</v>
      </c>
      <c r="Z40" s="49">
        <v>9.1999999999999993</v>
      </c>
      <c r="AA40" s="49">
        <v>9.1999999999999993</v>
      </c>
      <c r="AB40" s="49">
        <v>9.1999999999999993</v>
      </c>
      <c r="AC40" s="56">
        <v>9.3000000000000007</v>
      </c>
      <c r="AD40" s="56">
        <v>8.1</v>
      </c>
      <c r="AE40" s="56">
        <v>8.1</v>
      </c>
      <c r="AF40" s="56">
        <v>8.4</v>
      </c>
      <c r="AG40" s="59">
        <v>10.050000000000001</v>
      </c>
      <c r="AH40" s="52">
        <f t="shared" si="2"/>
        <v>9.3000000000000007</v>
      </c>
      <c r="AI40" s="53">
        <f t="shared" si="3"/>
        <v>6</v>
      </c>
      <c r="AK40" s="54"/>
    </row>
    <row r="41" spans="1:41" x14ac:dyDescent="0.25">
      <c r="A41" s="58" t="s">
        <v>48</v>
      </c>
      <c r="B41" s="56">
        <v>3</v>
      </c>
      <c r="C41" s="56">
        <v>3</v>
      </c>
      <c r="D41" s="56">
        <v>3</v>
      </c>
      <c r="E41" s="56">
        <v>3</v>
      </c>
      <c r="F41" s="56">
        <v>3</v>
      </c>
      <c r="G41" s="56">
        <v>3</v>
      </c>
      <c r="H41" s="56">
        <v>3</v>
      </c>
      <c r="I41" s="56">
        <v>3</v>
      </c>
      <c r="J41" s="56">
        <v>3</v>
      </c>
      <c r="K41" s="56">
        <v>3</v>
      </c>
      <c r="L41" s="56">
        <v>3</v>
      </c>
      <c r="M41" s="56">
        <v>3</v>
      </c>
      <c r="N41" s="56">
        <v>3</v>
      </c>
      <c r="O41" s="56">
        <v>3</v>
      </c>
      <c r="P41" s="56">
        <v>3</v>
      </c>
      <c r="Q41" s="49">
        <v>3</v>
      </c>
      <c r="R41" s="49">
        <v>3</v>
      </c>
      <c r="S41" s="49">
        <v>3</v>
      </c>
      <c r="T41" s="49">
        <v>3</v>
      </c>
      <c r="U41" s="49">
        <v>3</v>
      </c>
      <c r="V41" s="49">
        <v>3</v>
      </c>
      <c r="W41" s="49">
        <v>3</v>
      </c>
      <c r="X41" s="49">
        <v>3</v>
      </c>
      <c r="Y41" s="49">
        <v>3</v>
      </c>
      <c r="Z41" s="49">
        <v>3</v>
      </c>
      <c r="AA41" s="49">
        <v>3</v>
      </c>
      <c r="AB41" s="49">
        <v>3</v>
      </c>
      <c r="AC41" s="56">
        <v>3</v>
      </c>
      <c r="AD41" s="56">
        <v>3</v>
      </c>
      <c r="AE41" s="56">
        <v>3</v>
      </c>
      <c r="AF41" s="56">
        <v>3</v>
      </c>
      <c r="AG41" s="59">
        <v>6.2</v>
      </c>
      <c r="AH41" s="52">
        <f t="shared" si="2"/>
        <v>3</v>
      </c>
      <c r="AI41" s="53">
        <f t="shared" si="3"/>
        <v>3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239.14</v>
      </c>
      <c r="C43" s="69">
        <f t="shared" si="6"/>
        <v>247.94</v>
      </c>
      <c r="D43" s="69">
        <f t="shared" si="6"/>
        <v>243.84</v>
      </c>
      <c r="E43" s="69">
        <f t="shared" si="6"/>
        <v>242.73999999999998</v>
      </c>
      <c r="F43" s="69">
        <f t="shared" si="6"/>
        <v>243.14</v>
      </c>
      <c r="G43" s="69">
        <f t="shared" si="6"/>
        <v>245.13999999999996</v>
      </c>
      <c r="H43" s="69">
        <f t="shared" si="6"/>
        <v>254.83999999999997</v>
      </c>
      <c r="I43" s="69">
        <f t="shared" si="6"/>
        <v>270.64000000000004</v>
      </c>
      <c r="J43" s="69">
        <f t="shared" si="6"/>
        <v>297.83999999999992</v>
      </c>
      <c r="K43" s="69">
        <f t="shared" si="6"/>
        <v>296.44</v>
      </c>
      <c r="L43" s="69">
        <f t="shared" si="6"/>
        <v>295.44</v>
      </c>
      <c r="M43" s="69">
        <f t="shared" si="6"/>
        <v>313.83999999999997</v>
      </c>
      <c r="N43" s="69">
        <f t="shared" si="6"/>
        <v>289.84000000000003</v>
      </c>
      <c r="O43" s="69">
        <f t="shared" si="6"/>
        <v>290.84000000000003</v>
      </c>
      <c r="P43" s="69">
        <f t="shared" si="6"/>
        <v>286.24000000000007</v>
      </c>
      <c r="Q43" s="69">
        <f t="shared" si="6"/>
        <v>316.54000000000002</v>
      </c>
      <c r="R43" s="69">
        <f t="shared" si="6"/>
        <v>317.34000000000003</v>
      </c>
      <c r="S43" s="69">
        <f t="shared" si="6"/>
        <v>317.74</v>
      </c>
      <c r="T43" s="69">
        <f t="shared" si="6"/>
        <v>319.14000000000004</v>
      </c>
      <c r="U43" s="69">
        <f t="shared" si="6"/>
        <v>323.24000000000007</v>
      </c>
      <c r="V43" s="69">
        <f t="shared" si="6"/>
        <v>323.24000000000007</v>
      </c>
      <c r="W43" s="69">
        <f t="shared" si="6"/>
        <v>323.24000000000007</v>
      </c>
      <c r="X43" s="69">
        <f t="shared" si="6"/>
        <v>323.24000000000007</v>
      </c>
      <c r="Y43" s="69">
        <f t="shared" si="6"/>
        <v>325.04000000000002</v>
      </c>
      <c r="Z43" s="69">
        <f t="shared" si="6"/>
        <v>328.74</v>
      </c>
      <c r="AA43" s="69">
        <f t="shared" si="6"/>
        <v>327.94</v>
      </c>
      <c r="AB43" s="69">
        <f t="shared" si="6"/>
        <v>326.94</v>
      </c>
      <c r="AC43" s="69">
        <f t="shared" si="6"/>
        <v>327.64000000000004</v>
      </c>
      <c r="AD43" s="69">
        <f t="shared" si="6"/>
        <v>326.74</v>
      </c>
      <c r="AE43" s="69">
        <f t="shared" si="6"/>
        <v>326.64000000000004</v>
      </c>
      <c r="AF43" s="69">
        <f t="shared" si="6"/>
        <v>325.73999999999995</v>
      </c>
      <c r="AG43" s="74">
        <f>SUM(AG31:AG42)</f>
        <v>464.91</v>
      </c>
      <c r="AH43" s="52">
        <f t="shared" si="2"/>
        <v>328.74</v>
      </c>
      <c r="AI43" s="53">
        <f t="shared" si="3"/>
        <v>239.14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20.2</v>
      </c>
      <c r="M44" s="75">
        <v>30</v>
      </c>
      <c r="N44" s="75">
        <v>49.4</v>
      </c>
      <c r="O44" s="75">
        <v>50</v>
      </c>
      <c r="P44" s="49">
        <v>52.4</v>
      </c>
      <c r="Q44" s="49">
        <v>59.5</v>
      </c>
      <c r="R44" s="49">
        <v>59.5</v>
      </c>
      <c r="S44" s="49">
        <v>50</v>
      </c>
      <c r="T44" s="49">
        <v>59.4</v>
      </c>
      <c r="U44" s="49">
        <v>49.5</v>
      </c>
      <c r="V44" s="49">
        <v>33</v>
      </c>
      <c r="W44" s="49">
        <v>33</v>
      </c>
      <c r="X44" s="49">
        <v>39</v>
      </c>
      <c r="Y44" s="49">
        <v>59.5</v>
      </c>
      <c r="Z44" s="49">
        <v>60</v>
      </c>
      <c r="AA44" s="49">
        <v>59.3</v>
      </c>
      <c r="AB44" s="49">
        <v>44</v>
      </c>
      <c r="AC44" s="49">
        <v>43.9</v>
      </c>
      <c r="AD44" s="49">
        <v>29</v>
      </c>
      <c r="AE44" s="49">
        <v>10.9</v>
      </c>
      <c r="AF44" s="49">
        <v>25</v>
      </c>
      <c r="AG44" s="57">
        <v>60</v>
      </c>
      <c r="AH44" s="52">
        <f t="shared" si="2"/>
        <v>60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9.1</v>
      </c>
      <c r="M45" s="75">
        <v>14</v>
      </c>
      <c r="N45" s="75">
        <v>22</v>
      </c>
      <c r="O45" s="75">
        <v>24.1</v>
      </c>
      <c r="P45" s="70">
        <v>28.1</v>
      </c>
      <c r="Q45" s="70">
        <v>28.1</v>
      </c>
      <c r="R45" s="49">
        <v>29.6</v>
      </c>
      <c r="S45" s="49">
        <v>24</v>
      </c>
      <c r="T45" s="49">
        <v>29</v>
      </c>
      <c r="U45" s="70">
        <v>23.8</v>
      </c>
      <c r="V45" s="70">
        <v>16</v>
      </c>
      <c r="W45" s="70">
        <v>16</v>
      </c>
      <c r="X45" s="70">
        <v>18.399999999999999</v>
      </c>
      <c r="Y45" s="70">
        <v>30</v>
      </c>
      <c r="Z45" s="70">
        <v>30</v>
      </c>
      <c r="AA45" s="70">
        <v>30</v>
      </c>
      <c r="AB45" s="70">
        <v>21.6</v>
      </c>
      <c r="AC45" s="70">
        <v>20.3</v>
      </c>
      <c r="AD45" s="70">
        <v>14.4</v>
      </c>
      <c r="AE45" s="70">
        <v>4.5</v>
      </c>
      <c r="AF45" s="70">
        <v>14.5</v>
      </c>
      <c r="AG45" s="59">
        <v>32</v>
      </c>
      <c r="AH45" s="52">
        <f t="shared" si="2"/>
        <v>30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5">
        <v>4.3</v>
      </c>
      <c r="M46" s="75">
        <v>6.2</v>
      </c>
      <c r="N46" s="76">
        <v>8</v>
      </c>
      <c r="O46" s="76">
        <v>8.8000000000000007</v>
      </c>
      <c r="P46" s="77">
        <v>10.3</v>
      </c>
      <c r="Q46" s="77">
        <v>10.199999999999999</v>
      </c>
      <c r="R46" s="49">
        <v>10.8</v>
      </c>
      <c r="S46" s="49">
        <v>8.6999999999999993</v>
      </c>
      <c r="T46" s="49">
        <v>10.6</v>
      </c>
      <c r="U46" s="77">
        <v>8.6999999999999993</v>
      </c>
      <c r="V46" s="77">
        <v>6</v>
      </c>
      <c r="W46" s="77">
        <v>6</v>
      </c>
      <c r="X46" s="77">
        <v>6.7</v>
      </c>
      <c r="Y46" s="77">
        <v>11</v>
      </c>
      <c r="Z46" s="77">
        <v>11</v>
      </c>
      <c r="AA46" s="77">
        <v>10.9</v>
      </c>
      <c r="AB46" s="77">
        <v>7.9</v>
      </c>
      <c r="AC46" s="77">
        <v>7.4</v>
      </c>
      <c r="AD46" s="77">
        <v>5.3</v>
      </c>
      <c r="AE46" s="77">
        <v>1.6</v>
      </c>
      <c r="AF46" s="77">
        <v>5.3</v>
      </c>
      <c r="AG46" s="78">
        <v>14</v>
      </c>
      <c r="AH46" s="52">
        <f t="shared" si="2"/>
        <v>11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33.599999999999994</v>
      </c>
      <c r="M47" s="69">
        <f t="shared" si="7"/>
        <v>50.2</v>
      </c>
      <c r="N47" s="69">
        <f t="shared" si="7"/>
        <v>79.400000000000006</v>
      </c>
      <c r="O47" s="69">
        <f t="shared" si="7"/>
        <v>82.899999999999991</v>
      </c>
      <c r="P47" s="69">
        <f t="shared" si="7"/>
        <v>90.8</v>
      </c>
      <c r="Q47" s="69">
        <f t="shared" si="7"/>
        <v>97.8</v>
      </c>
      <c r="R47" s="69">
        <f t="shared" si="7"/>
        <v>99.899999999999991</v>
      </c>
      <c r="S47" s="69">
        <f t="shared" si="7"/>
        <v>82.7</v>
      </c>
      <c r="T47" s="69">
        <f t="shared" si="7"/>
        <v>99</v>
      </c>
      <c r="U47" s="69">
        <f t="shared" si="7"/>
        <v>82</v>
      </c>
      <c r="V47" s="69">
        <f t="shared" si="7"/>
        <v>55</v>
      </c>
      <c r="W47" s="69">
        <f t="shared" si="7"/>
        <v>55</v>
      </c>
      <c r="X47" s="69">
        <f t="shared" si="7"/>
        <v>64.099999999999994</v>
      </c>
      <c r="Y47" s="69">
        <f t="shared" si="7"/>
        <v>100.5</v>
      </c>
      <c r="Z47" s="69">
        <f t="shared" si="7"/>
        <v>101</v>
      </c>
      <c r="AA47" s="69">
        <f t="shared" si="7"/>
        <v>100.2</v>
      </c>
      <c r="AB47" s="69">
        <f t="shared" si="7"/>
        <v>73.5</v>
      </c>
      <c r="AC47" s="69">
        <f t="shared" si="7"/>
        <v>71.600000000000009</v>
      </c>
      <c r="AD47" s="69">
        <f t="shared" si="7"/>
        <v>48.699999999999996</v>
      </c>
      <c r="AE47" s="69">
        <f t="shared" si="7"/>
        <v>17</v>
      </c>
      <c r="AF47" s="69">
        <f t="shared" si="7"/>
        <v>44.8</v>
      </c>
      <c r="AG47" s="74">
        <f>SUM(AG44:AG46)</f>
        <v>106</v>
      </c>
      <c r="AH47" s="52">
        <f t="shared" si="2"/>
        <v>101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34.159999999999997</v>
      </c>
      <c r="C48" s="49">
        <v>34</v>
      </c>
      <c r="D48" s="49">
        <v>31.18</v>
      </c>
      <c r="E48" s="49">
        <v>26.78</v>
      </c>
      <c r="F48" s="49">
        <v>27.45</v>
      </c>
      <c r="G48" s="49">
        <v>24</v>
      </c>
      <c r="H48" s="49">
        <v>20.94</v>
      </c>
      <c r="I48" s="49">
        <v>30</v>
      </c>
      <c r="J48" s="49">
        <v>35</v>
      </c>
      <c r="K48" s="49">
        <v>48</v>
      </c>
      <c r="L48" s="49">
        <v>56</v>
      </c>
      <c r="M48" s="49">
        <v>45.9</v>
      </c>
      <c r="N48" s="49">
        <v>43</v>
      </c>
      <c r="O48" s="49">
        <v>41.38</v>
      </c>
      <c r="P48" s="49">
        <v>49.25</v>
      </c>
      <c r="Q48" s="49">
        <v>45.25</v>
      </c>
      <c r="R48" s="49">
        <v>50</v>
      </c>
      <c r="S48" s="49">
        <v>45</v>
      </c>
      <c r="T48" s="49">
        <v>50</v>
      </c>
      <c r="U48" s="49">
        <v>53.26</v>
      </c>
      <c r="V48" s="49">
        <v>51</v>
      </c>
      <c r="W48" s="49">
        <v>50</v>
      </c>
      <c r="X48" s="49">
        <v>48</v>
      </c>
      <c r="Y48" s="49">
        <v>48.6</v>
      </c>
      <c r="Z48" s="49">
        <v>62</v>
      </c>
      <c r="AA48" s="49">
        <v>65.900000000000006</v>
      </c>
      <c r="AB48" s="49">
        <v>66.2</v>
      </c>
      <c r="AC48" s="49">
        <v>69.2</v>
      </c>
      <c r="AD48" s="49">
        <v>66.099999999999994</v>
      </c>
      <c r="AE48" s="49">
        <v>59.37</v>
      </c>
      <c r="AF48" s="49">
        <v>58.95</v>
      </c>
      <c r="AG48" s="57"/>
      <c r="AH48" s="52">
        <f t="shared" si="2"/>
        <v>69.2</v>
      </c>
      <c r="AI48" s="53">
        <f t="shared" si="3"/>
        <v>20.94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37.6</v>
      </c>
      <c r="T49" s="49">
        <v>33</v>
      </c>
      <c r="U49" s="79">
        <v>32.4</v>
      </c>
      <c r="V49" s="79">
        <v>33.6</v>
      </c>
      <c r="W49" s="79">
        <v>37</v>
      </c>
      <c r="X49" s="79">
        <v>0</v>
      </c>
      <c r="Y49" s="79">
        <v>0</v>
      </c>
      <c r="Z49" s="79">
        <v>120</v>
      </c>
      <c r="AA49" s="70">
        <v>124</v>
      </c>
      <c r="AB49" s="70">
        <v>83</v>
      </c>
      <c r="AC49" s="70">
        <v>81.2</v>
      </c>
      <c r="AD49" s="70">
        <v>47</v>
      </c>
      <c r="AE49" s="70">
        <v>46.1</v>
      </c>
      <c r="AF49" s="70">
        <v>37.6</v>
      </c>
      <c r="AG49" s="59"/>
      <c r="AH49" s="52">
        <f t="shared" si="2"/>
        <v>124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25</v>
      </c>
      <c r="C50" s="70">
        <v>1</v>
      </c>
      <c r="D50" s="70">
        <v>-4</v>
      </c>
      <c r="E50" s="70">
        <v>-26</v>
      </c>
      <c r="F50" s="70">
        <v>-25</v>
      </c>
      <c r="G50" s="49">
        <v>-15</v>
      </c>
      <c r="H50" s="49">
        <v>-3</v>
      </c>
      <c r="I50" s="49">
        <v>15</v>
      </c>
      <c r="J50" s="49">
        <v>7</v>
      </c>
      <c r="K50" s="49">
        <v>39</v>
      </c>
      <c r="L50" s="70">
        <v>33.6</v>
      </c>
      <c r="M50" s="70">
        <v>19</v>
      </c>
      <c r="N50" s="70">
        <v>21</v>
      </c>
      <c r="O50" s="70">
        <v>38</v>
      </c>
      <c r="P50" s="70">
        <v>23</v>
      </c>
      <c r="Q50" s="70">
        <v>24</v>
      </c>
      <c r="R50" s="70">
        <v>63</v>
      </c>
      <c r="S50" s="70">
        <v>32</v>
      </c>
      <c r="T50" s="70">
        <v>14</v>
      </c>
      <c r="U50" s="80">
        <v>14</v>
      </c>
      <c r="V50" s="80">
        <v>16</v>
      </c>
      <c r="W50" s="80">
        <v>8</v>
      </c>
      <c r="X50" s="80">
        <v>78</v>
      </c>
      <c r="Y50" s="80">
        <v>110</v>
      </c>
      <c r="Z50" s="80">
        <v>95</v>
      </c>
      <c r="AA50" s="70">
        <v>83</v>
      </c>
      <c r="AB50" s="70">
        <v>96</v>
      </c>
      <c r="AC50" s="70">
        <v>80</v>
      </c>
      <c r="AD50" s="70">
        <v>91</v>
      </c>
      <c r="AE50" s="70">
        <v>85</v>
      </c>
      <c r="AF50" s="70">
        <v>15</v>
      </c>
      <c r="AG50" s="81"/>
      <c r="AH50" s="52">
        <f t="shared" si="2"/>
        <v>110</v>
      </c>
      <c r="AI50" s="53">
        <f t="shared" si="3"/>
        <v>-26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82">
        <v>0</v>
      </c>
      <c r="N51" s="82">
        <v>0</v>
      </c>
      <c r="O51" s="82">
        <v>0</v>
      </c>
      <c r="P51" s="82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0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82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3">
        <v>0</v>
      </c>
      <c r="C53" s="83">
        <v>0</v>
      </c>
      <c r="D53" s="83">
        <v>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2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83">
        <v>0</v>
      </c>
      <c r="D54" s="83">
        <v>0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2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3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3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85">
        <v>0</v>
      </c>
      <c r="D57" s="85">
        <v>0</v>
      </c>
      <c r="E57" s="85">
        <v>0</v>
      </c>
      <c r="F57" s="85">
        <v>0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3">
        <v>0</v>
      </c>
      <c r="AE57" s="82">
        <v>0</v>
      </c>
      <c r="AF57" s="82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85">
        <v>0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3">
        <v>0</v>
      </c>
      <c r="AE58" s="82">
        <v>0</v>
      </c>
      <c r="AF58" s="82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59.16</v>
      </c>
      <c r="C59" s="69">
        <f t="shared" ref="C59:AF59" si="8">SUM(C48:C58)</f>
        <v>35</v>
      </c>
      <c r="D59" s="69">
        <f t="shared" si="8"/>
        <v>27.18</v>
      </c>
      <c r="E59" s="69">
        <f t="shared" si="8"/>
        <v>0.78000000000000114</v>
      </c>
      <c r="F59" s="69">
        <f t="shared" si="8"/>
        <v>2.4499999999999993</v>
      </c>
      <c r="G59" s="69">
        <f t="shared" si="8"/>
        <v>9</v>
      </c>
      <c r="H59" s="69">
        <f t="shared" si="8"/>
        <v>17.940000000000001</v>
      </c>
      <c r="I59" s="69">
        <f t="shared" si="8"/>
        <v>45</v>
      </c>
      <c r="J59" s="69">
        <f t="shared" si="8"/>
        <v>42</v>
      </c>
      <c r="K59" s="69">
        <f t="shared" si="8"/>
        <v>87</v>
      </c>
      <c r="L59" s="69">
        <f t="shared" si="8"/>
        <v>89.6</v>
      </c>
      <c r="M59" s="69">
        <f t="shared" si="8"/>
        <v>64.900000000000006</v>
      </c>
      <c r="N59" s="69">
        <f t="shared" si="8"/>
        <v>64</v>
      </c>
      <c r="O59" s="69">
        <f t="shared" si="8"/>
        <v>79.38</v>
      </c>
      <c r="P59" s="69">
        <f t="shared" si="8"/>
        <v>72.25</v>
      </c>
      <c r="Q59" s="69">
        <f t="shared" si="8"/>
        <v>69.25</v>
      </c>
      <c r="R59" s="69">
        <f t="shared" si="8"/>
        <v>113</v>
      </c>
      <c r="S59" s="69">
        <f t="shared" si="8"/>
        <v>114.6</v>
      </c>
      <c r="T59" s="69">
        <f t="shared" si="8"/>
        <v>97</v>
      </c>
      <c r="U59" s="69">
        <f t="shared" si="8"/>
        <v>99.66</v>
      </c>
      <c r="V59" s="69">
        <f t="shared" si="8"/>
        <v>100.6</v>
      </c>
      <c r="W59" s="69">
        <f t="shared" si="8"/>
        <v>95</v>
      </c>
      <c r="X59" s="69">
        <f t="shared" si="8"/>
        <v>126</v>
      </c>
      <c r="Y59" s="69">
        <f t="shared" si="8"/>
        <v>158.6</v>
      </c>
      <c r="Z59" s="69">
        <f t="shared" si="8"/>
        <v>277</v>
      </c>
      <c r="AA59" s="69">
        <f t="shared" si="8"/>
        <v>272.89999999999998</v>
      </c>
      <c r="AB59" s="69">
        <f t="shared" si="8"/>
        <v>245.2</v>
      </c>
      <c r="AC59" s="69">
        <f t="shared" si="8"/>
        <v>230.4</v>
      </c>
      <c r="AD59" s="69">
        <f t="shared" si="8"/>
        <v>204.1</v>
      </c>
      <c r="AE59" s="69">
        <f t="shared" si="8"/>
        <v>190.47</v>
      </c>
      <c r="AF59" s="69">
        <f t="shared" si="8"/>
        <v>111.55000000000001</v>
      </c>
      <c r="AG59" s="74">
        <f>SUM(AG48:AG58)</f>
        <v>0</v>
      </c>
      <c r="AH59" s="52">
        <f t="shared" si="2"/>
        <v>277</v>
      </c>
      <c r="AI59" s="53">
        <f t="shared" si="3"/>
        <v>0.78000000000000114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698.09999999999991</v>
      </c>
      <c r="C65" s="91">
        <f t="shared" ref="C65:AF65" si="10">C63+C59+C47+C43+C30+C64</f>
        <v>683.33999999999992</v>
      </c>
      <c r="D65" s="91">
        <f t="shared" si="10"/>
        <v>670.81999999999994</v>
      </c>
      <c r="E65" s="91">
        <f t="shared" si="10"/>
        <v>643.52</v>
      </c>
      <c r="F65" s="91">
        <f t="shared" si="10"/>
        <v>644.79</v>
      </c>
      <c r="G65" s="91">
        <f t="shared" si="10"/>
        <v>650.93999999999994</v>
      </c>
      <c r="H65" s="91">
        <f t="shared" si="10"/>
        <v>669.28</v>
      </c>
      <c r="I65" s="91">
        <f t="shared" si="10"/>
        <v>713.24</v>
      </c>
      <c r="J65" s="91">
        <f t="shared" si="10"/>
        <v>735.43999999999994</v>
      </c>
      <c r="K65" s="91">
        <f t="shared" si="10"/>
        <v>778.33999999999992</v>
      </c>
      <c r="L65" s="91">
        <f t="shared" si="10"/>
        <v>813.14</v>
      </c>
      <c r="M65" s="91">
        <f t="shared" si="10"/>
        <v>823.44</v>
      </c>
      <c r="N65" s="91">
        <f t="shared" si="10"/>
        <v>825.94</v>
      </c>
      <c r="O65" s="91">
        <f t="shared" si="10"/>
        <v>845.72</v>
      </c>
      <c r="P65" s="91">
        <f t="shared" si="10"/>
        <v>843.99</v>
      </c>
      <c r="Q65" s="91">
        <f t="shared" si="10"/>
        <v>876.19</v>
      </c>
      <c r="R65" s="91">
        <f t="shared" si="10"/>
        <v>920.24</v>
      </c>
      <c r="S65" s="91">
        <f t="shared" si="10"/>
        <v>905.33999999999992</v>
      </c>
      <c r="T65" s="91">
        <f t="shared" si="10"/>
        <v>905.44</v>
      </c>
      <c r="U65" s="91">
        <f t="shared" si="10"/>
        <v>888.50000000000011</v>
      </c>
      <c r="V65" s="91">
        <f t="shared" si="10"/>
        <v>862.44</v>
      </c>
      <c r="W65" s="91">
        <f t="shared" si="10"/>
        <v>856.84000000000015</v>
      </c>
      <c r="X65" s="91">
        <f t="shared" si="10"/>
        <v>896.94</v>
      </c>
      <c r="Y65" s="91">
        <f t="shared" si="10"/>
        <v>967.74000000000012</v>
      </c>
      <c r="Z65" s="91">
        <f t="shared" si="10"/>
        <v>1193.94</v>
      </c>
      <c r="AA65" s="91">
        <f t="shared" si="10"/>
        <v>1172.3399999999999</v>
      </c>
      <c r="AB65" s="91">
        <f t="shared" si="10"/>
        <v>1116.94</v>
      </c>
      <c r="AC65" s="91">
        <f t="shared" si="10"/>
        <v>1101.24</v>
      </c>
      <c r="AD65" s="91">
        <f t="shared" si="10"/>
        <v>1050.94</v>
      </c>
      <c r="AE65" s="91">
        <f t="shared" si="10"/>
        <v>1011.21</v>
      </c>
      <c r="AF65" s="91">
        <f t="shared" si="10"/>
        <v>956.89</v>
      </c>
      <c r="AG65" s="74">
        <f>AG63+AG59+AG47+AG43+AG30+AG64</f>
        <v>1355.5100000000002</v>
      </c>
      <c r="AH65" s="52">
        <f t="shared" si="2"/>
        <v>1193.94</v>
      </c>
      <c r="AI65" s="53">
        <f t="shared" si="3"/>
        <v>643.52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4</v>
      </c>
      <c r="E69" s="82">
        <f t="shared" si="17"/>
        <v>26</v>
      </c>
      <c r="F69" s="82">
        <f t="shared" si="17"/>
        <v>25</v>
      </c>
      <c r="G69" s="82">
        <f t="shared" si="17"/>
        <v>15</v>
      </c>
      <c r="H69" s="82">
        <f t="shared" si="17"/>
        <v>3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26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4</v>
      </c>
      <c r="E71" s="69">
        <f t="shared" si="18"/>
        <v>26</v>
      </c>
      <c r="F71" s="69">
        <f t="shared" si="18"/>
        <v>25</v>
      </c>
      <c r="G71" s="69">
        <f t="shared" si="18"/>
        <v>15</v>
      </c>
      <c r="H71" s="69">
        <f t="shared" si="18"/>
        <v>3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26</v>
      </c>
      <c r="AI71" s="53">
        <f t="shared" si="3"/>
        <v>0</v>
      </c>
    </row>
    <row r="72" spans="1:35" x14ac:dyDescent="0.25">
      <c r="A72" s="93" t="s">
        <v>79</v>
      </c>
      <c r="B72" s="94">
        <v>50.04</v>
      </c>
      <c r="C72" s="94">
        <v>50.006999999999998</v>
      </c>
      <c r="D72" s="94">
        <v>50.036000000000001</v>
      </c>
      <c r="E72" s="94">
        <v>49.981999999999999</v>
      </c>
      <c r="F72" s="94">
        <v>49.941000000000003</v>
      </c>
      <c r="G72" s="94">
        <v>49.941000000000003</v>
      </c>
      <c r="H72" s="94">
        <v>50.042999999999999</v>
      </c>
      <c r="I72" s="94">
        <v>50.115000000000002</v>
      </c>
      <c r="J72" s="94">
        <v>50.101999999999997</v>
      </c>
      <c r="K72" s="94">
        <v>50.054000000000002</v>
      </c>
      <c r="L72" s="94">
        <v>50.06</v>
      </c>
      <c r="M72" s="94">
        <v>49.988</v>
      </c>
      <c r="N72" s="94">
        <v>50.01</v>
      </c>
      <c r="O72" s="94">
        <v>50.05</v>
      </c>
      <c r="P72" s="94">
        <v>49.95</v>
      </c>
      <c r="Q72" s="95">
        <v>49.981999999999999</v>
      </c>
      <c r="R72" s="94">
        <v>50.027000000000001</v>
      </c>
      <c r="S72" s="94">
        <v>50.023000000000003</v>
      </c>
      <c r="T72" s="94">
        <v>49.975999999999999</v>
      </c>
      <c r="U72" s="94">
        <v>50.057000000000002</v>
      </c>
      <c r="V72" s="94">
        <v>50.127000000000002</v>
      </c>
      <c r="W72" s="94">
        <v>50.064999999999998</v>
      </c>
      <c r="X72" s="94">
        <v>50.042000000000002</v>
      </c>
      <c r="Y72" s="94">
        <v>49.948</v>
      </c>
      <c r="Z72" s="94">
        <v>49.89</v>
      </c>
      <c r="AA72" s="94">
        <v>49.88</v>
      </c>
      <c r="AB72" s="94">
        <v>50.02</v>
      </c>
      <c r="AC72" s="94">
        <v>50.011000000000003</v>
      </c>
      <c r="AD72" s="94">
        <v>50.04</v>
      </c>
      <c r="AE72" s="94">
        <v>49.98</v>
      </c>
      <c r="AF72" s="96">
        <v>50.03</v>
      </c>
      <c r="AG72" s="97"/>
      <c r="AH72" s="52">
        <f t="shared" si="2"/>
        <v>50.127000000000002</v>
      </c>
      <c r="AI72" s="53">
        <f t="shared" si="3"/>
        <v>49.88</v>
      </c>
    </row>
    <row r="73" spans="1:35" x14ac:dyDescent="0.25">
      <c r="A73" s="98" t="s">
        <v>80</v>
      </c>
      <c r="B73" s="70">
        <v>126.7</v>
      </c>
      <c r="C73" s="70">
        <v>127</v>
      </c>
      <c r="D73" s="70">
        <v>128</v>
      </c>
      <c r="E73" s="70">
        <v>128.4</v>
      </c>
      <c r="F73" s="70">
        <v>129.4</v>
      </c>
      <c r="G73" s="70">
        <v>129.4</v>
      </c>
      <c r="H73" s="70">
        <v>129.5</v>
      </c>
      <c r="I73" s="70">
        <v>128.6</v>
      </c>
      <c r="J73" s="70">
        <v>128.30000000000001</v>
      </c>
      <c r="K73" s="70">
        <v>126.6</v>
      </c>
      <c r="L73" s="70">
        <v>126.8</v>
      </c>
      <c r="M73" s="70">
        <v>126.9</v>
      </c>
      <c r="N73" s="70">
        <v>125.5</v>
      </c>
      <c r="O73" s="70">
        <v>125.8</v>
      </c>
      <c r="P73" s="70">
        <v>125.9</v>
      </c>
      <c r="Q73" s="99">
        <v>126.3</v>
      </c>
      <c r="R73" s="99">
        <v>126.3</v>
      </c>
      <c r="S73" s="99">
        <v>126.3</v>
      </c>
      <c r="T73" s="99">
        <v>125.1</v>
      </c>
      <c r="U73" s="99">
        <v>125.8</v>
      </c>
      <c r="V73" s="99">
        <v>125.8</v>
      </c>
      <c r="W73" s="99">
        <v>125.8</v>
      </c>
      <c r="X73" s="99">
        <v>127</v>
      </c>
      <c r="Y73" s="99">
        <v>127</v>
      </c>
      <c r="Z73" s="99">
        <v>127.2</v>
      </c>
      <c r="AA73" s="70">
        <v>127.2</v>
      </c>
      <c r="AB73" s="70">
        <v>127.2</v>
      </c>
      <c r="AC73" s="70">
        <v>127.3</v>
      </c>
      <c r="AD73" s="70">
        <v>126.4</v>
      </c>
      <c r="AE73" s="70">
        <v>126</v>
      </c>
      <c r="AF73" s="100">
        <v>126</v>
      </c>
      <c r="AG73" s="101"/>
      <c r="AH73" s="52">
        <f t="shared" si="2"/>
        <v>129.5</v>
      </c>
      <c r="AI73" s="53">
        <f t="shared" si="3"/>
        <v>125.1</v>
      </c>
    </row>
    <row r="74" spans="1:35" x14ac:dyDescent="0.25">
      <c r="A74" s="98" t="s">
        <v>81</v>
      </c>
      <c r="B74" s="70">
        <v>129.9</v>
      </c>
      <c r="C74" s="70">
        <v>130.19999999999999</v>
      </c>
      <c r="D74" s="70">
        <v>130.69999999999999</v>
      </c>
      <c r="E74" s="70">
        <v>131.19999999999999</v>
      </c>
      <c r="F74" s="70">
        <v>131.5</v>
      </c>
      <c r="G74" s="70">
        <v>131.5</v>
      </c>
      <c r="H74" s="70">
        <v>131</v>
      </c>
      <c r="I74" s="70">
        <v>129.80000000000001</v>
      </c>
      <c r="J74" s="70">
        <v>129.1</v>
      </c>
      <c r="K74" s="70">
        <v>128.6</v>
      </c>
      <c r="L74" s="70">
        <v>128.5</v>
      </c>
      <c r="M74" s="70">
        <v>129</v>
      </c>
      <c r="N74" s="70">
        <v>128</v>
      </c>
      <c r="O74" s="70">
        <v>128.5</v>
      </c>
      <c r="P74" s="70">
        <v>128.5</v>
      </c>
      <c r="Q74" s="99">
        <v>129.4</v>
      </c>
      <c r="R74" s="99">
        <v>129.30000000000001</v>
      </c>
      <c r="S74" s="99">
        <v>129.30000000000001</v>
      </c>
      <c r="T74" s="99">
        <v>128.19999999999999</v>
      </c>
      <c r="U74" s="99">
        <v>128.69999999999999</v>
      </c>
      <c r="V74" s="99">
        <v>128.69999999999999</v>
      </c>
      <c r="W74" s="99">
        <v>128.69999999999999</v>
      </c>
      <c r="X74" s="99">
        <v>129.80000000000001</v>
      </c>
      <c r="Y74" s="99">
        <v>129.80000000000001</v>
      </c>
      <c r="Z74" s="99">
        <v>129.6</v>
      </c>
      <c r="AA74" s="70">
        <v>129.5</v>
      </c>
      <c r="AB74" s="70">
        <v>130</v>
      </c>
      <c r="AC74" s="70">
        <v>130.30000000000001</v>
      </c>
      <c r="AD74" s="70">
        <v>129.5</v>
      </c>
      <c r="AE74" s="70">
        <v>128.9</v>
      </c>
      <c r="AF74" s="100">
        <v>129.5</v>
      </c>
      <c r="AG74" s="101"/>
      <c r="AH74" s="52">
        <f t="shared" si="2"/>
        <v>131.5</v>
      </c>
      <c r="AI74" s="53">
        <f t="shared" si="3"/>
        <v>128</v>
      </c>
    </row>
    <row r="75" spans="1:35" x14ac:dyDescent="0.25">
      <c r="A75" s="98" t="s">
        <v>82</v>
      </c>
      <c r="B75" s="70">
        <v>127</v>
      </c>
      <c r="C75" s="70">
        <v>128</v>
      </c>
      <c r="D75" s="70">
        <v>129.5</v>
      </c>
      <c r="E75" s="70">
        <v>129.19999999999999</v>
      </c>
      <c r="F75" s="70">
        <v>132.19999999999999</v>
      </c>
      <c r="G75" s="70">
        <v>130.19999999999999</v>
      </c>
      <c r="H75" s="70">
        <v>130.19999999999999</v>
      </c>
      <c r="I75" s="70">
        <v>129.19999999999999</v>
      </c>
      <c r="J75" s="70">
        <v>130.5</v>
      </c>
      <c r="K75" s="70">
        <v>127.5</v>
      </c>
      <c r="L75" s="70">
        <v>128</v>
      </c>
      <c r="M75" s="70">
        <v>128</v>
      </c>
      <c r="N75" s="70">
        <v>127.5</v>
      </c>
      <c r="O75" s="70">
        <v>127.2</v>
      </c>
      <c r="P75" s="70">
        <v>129.4</v>
      </c>
      <c r="Q75" s="70">
        <v>128.4</v>
      </c>
      <c r="R75" s="70">
        <v>129</v>
      </c>
      <c r="S75" s="70">
        <v>129</v>
      </c>
      <c r="T75" s="99">
        <v>129</v>
      </c>
      <c r="U75" s="99">
        <v>130.30000000000001</v>
      </c>
      <c r="V75" s="99">
        <v>130.30000000000001</v>
      </c>
      <c r="W75" s="99">
        <v>130.30000000000001</v>
      </c>
      <c r="X75" s="99">
        <v>129</v>
      </c>
      <c r="Y75" s="99">
        <v>129</v>
      </c>
      <c r="Z75" s="99">
        <v>127.3</v>
      </c>
      <c r="AA75" s="70">
        <v>128.9</v>
      </c>
      <c r="AB75" s="70">
        <v>127.3</v>
      </c>
      <c r="AC75" s="70">
        <v>126.9</v>
      </c>
      <c r="AD75" s="70">
        <v>129</v>
      </c>
      <c r="AE75" s="70">
        <v>129.4</v>
      </c>
      <c r="AF75" s="100">
        <v>129.5</v>
      </c>
      <c r="AG75" s="101"/>
      <c r="AH75" s="52">
        <f t="shared" si="2"/>
        <v>132.19999999999999</v>
      </c>
      <c r="AI75" s="53">
        <f t="shared" si="3"/>
        <v>126.9</v>
      </c>
    </row>
    <row r="76" spans="1:35" x14ac:dyDescent="0.25">
      <c r="A76" s="102" t="s">
        <v>83</v>
      </c>
      <c r="B76" s="70">
        <v>131.6</v>
      </c>
      <c r="C76" s="70">
        <v>132.6</v>
      </c>
      <c r="D76" s="70">
        <v>133.9</v>
      </c>
      <c r="E76" s="70">
        <v>132.19999999999999</v>
      </c>
      <c r="F76" s="70">
        <v>134.5</v>
      </c>
      <c r="G76" s="70">
        <v>132.80000000000001</v>
      </c>
      <c r="H76" s="70">
        <v>132.80000000000001</v>
      </c>
      <c r="I76" s="70">
        <v>131.9</v>
      </c>
      <c r="J76" s="70">
        <v>132.80000000000001</v>
      </c>
      <c r="K76" s="70">
        <v>130.19999999999999</v>
      </c>
      <c r="L76" s="70">
        <v>130.5</v>
      </c>
      <c r="M76" s="70">
        <v>129.9</v>
      </c>
      <c r="N76" s="70">
        <v>128.9</v>
      </c>
      <c r="O76" s="70">
        <v>128.69999999999999</v>
      </c>
      <c r="P76" s="70">
        <v>130.19999999999999</v>
      </c>
      <c r="Q76" s="70">
        <v>130.30000000000001</v>
      </c>
      <c r="R76" s="70">
        <v>131.80000000000001</v>
      </c>
      <c r="S76" s="70">
        <v>131.80000000000001</v>
      </c>
      <c r="T76" s="99">
        <v>131</v>
      </c>
      <c r="U76" s="99">
        <v>132.6</v>
      </c>
      <c r="V76" s="99">
        <v>132.6</v>
      </c>
      <c r="W76" s="99">
        <v>132.6</v>
      </c>
      <c r="X76" s="99">
        <v>131.6</v>
      </c>
      <c r="Y76" s="99">
        <v>131.6</v>
      </c>
      <c r="Z76" s="99">
        <v>129.4</v>
      </c>
      <c r="AA76" s="70">
        <v>129.80000000000001</v>
      </c>
      <c r="AB76" s="70">
        <v>129.5</v>
      </c>
      <c r="AC76" s="70">
        <v>129.6</v>
      </c>
      <c r="AD76" s="70">
        <v>131.80000000000001</v>
      </c>
      <c r="AE76" s="70">
        <v>131.9</v>
      </c>
      <c r="AF76" s="100">
        <v>129.69999999999999</v>
      </c>
      <c r="AG76" s="101"/>
      <c r="AH76" s="52">
        <f t="shared" si="2"/>
        <v>134.5</v>
      </c>
      <c r="AI76" s="53">
        <f t="shared" si="3"/>
        <v>128.69999999999999</v>
      </c>
    </row>
    <row r="77" spans="1:35" x14ac:dyDescent="0.25">
      <c r="A77" s="102" t="s">
        <v>84</v>
      </c>
      <c r="B77" s="103">
        <v>130.9</v>
      </c>
      <c r="C77" s="103">
        <v>130.80000000000001</v>
      </c>
      <c r="D77" s="103">
        <v>133.80000000000001</v>
      </c>
      <c r="E77" s="103">
        <v>135.19999999999999</v>
      </c>
      <c r="F77" s="103">
        <v>135</v>
      </c>
      <c r="G77" s="103">
        <v>135.69999999999999</v>
      </c>
      <c r="H77" s="103">
        <v>135.69999999999999</v>
      </c>
      <c r="I77" s="103">
        <v>135.69999999999999</v>
      </c>
      <c r="J77" s="103">
        <v>134.80000000000001</v>
      </c>
      <c r="K77" s="103">
        <v>134.1</v>
      </c>
      <c r="L77" s="103">
        <v>131.9</v>
      </c>
      <c r="M77" s="103">
        <v>134.30000000000001</v>
      </c>
      <c r="N77" s="103">
        <v>133.19999999999999</v>
      </c>
      <c r="O77" s="103">
        <v>132.69999999999999</v>
      </c>
      <c r="P77" s="103">
        <v>135</v>
      </c>
      <c r="Q77" s="103">
        <v>134.1</v>
      </c>
      <c r="R77" s="103">
        <v>133.80000000000001</v>
      </c>
      <c r="S77" s="103">
        <v>133.80000000000001</v>
      </c>
      <c r="T77" s="99">
        <v>131.1</v>
      </c>
      <c r="U77" s="99">
        <v>130.1</v>
      </c>
      <c r="V77" s="99">
        <v>130.1</v>
      </c>
      <c r="W77" s="99">
        <v>130.1</v>
      </c>
      <c r="X77" s="99">
        <v>134.5</v>
      </c>
      <c r="Y77" s="99">
        <v>134.5</v>
      </c>
      <c r="Z77" s="99">
        <v>130.4</v>
      </c>
      <c r="AA77" s="103">
        <v>130.80000000000001</v>
      </c>
      <c r="AB77" s="103">
        <v>131.80000000000001</v>
      </c>
      <c r="AC77" s="103">
        <v>135.80000000000001</v>
      </c>
      <c r="AD77" s="103">
        <v>135.6</v>
      </c>
      <c r="AE77" s="103">
        <v>133.6</v>
      </c>
      <c r="AF77" s="104">
        <v>135.69999999999999</v>
      </c>
      <c r="AG77" s="105"/>
      <c r="AH77" s="52">
        <f t="shared" si="2"/>
        <v>135.80000000000001</v>
      </c>
      <c r="AI77" s="53">
        <f t="shared" si="3"/>
        <v>130.1</v>
      </c>
    </row>
    <row r="78" spans="1:35" x14ac:dyDescent="0.25">
      <c r="A78" s="98" t="s">
        <v>85</v>
      </c>
      <c r="B78" s="70">
        <v>136.1</v>
      </c>
      <c r="C78" s="70">
        <v>136.4</v>
      </c>
      <c r="D78" s="70">
        <v>138</v>
      </c>
      <c r="E78" s="70">
        <v>138.1</v>
      </c>
      <c r="F78" s="70">
        <v>138</v>
      </c>
      <c r="G78" s="70">
        <v>138</v>
      </c>
      <c r="H78" s="70">
        <v>138.1</v>
      </c>
      <c r="I78" s="70">
        <v>137.1</v>
      </c>
      <c r="J78" s="70">
        <v>135.6</v>
      </c>
      <c r="K78" s="70">
        <v>129.69999999999999</v>
      </c>
      <c r="L78" s="70">
        <v>127</v>
      </c>
      <c r="M78" s="70">
        <v>129.19999999999999</v>
      </c>
      <c r="N78" s="70">
        <v>126.5</v>
      </c>
      <c r="O78" s="70">
        <v>130.30000000000001</v>
      </c>
      <c r="P78" s="70">
        <v>127.4</v>
      </c>
      <c r="Q78" s="70">
        <v>128.19999999999999</v>
      </c>
      <c r="R78" s="70">
        <v>126.8</v>
      </c>
      <c r="S78" s="70">
        <v>126.8</v>
      </c>
      <c r="T78" s="99">
        <v>127.2</v>
      </c>
      <c r="U78" s="99">
        <v>126.2</v>
      </c>
      <c r="V78" s="99">
        <v>126.2</v>
      </c>
      <c r="W78" s="99">
        <v>126.2</v>
      </c>
      <c r="X78" s="99">
        <v>129.6</v>
      </c>
      <c r="Y78" s="99">
        <v>129.6</v>
      </c>
      <c r="Z78" s="99">
        <v>129.5</v>
      </c>
      <c r="AA78" s="70">
        <v>129.4</v>
      </c>
      <c r="AB78" s="70">
        <v>129.5</v>
      </c>
      <c r="AC78" s="70">
        <v>126.4</v>
      </c>
      <c r="AD78" s="70">
        <v>127.7</v>
      </c>
      <c r="AE78" s="70">
        <v>131.4</v>
      </c>
      <c r="AF78" s="100">
        <v>133</v>
      </c>
      <c r="AG78" s="101"/>
      <c r="AH78" s="52">
        <f>MAX(B78:AF78)</f>
        <v>138.1</v>
      </c>
      <c r="AI78" s="53">
        <f>MIN(B78:AF78)</f>
        <v>126.2</v>
      </c>
    </row>
    <row r="79" spans="1:35" ht="15.75" thickBot="1" x14ac:dyDescent="0.3">
      <c r="A79" s="98" t="s">
        <v>86</v>
      </c>
      <c r="B79" s="106">
        <v>66.2</v>
      </c>
      <c r="C79" s="106">
        <v>66.2</v>
      </c>
      <c r="D79" s="106">
        <v>66.400000000000006</v>
      </c>
      <c r="E79" s="106">
        <v>66.599999999999994</v>
      </c>
      <c r="F79" s="106">
        <v>66.7</v>
      </c>
      <c r="G79" s="106">
        <v>66.7</v>
      </c>
      <c r="H79" s="106">
        <v>66.2</v>
      </c>
      <c r="I79" s="106">
        <v>65.5</v>
      </c>
      <c r="J79" s="106">
        <v>65.2</v>
      </c>
      <c r="K79" s="106">
        <v>64.900000000000006</v>
      </c>
      <c r="L79" s="106">
        <v>64.8</v>
      </c>
      <c r="M79" s="106">
        <v>65.400000000000006</v>
      </c>
      <c r="N79" s="106">
        <v>65.400000000000006</v>
      </c>
      <c r="O79" s="106">
        <v>65.7</v>
      </c>
      <c r="P79" s="106">
        <v>65.7</v>
      </c>
      <c r="Q79" s="106">
        <v>66.099999999999994</v>
      </c>
      <c r="R79" s="106">
        <v>66</v>
      </c>
      <c r="S79" s="106">
        <v>66</v>
      </c>
      <c r="T79" s="106">
        <v>65.5</v>
      </c>
      <c r="U79" s="106">
        <v>65.7</v>
      </c>
      <c r="V79" s="106">
        <v>65.7</v>
      </c>
      <c r="W79" s="106">
        <v>65.7</v>
      </c>
      <c r="X79" s="106">
        <v>66.3</v>
      </c>
      <c r="Y79" s="106">
        <v>66.3</v>
      </c>
      <c r="Z79" s="106">
        <v>66.2</v>
      </c>
      <c r="AA79" s="106">
        <v>65.900000000000006</v>
      </c>
      <c r="AB79" s="106">
        <v>66.3</v>
      </c>
      <c r="AC79" s="106">
        <v>66.2</v>
      </c>
      <c r="AD79" s="106">
        <v>66.2</v>
      </c>
      <c r="AE79" s="106">
        <v>66</v>
      </c>
      <c r="AF79" s="107">
        <v>66.3</v>
      </c>
      <c r="AG79" s="108"/>
      <c r="AH79" s="52">
        <f>MAX(B79:AF79)</f>
        <v>66.7</v>
      </c>
      <c r="AI79" s="53">
        <f>MIN(B79:AF79)</f>
        <v>64.8</v>
      </c>
    </row>
    <row r="80" spans="1:35" x14ac:dyDescent="0.25">
      <c r="A80" s="109" t="s">
        <v>87</v>
      </c>
      <c r="B80" s="110">
        <f t="shared" ref="B80:AF80" si="19">SUMIF(B48:B57,"&gt;0")</f>
        <v>59.16</v>
      </c>
      <c r="C80" s="110">
        <f t="shared" si="19"/>
        <v>35</v>
      </c>
      <c r="D80" s="110">
        <f t="shared" si="19"/>
        <v>31.18</v>
      </c>
      <c r="E80" s="110">
        <f t="shared" si="19"/>
        <v>26.78</v>
      </c>
      <c r="F80" s="110">
        <f t="shared" si="19"/>
        <v>27.45</v>
      </c>
      <c r="G80" s="110">
        <f t="shared" si="19"/>
        <v>24</v>
      </c>
      <c r="H80" s="110">
        <f t="shared" si="19"/>
        <v>20.94</v>
      </c>
      <c r="I80" s="110">
        <f t="shared" si="19"/>
        <v>45</v>
      </c>
      <c r="J80" s="110">
        <f t="shared" si="19"/>
        <v>42</v>
      </c>
      <c r="K80" s="110">
        <f t="shared" si="19"/>
        <v>87</v>
      </c>
      <c r="L80" s="110">
        <f t="shared" si="19"/>
        <v>89.6</v>
      </c>
      <c r="M80" s="110">
        <f t="shared" si="19"/>
        <v>64.900000000000006</v>
      </c>
      <c r="N80" s="110">
        <f t="shared" si="19"/>
        <v>64</v>
      </c>
      <c r="O80" s="110">
        <f t="shared" si="19"/>
        <v>79.38</v>
      </c>
      <c r="P80" s="110">
        <f t="shared" si="19"/>
        <v>72.25</v>
      </c>
      <c r="Q80" s="110">
        <f t="shared" si="19"/>
        <v>69.25</v>
      </c>
      <c r="R80" s="110">
        <f t="shared" si="19"/>
        <v>113</v>
      </c>
      <c r="S80" s="110">
        <f t="shared" si="19"/>
        <v>114.6</v>
      </c>
      <c r="T80" s="110">
        <f t="shared" si="19"/>
        <v>97</v>
      </c>
      <c r="U80" s="110">
        <f t="shared" si="19"/>
        <v>99.66</v>
      </c>
      <c r="V80" s="110">
        <f t="shared" si="19"/>
        <v>100.6</v>
      </c>
      <c r="W80" s="110">
        <f t="shared" si="19"/>
        <v>95</v>
      </c>
      <c r="X80" s="110">
        <f t="shared" si="19"/>
        <v>126</v>
      </c>
      <c r="Y80" s="110">
        <f t="shared" si="19"/>
        <v>158.6</v>
      </c>
      <c r="Z80" s="110">
        <f t="shared" si="19"/>
        <v>277</v>
      </c>
      <c r="AA80" s="110">
        <f t="shared" si="19"/>
        <v>272.89999999999998</v>
      </c>
      <c r="AB80" s="110">
        <f t="shared" si="19"/>
        <v>245.2</v>
      </c>
      <c r="AC80" s="110">
        <f t="shared" si="19"/>
        <v>230.4</v>
      </c>
      <c r="AD80" s="110">
        <f t="shared" si="19"/>
        <v>204.1</v>
      </c>
      <c r="AE80" s="110">
        <f t="shared" si="19"/>
        <v>190.47</v>
      </c>
      <c r="AF80" s="110">
        <f t="shared" si="19"/>
        <v>111.55000000000001</v>
      </c>
      <c r="AG80" s="111"/>
      <c r="AH80" s="52">
        <f>MAX(B80:AF80)</f>
        <v>277</v>
      </c>
      <c r="AI80" s="53">
        <f>MIN(B80:AF80)</f>
        <v>20.94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108.51999999999998</v>
      </c>
      <c r="C82" s="115">
        <f t="shared" ref="C82:AF82" si="20">C11+C13+C17+C34+C36+C38+C40+C94+C108+C110+C121+C127+C130+C139+C143+C144+C147+C154+C159+C162+C163+C164+C172+C177+C83+C84+C85+C86+C99</f>
        <v>105.41999999999996</v>
      </c>
      <c r="D82" s="115">
        <f t="shared" si="20"/>
        <v>103.12</v>
      </c>
      <c r="E82" s="115">
        <f t="shared" si="20"/>
        <v>209.51999999999998</v>
      </c>
      <c r="F82" s="115">
        <f t="shared" si="20"/>
        <v>224.21999999999997</v>
      </c>
      <c r="G82" s="115">
        <f t="shared" si="20"/>
        <v>242.81999999999994</v>
      </c>
      <c r="H82" s="115">
        <f t="shared" si="20"/>
        <v>255.11999999999995</v>
      </c>
      <c r="I82" s="115">
        <f t="shared" si="20"/>
        <v>269.11999999999995</v>
      </c>
      <c r="J82" s="115">
        <f t="shared" si="20"/>
        <v>278.71999999999997</v>
      </c>
      <c r="K82" s="115">
        <f t="shared" si="20"/>
        <v>199.46699999999998</v>
      </c>
      <c r="L82" s="115">
        <f t="shared" si="20"/>
        <v>254.42000000000002</v>
      </c>
      <c r="M82" s="115">
        <f t="shared" si="20"/>
        <v>280.81999999999994</v>
      </c>
      <c r="N82" s="115">
        <f t="shared" si="20"/>
        <v>315.02</v>
      </c>
      <c r="O82" s="115">
        <f t="shared" si="20"/>
        <v>269.82</v>
      </c>
      <c r="P82" s="115">
        <f t="shared" si="20"/>
        <v>259.91999999999996</v>
      </c>
      <c r="Q82" s="115">
        <f t="shared" si="20"/>
        <v>249.51999999999995</v>
      </c>
      <c r="R82" s="115">
        <f t="shared" si="20"/>
        <v>231.32</v>
      </c>
      <c r="S82" s="115">
        <f t="shared" si="20"/>
        <v>254.42</v>
      </c>
      <c r="T82" s="115">
        <f t="shared" si="20"/>
        <v>256.41999999999996</v>
      </c>
      <c r="U82" s="115">
        <f t="shared" si="20"/>
        <v>245.72</v>
      </c>
      <c r="V82" s="115">
        <f t="shared" si="20"/>
        <v>248.82</v>
      </c>
      <c r="W82" s="115">
        <f t="shared" si="20"/>
        <v>244.22</v>
      </c>
      <c r="X82" s="115">
        <f t="shared" si="20"/>
        <v>257.21999999999997</v>
      </c>
      <c r="Y82" s="115">
        <f t="shared" si="20"/>
        <v>288.52</v>
      </c>
      <c r="Z82" s="115">
        <f t="shared" si="20"/>
        <v>312.71999999999991</v>
      </c>
      <c r="AA82" s="115">
        <f t="shared" si="20"/>
        <v>301.51999999999992</v>
      </c>
      <c r="AB82" s="115">
        <f t="shared" si="20"/>
        <v>236.32</v>
      </c>
      <c r="AC82" s="115">
        <f t="shared" si="20"/>
        <v>227.82000000000002</v>
      </c>
      <c r="AD82" s="115">
        <f t="shared" si="20"/>
        <v>230.51999999999998</v>
      </c>
      <c r="AE82" s="115">
        <f t="shared" si="20"/>
        <v>222.62</v>
      </c>
      <c r="AF82" s="115">
        <f t="shared" si="20"/>
        <v>215.71999999999997</v>
      </c>
      <c r="AG82" s="116"/>
      <c r="AH82" s="52">
        <f>MAX(B82:AF82)</f>
        <v>315.02</v>
      </c>
      <c r="AI82" s="53">
        <f>MIN(B82:AF82)</f>
        <v>103.12</v>
      </c>
    </row>
    <row r="83" spans="1:37" x14ac:dyDescent="0.25">
      <c r="A83" s="117" t="s">
        <v>89</v>
      </c>
      <c r="B83" s="118">
        <v>59.4</v>
      </c>
      <c r="C83" s="118">
        <v>64.900000000000006</v>
      </c>
      <c r="D83" s="118">
        <v>66</v>
      </c>
      <c r="E83" s="118">
        <v>64.599999999999994</v>
      </c>
      <c r="F83" s="118">
        <v>61.4</v>
      </c>
      <c r="G83" s="118">
        <v>62</v>
      </c>
      <c r="H83" s="118">
        <v>63.3</v>
      </c>
      <c r="I83" s="118">
        <v>67.400000000000006</v>
      </c>
      <c r="J83" s="118">
        <v>71.7</v>
      </c>
      <c r="K83" s="118">
        <v>50.046999999999997</v>
      </c>
      <c r="L83" s="118">
        <v>67.7</v>
      </c>
      <c r="M83" s="118">
        <v>76.8</v>
      </c>
      <c r="N83" s="118">
        <v>78.2</v>
      </c>
      <c r="O83" s="118">
        <v>64.2</v>
      </c>
      <c r="P83" s="118">
        <v>70.7</v>
      </c>
      <c r="Q83" s="118">
        <v>58.3</v>
      </c>
      <c r="R83" s="118">
        <v>-54</v>
      </c>
      <c r="S83" s="118">
        <v>63.3</v>
      </c>
      <c r="T83" s="118">
        <v>64</v>
      </c>
      <c r="U83" s="118">
        <v>63.5</v>
      </c>
      <c r="V83" s="118">
        <v>67</v>
      </c>
      <c r="W83" s="118">
        <v>65</v>
      </c>
      <c r="X83" s="118">
        <v>65.400000000000006</v>
      </c>
      <c r="Y83" s="118">
        <v>68</v>
      </c>
      <c r="Z83" s="118">
        <v>59</v>
      </c>
      <c r="AA83" s="50">
        <v>47.4</v>
      </c>
      <c r="AB83" s="50">
        <v>46.8</v>
      </c>
      <c r="AC83" s="50">
        <v>45.6</v>
      </c>
      <c r="AD83" s="50">
        <v>51.9</v>
      </c>
      <c r="AE83" s="50">
        <v>55.8</v>
      </c>
      <c r="AF83" s="119">
        <v>58.8</v>
      </c>
      <c r="AG83" s="120">
        <v>75</v>
      </c>
      <c r="AH83" s="52">
        <f>IF(ABS(MAX(B83:AF83))&gt;ABS(MIN(B83:AF83)),MAX(B83:AF83),MIN(B83:AF83))</f>
        <v>78.2</v>
      </c>
      <c r="AI83" s="121">
        <f>INDEX($B$9:$AF$9,1,MATCH(AH83,B83:AF83,0))</f>
        <v>0.41666666666666702</v>
      </c>
    </row>
    <row r="84" spans="1:37" x14ac:dyDescent="0.25">
      <c r="A84" s="122" t="s">
        <v>90</v>
      </c>
      <c r="B84" s="83">
        <v>-63</v>
      </c>
      <c r="C84" s="83">
        <v>-72</v>
      </c>
      <c r="D84" s="83">
        <v>-67</v>
      </c>
      <c r="E84" s="83">
        <v>-67</v>
      </c>
      <c r="F84" s="83">
        <v>-48</v>
      </c>
      <c r="G84" s="83">
        <v>-32</v>
      </c>
      <c r="H84" s="83">
        <v>-21</v>
      </c>
      <c r="I84" s="83">
        <v>-7.6</v>
      </c>
      <c r="J84" s="83">
        <v>-2.5</v>
      </c>
      <c r="K84" s="83">
        <v>-60</v>
      </c>
      <c r="L84" s="83">
        <v>-22.1</v>
      </c>
      <c r="M84" s="83">
        <v>-4.5999999999999996</v>
      </c>
      <c r="N84" s="83">
        <v>17.600000000000001</v>
      </c>
      <c r="O84" s="83">
        <v>-17.399999999999999</v>
      </c>
      <c r="P84" s="83">
        <f>-29.8</f>
        <v>-29.8</v>
      </c>
      <c r="Q84" s="83">
        <v>-52</v>
      </c>
      <c r="R84" s="83">
        <v>41</v>
      </c>
      <c r="S84" s="83">
        <v>-48</v>
      </c>
      <c r="T84" s="83">
        <v>-48</v>
      </c>
      <c r="U84" s="83">
        <v>-48</v>
      </c>
      <c r="V84" s="83">
        <v>-42</v>
      </c>
      <c r="W84" s="83">
        <v>-44</v>
      </c>
      <c r="X84" s="83">
        <v>-37</v>
      </c>
      <c r="Y84" s="83">
        <v>-22</v>
      </c>
      <c r="Z84" s="83">
        <v>1</v>
      </c>
      <c r="AA84" s="70">
        <v>-2.4</v>
      </c>
      <c r="AB84" s="70">
        <v>-54.5</v>
      </c>
      <c r="AC84" s="70">
        <v>-60.2</v>
      </c>
      <c r="AD84" s="70">
        <f>-21.2-27.6</f>
        <v>-48.8</v>
      </c>
      <c r="AE84" s="70">
        <f>-25.5-29</f>
        <v>-54.5</v>
      </c>
      <c r="AF84" s="123">
        <f>-31.9-38.1</f>
        <v>-70</v>
      </c>
      <c r="AG84" s="120">
        <v>240</v>
      </c>
      <c r="AH84" s="52">
        <f>IF(ABS(MAX(B84:AF84))&gt;ABS(MIN(B84:AF84)),MAX(B84:AF84),MIN(B84:AF84))</f>
        <v>-72</v>
      </c>
      <c r="AI84" s="121">
        <f>INDEX($B$9:$AF$9,1,MATCH(AH84,B84:AF84,0))</f>
        <v>8.3333333333333301E-2</v>
      </c>
    </row>
    <row r="85" spans="1:37" x14ac:dyDescent="0.25">
      <c r="A85" s="122" t="s">
        <v>91</v>
      </c>
      <c r="B85" s="83">
        <v>0</v>
      </c>
      <c r="C85" s="83">
        <v>0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0</v>
      </c>
      <c r="K85" s="83">
        <v>0</v>
      </c>
      <c r="L85" s="83">
        <v>0</v>
      </c>
      <c r="M85" s="83">
        <v>0</v>
      </c>
      <c r="N85" s="83">
        <v>38.4</v>
      </c>
      <c r="O85" s="83">
        <v>41.7</v>
      </c>
      <c r="P85" s="83">
        <v>37.700000000000003</v>
      </c>
      <c r="Q85" s="83">
        <v>37.200000000000003</v>
      </c>
      <c r="R85" s="83">
        <v>39.4</v>
      </c>
      <c r="S85" s="83">
        <v>34.299999999999997</v>
      </c>
      <c r="T85" s="83">
        <v>38.6</v>
      </c>
      <c r="U85" s="83">
        <v>33.799999999999997</v>
      </c>
      <c r="V85" s="83">
        <v>27.4</v>
      </c>
      <c r="W85" s="83">
        <v>26.8</v>
      </c>
      <c r="X85" s="83">
        <v>32.4</v>
      </c>
      <c r="Y85" s="83">
        <v>46</v>
      </c>
      <c r="Z85" s="83">
        <v>50</v>
      </c>
      <c r="AA85" s="70">
        <v>48.7</v>
      </c>
      <c r="AB85" s="70">
        <v>36.1</v>
      </c>
      <c r="AC85" s="70">
        <v>34.299999999999997</v>
      </c>
      <c r="AD85" s="70">
        <v>20.399999999999999</v>
      </c>
      <c r="AE85" s="70">
        <v>8.4</v>
      </c>
      <c r="AF85" s="123">
        <v>13.6</v>
      </c>
      <c r="AG85" s="120">
        <v>60</v>
      </c>
      <c r="AH85" s="52">
        <f>IF(ABS(MAX(B85:AF85))&gt;ABS(MIN(B85:AF85)),MAX(B85:AF85),MIN(B85:AF85))</f>
        <v>50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-100</v>
      </c>
      <c r="C86" s="85">
        <v>-100</v>
      </c>
      <c r="D86" s="85">
        <v>-108</v>
      </c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-108</v>
      </c>
      <c r="AI86" s="121">
        <f>INDEX($B$9:$AF$9,1,MATCH(AH86,B86:AF86,0))</f>
        <v>0.125</v>
      </c>
    </row>
    <row r="87" spans="1:37" ht="15.75" thickBot="1" x14ac:dyDescent="0.3">
      <c r="A87" s="124" t="s">
        <v>93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823.44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16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16)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16)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698.09999999999991</v>
      </c>
      <c r="U193" s="173">
        <f t="shared" si="37"/>
        <v>683.33999999999992</v>
      </c>
      <c r="V193" s="173">
        <f t="shared" si="37"/>
        <v>670.81999999999994</v>
      </c>
      <c r="W193" s="173">
        <f t="shared" si="37"/>
        <v>643.52</v>
      </c>
      <c r="X193" s="173">
        <f t="shared" si="37"/>
        <v>644.79</v>
      </c>
      <c r="Y193" s="173">
        <f t="shared" si="37"/>
        <v>650.93999999999994</v>
      </c>
      <c r="Z193" s="173">
        <f t="shared" si="37"/>
        <v>669.28</v>
      </c>
      <c r="AA193" s="173">
        <f t="shared" si="37"/>
        <v>713.24</v>
      </c>
      <c r="AB193" s="173">
        <f t="shared" si="37"/>
        <v>735.43999999999994</v>
      </c>
      <c r="AC193" s="173">
        <f t="shared" si="37"/>
        <v>778.33999999999992</v>
      </c>
      <c r="AD193" s="173">
        <f t="shared" si="37"/>
        <v>813.14</v>
      </c>
      <c r="AE193" s="173">
        <f t="shared" si="37"/>
        <v>823.44</v>
      </c>
      <c r="AF193" s="173">
        <f t="shared" si="37"/>
        <v>825.94</v>
      </c>
      <c r="AG193" s="173">
        <f t="shared" si="37"/>
        <v>845.72</v>
      </c>
      <c r="AH193" s="173">
        <f t="shared" si="37"/>
        <v>843.99</v>
      </c>
      <c r="AI193" s="173">
        <f t="shared" si="37"/>
        <v>876.19</v>
      </c>
      <c r="AJ193" s="173">
        <f t="shared" si="37"/>
        <v>920.24</v>
      </c>
      <c r="AK193" s="173">
        <f t="shared" si="37"/>
        <v>905.33999999999992</v>
      </c>
      <c r="AL193" s="173">
        <f t="shared" si="37"/>
        <v>905.44</v>
      </c>
      <c r="AM193" s="173">
        <f t="shared" si="37"/>
        <v>888.50000000000011</v>
      </c>
      <c r="AN193" s="173">
        <f t="shared" si="37"/>
        <v>862.44</v>
      </c>
      <c r="AO193" s="173">
        <f t="shared" si="37"/>
        <v>856.84000000000015</v>
      </c>
      <c r="AP193" s="173">
        <f t="shared" si="37"/>
        <v>896.94</v>
      </c>
      <c r="AQ193" s="173">
        <f t="shared" si="37"/>
        <v>967.74000000000012</v>
      </c>
      <c r="AR193" s="173">
        <f t="shared" si="37"/>
        <v>1193.94</v>
      </c>
      <c r="AS193" s="173">
        <f t="shared" si="37"/>
        <v>1172.3399999999999</v>
      </c>
      <c r="AT193" s="173">
        <f t="shared" si="37"/>
        <v>1116.94</v>
      </c>
      <c r="AU193" s="173">
        <f t="shared" si="37"/>
        <v>1101.24</v>
      </c>
      <c r="AV193" s="173">
        <f t="shared" si="37"/>
        <v>1050.94</v>
      </c>
      <c r="AW193" s="173">
        <f t="shared" si="37"/>
        <v>1011.21</v>
      </c>
      <c r="AX193" s="173">
        <f t="shared" si="37"/>
        <v>956.89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086" priority="137">
      <formula>S$9&gt;=20/24</formula>
    </cfRule>
    <cfRule type="expression" dxfId="3085" priority="138">
      <formula>AND(S$9&gt;=14/24,S$9&lt;20/24)</formula>
    </cfRule>
    <cfRule type="expression" dxfId="3084" priority="139">
      <formula>AND(S$9&gt;=8/24,S$9&lt;14/24)</formula>
    </cfRule>
    <cfRule type="expression" dxfId="3083" priority="140">
      <formula>S$9&lt;8/24</formula>
    </cfRule>
  </conditionalFormatting>
  <conditionalFormatting sqref="B8:AF10 AA70:AF70 B70:Q70 B47:AF47 B71:AF71 C173:AF179 M36 L29:Q29 L49:T50 X34:Z35 AA72:AF79 AA48:AF51 B59:AF69 B48:K50 H73:R74 H72:Q72 B72:G74 B75:R79 L31:Z34 N35:Z36 Q51:Z58 R11:T11 V31:V36 W32:W36 L44:AF46 X31:X36 S73:Z79 AA31:AA39 U11:AA12 AB37:AB39 AF52:AF58 M37:Z39 U39:AF39">
    <cfRule type="expression" dxfId="3082" priority="133">
      <formula>B$9&gt;=20/24</formula>
    </cfRule>
    <cfRule type="expression" dxfId="3081" priority="134">
      <formula>AND(B$9&gt;=14/24,B$9&lt;20/24)</formula>
    </cfRule>
    <cfRule type="expression" dxfId="3080" priority="135">
      <formula>AND(B$9&gt;=8/24,B$9&lt;14/24)</formula>
    </cfRule>
    <cfRule type="expression" dxfId="3079" priority="136">
      <formula>B$9&lt;8/24</formula>
    </cfRule>
  </conditionalFormatting>
  <conditionalFormatting sqref="B171:AF171">
    <cfRule type="expression" dxfId="3078" priority="129">
      <formula>B$9&gt;=20/24</formula>
    </cfRule>
    <cfRule type="expression" dxfId="3077" priority="130">
      <formula>AND(B$9&gt;=14/24,B$9&lt;20/24)</formula>
    </cfRule>
    <cfRule type="expression" dxfId="3076" priority="131">
      <formula>AND(B$9&gt;=8/24,B$9&lt;14/24)</formula>
    </cfRule>
    <cfRule type="expression" dxfId="3075" priority="132">
      <formula>B$9&lt;8/24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074" priority="124">
      <formula>L$9&gt;=20/24</formula>
    </cfRule>
    <cfRule type="expression" dxfId="3073" priority="125">
      <formula>AND(L$9&gt;=14/24,L$9&lt;20/24)</formula>
    </cfRule>
    <cfRule type="expression" dxfId="3072" priority="126">
      <formula>AND(L$9&gt;=8/24,L$9&lt;14/24)</formula>
    </cfRule>
    <cfRule type="expression" dxfId="3071" priority="127">
      <formula>L$9&lt;8/24</formula>
    </cfRule>
  </conditionalFormatting>
  <conditionalFormatting sqref="L35:M35">
    <cfRule type="expression" dxfId="3070" priority="120">
      <formula>L$9&gt;=20/24</formula>
    </cfRule>
    <cfRule type="expression" dxfId="3069" priority="121">
      <formula>AND(L$9&gt;=14/24,L$9&lt;20/24)</formula>
    </cfRule>
    <cfRule type="expression" dxfId="3068" priority="122">
      <formula>AND(L$9&gt;=8/24,L$9&lt;14/24)</formula>
    </cfRule>
    <cfRule type="expression" dxfId="3067" priority="123">
      <formula>L$9&lt;8/24</formula>
    </cfRule>
  </conditionalFormatting>
  <conditionalFormatting sqref="U13:AA13">
    <cfRule type="expression" dxfId="3066" priority="116">
      <formula>U$9&gt;=20/24</formula>
    </cfRule>
    <cfRule type="expression" dxfId="3065" priority="117">
      <formula>AND(U$9&gt;=14/24,U$9&lt;20/24)</formula>
    </cfRule>
    <cfRule type="expression" dxfId="3064" priority="118">
      <formula>AND(U$9&gt;=8/24,U$9&lt;14/24)</formula>
    </cfRule>
    <cfRule type="expression" dxfId="3063" priority="119">
      <formula>U$9&lt;8/24</formula>
    </cfRule>
  </conditionalFormatting>
  <conditionalFormatting sqref="R31:AA31">
    <cfRule type="expression" dxfId="3062" priority="112">
      <formula>R$9&gt;=20/24</formula>
    </cfRule>
    <cfRule type="expression" dxfId="3061" priority="113">
      <formula>AND(R$9&gt;=14/24,R$9&lt;20/24)</formula>
    </cfRule>
    <cfRule type="expression" dxfId="3060" priority="114">
      <formula>AND(R$9&gt;=8/24,R$9&lt;14/24)</formula>
    </cfRule>
    <cfRule type="expression" dxfId="3059" priority="115">
      <formula>R$9&lt;8/24</formula>
    </cfRule>
  </conditionalFormatting>
  <conditionalFormatting sqref="R48:Z48">
    <cfRule type="expression" dxfId="3058" priority="108">
      <formula>R$9&gt;=20/24</formula>
    </cfRule>
    <cfRule type="expression" dxfId="3057" priority="109">
      <formula>AND(R$9&gt;=14/24,R$9&lt;20/24)</formula>
    </cfRule>
    <cfRule type="expression" dxfId="3056" priority="110">
      <formula>AND(R$9&gt;=8/24,R$9&lt;14/24)</formula>
    </cfRule>
    <cfRule type="expression" dxfId="3055" priority="111">
      <formula>R$9&lt;8/24</formula>
    </cfRule>
  </conditionalFormatting>
  <conditionalFormatting sqref="R70:Z70">
    <cfRule type="expression" dxfId="3054" priority="104">
      <formula>R$9&gt;=20/24</formula>
    </cfRule>
    <cfRule type="expression" dxfId="3053" priority="105">
      <formula>AND(R$9&gt;=14/24,R$9&lt;20/24)</formula>
    </cfRule>
    <cfRule type="expression" dxfId="3052" priority="106">
      <formula>AND(R$9&gt;=8/24,R$9&lt;14/24)</formula>
    </cfRule>
    <cfRule type="expression" dxfId="3051" priority="107">
      <formula>R$9&lt;8/24</formula>
    </cfRule>
  </conditionalFormatting>
  <conditionalFormatting sqref="R72:Z72">
    <cfRule type="expression" dxfId="3050" priority="100">
      <formula>R$9&gt;=20/24</formula>
    </cfRule>
    <cfRule type="expression" dxfId="3049" priority="101">
      <formula>AND(R$9&gt;=14/24,R$9&lt;20/24)</formula>
    </cfRule>
    <cfRule type="expression" dxfId="3048" priority="102">
      <formula>AND(R$9&gt;=8/24,R$9&lt;14/24)</formula>
    </cfRule>
    <cfRule type="expression" dxfId="3047" priority="103">
      <formula>R$9&lt;8/24</formula>
    </cfRule>
  </conditionalFormatting>
  <conditionalFormatting sqref="L11:AA27 AB18:AB27 AB21:AF21">
    <cfRule type="expression" dxfId="3046" priority="96">
      <formula>L$9&gt;=20/24</formula>
    </cfRule>
    <cfRule type="expression" dxfId="3045" priority="97">
      <formula>AND(L$9&gt;=14/24,L$9&lt;20/24)</formula>
    </cfRule>
    <cfRule type="expression" dxfId="3044" priority="98">
      <formula>AND(L$9&gt;=8/24,L$9&lt;14/24)</formula>
    </cfRule>
    <cfRule type="expression" dxfId="3043" priority="99">
      <formula>L$9&lt;8/24</formula>
    </cfRule>
  </conditionalFormatting>
  <conditionalFormatting sqref="L40:AB40">
    <cfRule type="expression" dxfId="3042" priority="92">
      <formula>L$9&gt;=20/24</formula>
    </cfRule>
    <cfRule type="expression" dxfId="3041" priority="93">
      <formula>AND(L$9&gt;=14/24,L$9&lt;20/24)</formula>
    </cfRule>
    <cfRule type="expression" dxfId="3040" priority="94">
      <formula>AND(L$9&gt;=8/24,L$9&lt;14/24)</formula>
    </cfRule>
    <cfRule type="expression" dxfId="3039" priority="95">
      <formula>L$9&lt;8/24</formula>
    </cfRule>
  </conditionalFormatting>
  <conditionalFormatting sqref="L41:AB41">
    <cfRule type="expression" dxfId="3038" priority="88">
      <formula>L$9&gt;=20/24</formula>
    </cfRule>
    <cfRule type="expression" dxfId="3037" priority="89">
      <formula>AND(L$9&gt;=14/24,L$9&lt;20/24)</formula>
    </cfRule>
    <cfRule type="expression" dxfId="3036" priority="90">
      <formula>AND(L$9&gt;=8/24,L$9&lt;14/24)</formula>
    </cfRule>
    <cfRule type="expression" dxfId="3035" priority="91">
      <formula>L$9&lt;8/24</formula>
    </cfRule>
  </conditionalFormatting>
  <conditionalFormatting sqref="L36:M39 N37:N39 O38:P39 Q39:AF39">
    <cfRule type="expression" dxfId="3034" priority="84">
      <formula>L$9&gt;=20/24</formula>
    </cfRule>
    <cfRule type="expression" dxfId="3033" priority="85">
      <formula>AND(L$9&gt;=14/24,L$9&lt;20/24)</formula>
    </cfRule>
    <cfRule type="expression" dxfId="3032" priority="86">
      <formula>AND(L$9&gt;=8/24,L$9&lt;14/24)</formula>
    </cfRule>
    <cfRule type="expression" dxfId="3031" priority="87">
      <formula>L$9&lt;8/24</formula>
    </cfRule>
  </conditionalFormatting>
  <conditionalFormatting sqref="R29:AF29">
    <cfRule type="expression" dxfId="3030" priority="80">
      <formula>R$9&gt;=20/24</formula>
    </cfRule>
    <cfRule type="expression" dxfId="3029" priority="81">
      <formula>AND(R$9&gt;=14/24,R$9&lt;20/24)</formula>
    </cfRule>
    <cfRule type="expression" dxfId="3028" priority="82">
      <formula>AND(R$9&gt;=8/24,R$9&lt;14/24)</formula>
    </cfRule>
    <cfRule type="expression" dxfId="3027" priority="83">
      <formula>R$9&lt;8/24</formula>
    </cfRule>
  </conditionalFormatting>
  <conditionalFormatting sqref="S17:Z17 R12:T27 U14:AA27 AA16:AF27">
    <cfRule type="expression" dxfId="3026" priority="76">
      <formula>R$9&gt;=20/24</formula>
    </cfRule>
    <cfRule type="expression" dxfId="3025" priority="77">
      <formula>AND(R$9&gt;=14/24,R$9&lt;20/24)</formula>
    </cfRule>
    <cfRule type="expression" dxfId="3024" priority="78">
      <formula>AND(R$9&gt;=8/24,R$9&lt;14/24)</formula>
    </cfRule>
    <cfRule type="expression" dxfId="3023" priority="79">
      <formula>R$9&lt;8/24</formula>
    </cfRule>
  </conditionalFormatting>
  <conditionalFormatting sqref="R34:R39 S35:U39 V35:X36 V36:AA39 AB37:AB39 U39:AF39">
    <cfRule type="expression" dxfId="3022" priority="72">
      <formula>R$9&gt;=20/24</formula>
    </cfRule>
    <cfRule type="expression" dxfId="3021" priority="73">
      <formula>AND(R$9&gt;=14/24,R$9&lt;20/24)</formula>
    </cfRule>
    <cfRule type="expression" dxfId="3020" priority="74">
      <formula>AND(R$9&gt;=8/24,R$9&lt;14/24)</formula>
    </cfRule>
    <cfRule type="expression" dxfId="3019" priority="75">
      <formula>R$9&lt;8/24</formula>
    </cfRule>
  </conditionalFormatting>
  <conditionalFormatting sqref="R40:AB40">
    <cfRule type="expression" dxfId="3018" priority="68">
      <formula>R$9&gt;=20/24</formula>
    </cfRule>
    <cfRule type="expression" dxfId="3017" priority="69">
      <formula>AND(R$9&gt;=14/24,R$9&lt;20/24)</formula>
    </cfRule>
    <cfRule type="expression" dxfId="3016" priority="70">
      <formula>AND(R$9&gt;=8/24,R$9&lt;14/24)</formula>
    </cfRule>
    <cfRule type="expression" dxfId="3015" priority="71">
      <formula>R$9&lt;8/24</formula>
    </cfRule>
  </conditionalFormatting>
  <conditionalFormatting sqref="R41:AB41">
    <cfRule type="expression" dxfId="3014" priority="64">
      <formula>R$9&gt;=20/24</formula>
    </cfRule>
    <cfRule type="expression" dxfId="3013" priority="65">
      <formula>AND(R$9&gt;=14/24,R$9&lt;20/24)</formula>
    </cfRule>
    <cfRule type="expression" dxfId="3012" priority="66">
      <formula>AND(R$9&gt;=8/24,R$9&lt;14/24)</formula>
    </cfRule>
    <cfRule type="expression" dxfId="3011" priority="67">
      <formula>R$9&lt;8/24</formula>
    </cfRule>
  </conditionalFormatting>
  <conditionalFormatting sqref="AA52:AE58">
    <cfRule type="expression" dxfId="3010" priority="60">
      <formula>AA$9&gt;=20/24</formula>
    </cfRule>
    <cfRule type="expression" dxfId="3009" priority="61">
      <formula>AND(AA$9&gt;=14/24,AA$9&lt;20/24)</formula>
    </cfRule>
    <cfRule type="expression" dxfId="3008" priority="62">
      <formula>AND(AA$9&gt;=8/24,AA$9&lt;14/24)</formula>
    </cfRule>
    <cfRule type="expression" dxfId="3007" priority="63">
      <formula>AA$9&lt;8/24</formula>
    </cfRule>
  </conditionalFormatting>
  <conditionalFormatting sqref="AA83:AF86">
    <cfRule type="expression" dxfId="3006" priority="56">
      <formula>AA$9&gt;=20/24</formula>
    </cfRule>
    <cfRule type="expression" dxfId="3005" priority="57">
      <formula>AND(AA$9&gt;=14/24,AA$9&lt;20/24)</formula>
    </cfRule>
    <cfRule type="expression" dxfId="3004" priority="58">
      <formula>AND(AA$9&gt;=8/24,AA$9&lt;14/24)</formula>
    </cfRule>
    <cfRule type="expression" dxfId="3003" priority="59">
      <formula>AA$9&lt;8/24</formula>
    </cfRule>
  </conditionalFormatting>
  <conditionalFormatting sqref="B83:K86">
    <cfRule type="expression" dxfId="3002" priority="48">
      <formula>B$9&gt;=20/24</formula>
    </cfRule>
    <cfRule type="expression" dxfId="3001" priority="49">
      <formula>AND(B$9&gt;=14/24,B$9&lt;20/24)</formula>
    </cfRule>
    <cfRule type="expression" dxfId="3000" priority="50">
      <formula>AND(B$9&gt;=8/24,B$9&lt;14/24)</formula>
    </cfRule>
    <cfRule type="expression" dxfId="2999" priority="51">
      <formula>B$9&lt;8/24</formula>
    </cfRule>
  </conditionalFormatting>
  <conditionalFormatting sqref="L83:Q86">
    <cfRule type="expression" dxfId="2998" priority="44">
      <formula>L$9&gt;=20/24</formula>
    </cfRule>
    <cfRule type="expression" dxfId="2997" priority="45">
      <formula>AND(L$9&gt;=14/24,L$9&lt;20/24)</formula>
    </cfRule>
    <cfRule type="expression" dxfId="2996" priority="46">
      <formula>AND(L$9&gt;=8/24,L$9&lt;14/24)</formula>
    </cfRule>
    <cfRule type="expression" dxfId="2995" priority="47">
      <formula>L$9&lt;8/24</formula>
    </cfRule>
  </conditionalFormatting>
  <conditionalFormatting sqref="R83:Z86">
    <cfRule type="expression" dxfId="2994" priority="40">
      <formula>R$9&gt;=20/24</formula>
    </cfRule>
    <cfRule type="expression" dxfId="2993" priority="41">
      <formula>AND(R$9&gt;=14/24,R$9&lt;20/24)</formula>
    </cfRule>
    <cfRule type="expression" dxfId="2992" priority="42">
      <formula>AND(R$9&gt;=8/24,R$9&lt;14/24)</formula>
    </cfRule>
    <cfRule type="expression" dxfId="2991" priority="43">
      <formula>R$9&lt;8/24</formula>
    </cfRule>
  </conditionalFormatting>
  <conditionalFormatting sqref="AG42 B11:AF47">
    <cfRule type="expression" dxfId="2990" priority="39">
      <formula>B11&gt;$AG11</formula>
    </cfRule>
  </conditionalFormatting>
  <conditionalFormatting sqref="T192:AX192">
    <cfRule type="expression" dxfId="2989" priority="35">
      <formula>T$9&gt;=20/24</formula>
    </cfRule>
    <cfRule type="expression" dxfId="2988" priority="36">
      <formula>AND(T$9&gt;=14/24,T$9&lt;20/24)</formula>
    </cfRule>
    <cfRule type="expression" dxfId="2987" priority="37">
      <formula>AND(T$9&gt;=8/24,T$9&lt;14/24)</formula>
    </cfRule>
    <cfRule type="expression" dxfId="2986" priority="38">
      <formula>T$9&lt;8/24</formula>
    </cfRule>
  </conditionalFormatting>
  <conditionalFormatting sqref="A11:A86 A88:A180">
    <cfRule type="expression" dxfId="2985" priority="34">
      <formula>$AH11=0</formula>
    </cfRule>
  </conditionalFormatting>
  <conditionalFormatting sqref="AA87:AF87">
    <cfRule type="expression" dxfId="2984" priority="30">
      <formula>AA$9&gt;=20/24</formula>
    </cfRule>
    <cfRule type="expression" dxfId="2983" priority="31">
      <formula>AND(AA$9&gt;=14/24,AA$9&lt;20/24)</formula>
    </cfRule>
    <cfRule type="expression" dxfId="2982" priority="32">
      <formula>AND(AA$9&gt;=8/24,AA$9&lt;14/24)</formula>
    </cfRule>
    <cfRule type="expression" dxfId="2981" priority="33">
      <formula>AA$9&lt;8/24</formula>
    </cfRule>
  </conditionalFormatting>
  <conditionalFormatting sqref="B87:K87">
    <cfRule type="expression" dxfId="2980" priority="26">
      <formula>B$9&gt;=20/24</formula>
    </cfRule>
    <cfRule type="expression" dxfId="2979" priority="27">
      <formula>AND(B$9&gt;=14/24,B$9&lt;20/24)</formula>
    </cfRule>
    <cfRule type="expression" dxfId="2978" priority="28">
      <formula>AND(B$9&gt;=8/24,B$9&lt;14/24)</formula>
    </cfRule>
    <cfRule type="expression" dxfId="2977" priority="29">
      <formula>B$9&lt;8/24</formula>
    </cfRule>
  </conditionalFormatting>
  <conditionalFormatting sqref="L87:Q87">
    <cfRule type="expression" dxfId="2976" priority="22">
      <formula>L$9&gt;=20/24</formula>
    </cfRule>
    <cfRule type="expression" dxfId="2975" priority="23">
      <formula>AND(L$9&gt;=14/24,L$9&lt;20/24)</formula>
    </cfRule>
    <cfRule type="expression" dxfId="2974" priority="24">
      <formula>AND(L$9&gt;=8/24,L$9&lt;14/24)</formula>
    </cfRule>
    <cfRule type="expression" dxfId="2973" priority="25">
      <formula>L$9&lt;8/24</formula>
    </cfRule>
  </conditionalFormatting>
  <conditionalFormatting sqref="R87:Z87">
    <cfRule type="expression" dxfId="2972" priority="18">
      <formula>R$9&gt;=20/24</formula>
    </cfRule>
    <cfRule type="expression" dxfId="2971" priority="19">
      <formula>AND(R$9&gt;=14/24,R$9&lt;20/24)</formula>
    </cfRule>
    <cfRule type="expression" dxfId="2970" priority="20">
      <formula>AND(R$9&gt;=8/24,R$9&lt;14/24)</formula>
    </cfRule>
    <cfRule type="expression" dxfId="2969" priority="21">
      <formula>R$9&lt;8/24</formula>
    </cfRule>
  </conditionalFormatting>
  <conditionalFormatting sqref="A87">
    <cfRule type="expression" dxfId="2968" priority="17">
      <formula>$AH87=0</formula>
    </cfRule>
  </conditionalFormatting>
  <conditionalFormatting sqref="B28:AF28">
    <cfRule type="expression" dxfId="2967" priority="13">
      <formula>B$9&gt;=20/24</formula>
    </cfRule>
    <cfRule type="expression" dxfId="2966" priority="14">
      <formula>AND(B$9&gt;=14/24,B$9&lt;20/24)</formula>
    </cfRule>
    <cfRule type="expression" dxfId="2965" priority="15">
      <formula>AND(B$9&gt;=8/24,B$9&lt;14/24)</formula>
    </cfRule>
    <cfRule type="expression" dxfId="2964" priority="16">
      <formula>B$9&lt;8/24</formula>
    </cfRule>
  </conditionalFormatting>
  <conditionalFormatting sqref="R28:AB28">
    <cfRule type="expression" dxfId="2963" priority="9">
      <formula>R$9&gt;=20/24</formula>
    </cfRule>
    <cfRule type="expression" dxfId="2962" priority="10">
      <formula>AND(R$9&gt;=14/24,R$9&lt;20/24)</formula>
    </cfRule>
    <cfRule type="expression" dxfId="2961" priority="11">
      <formula>AND(R$9&gt;=8/24,R$9&lt;14/24)</formula>
    </cfRule>
    <cfRule type="expression" dxfId="2960" priority="12">
      <formula>R$9&lt;8/24</formula>
    </cfRule>
  </conditionalFormatting>
  <conditionalFormatting sqref="B51:P51">
    <cfRule type="expression" dxfId="2959" priority="5">
      <formula>B$9&gt;=20/24</formula>
    </cfRule>
    <cfRule type="expression" dxfId="2958" priority="6">
      <formula>AND(B$9&gt;=14/24,B$9&lt;20/24)</formula>
    </cfRule>
    <cfRule type="expression" dxfId="2957" priority="7">
      <formula>AND(B$9&gt;=8/24,B$9&lt;14/24)</formula>
    </cfRule>
    <cfRule type="expression" dxfId="2956" priority="8">
      <formula>B$9&lt;8/24</formula>
    </cfRule>
  </conditionalFormatting>
  <conditionalFormatting sqref="B52:P58">
    <cfRule type="expression" dxfId="2955" priority="1">
      <formula>B$9&gt;=20/24</formula>
    </cfRule>
    <cfRule type="expression" dxfId="2954" priority="2">
      <formula>AND(B$9&gt;=14/24,B$9&lt;20/24)</formula>
    </cfRule>
    <cfRule type="expression" dxfId="2953" priority="3">
      <formula>AND(B$9&gt;=8/24,B$9&lt;14/24)</formula>
    </cfRule>
    <cfRule type="expression" dxfId="2952" priority="4">
      <formula>B$9&lt;8/24</formula>
    </cfRule>
  </conditionalFormatting>
  <pageMargins left="0.7" right="0.7" top="0.75" bottom="0.75" header="0.3" footer="0.3"/>
  <pageSetup scale="50" orientation="landscape" horizontalDpi="300" verticalDpi="3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F50" sqref="AF5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17</v>
      </c>
      <c r="D4" s="324">
        <f ca="1">IFERROR(DATE(2021,5,14)+C4,"")</f>
        <v>44347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98.3</v>
      </c>
      <c r="C5" s="32">
        <f t="shared" ref="C5:AF5" si="0">C59</f>
        <v>120.3</v>
      </c>
      <c r="D5" s="32">
        <f t="shared" si="0"/>
        <v>98.6</v>
      </c>
      <c r="E5" s="32">
        <f t="shared" si="0"/>
        <v>92.7</v>
      </c>
      <c r="F5" s="32">
        <f t="shared" si="0"/>
        <v>88</v>
      </c>
      <c r="G5" s="32">
        <f t="shared" si="0"/>
        <v>68</v>
      </c>
      <c r="H5" s="32">
        <f t="shared" si="0"/>
        <v>65.2</v>
      </c>
      <c r="I5" s="32">
        <f t="shared" si="0"/>
        <v>56</v>
      </c>
      <c r="J5" s="32">
        <f t="shared" si="0"/>
        <v>101.8</v>
      </c>
      <c r="K5" s="32">
        <f t="shared" si="0"/>
        <v>125.6</v>
      </c>
      <c r="L5" s="32">
        <f t="shared" si="0"/>
        <v>133.92000000000002</v>
      </c>
      <c r="M5" s="32">
        <f t="shared" si="0"/>
        <v>176.37</v>
      </c>
      <c r="N5" s="32">
        <f t="shared" si="0"/>
        <v>198.5</v>
      </c>
      <c r="O5" s="32">
        <f t="shared" si="0"/>
        <v>192.8</v>
      </c>
      <c r="P5" s="32">
        <f t="shared" si="0"/>
        <v>199.89999999999998</v>
      </c>
      <c r="Q5" s="32">
        <f t="shared" si="0"/>
        <v>186.7</v>
      </c>
      <c r="R5" s="32">
        <f t="shared" si="0"/>
        <v>173.7</v>
      </c>
      <c r="S5" s="32">
        <f t="shared" si="0"/>
        <v>158.80000000000001</v>
      </c>
      <c r="T5" s="32">
        <f t="shared" si="0"/>
        <v>161.4</v>
      </c>
      <c r="U5" s="32">
        <f t="shared" si="0"/>
        <v>156.41999999999999</v>
      </c>
      <c r="V5" s="32">
        <f t="shared" si="0"/>
        <v>141.60000000000002</v>
      </c>
      <c r="W5" s="32">
        <f t="shared" si="0"/>
        <v>172.19</v>
      </c>
      <c r="X5" s="32">
        <f t="shared" si="0"/>
        <v>176.16</v>
      </c>
      <c r="Y5" s="32">
        <f t="shared" si="0"/>
        <v>190.13</v>
      </c>
      <c r="Z5" s="32">
        <f t="shared" si="0"/>
        <v>229.5</v>
      </c>
      <c r="AA5" s="32">
        <f t="shared" si="0"/>
        <v>289</v>
      </c>
      <c r="AB5" s="32">
        <f t="shared" si="0"/>
        <v>263</v>
      </c>
      <c r="AC5" s="32">
        <f t="shared" si="0"/>
        <v>243</v>
      </c>
      <c r="AD5" s="32">
        <f t="shared" si="0"/>
        <v>147.29999999999998</v>
      </c>
      <c r="AE5" s="32">
        <f t="shared" si="0"/>
        <v>117.1</v>
      </c>
      <c r="AF5" s="32">
        <f t="shared" si="0"/>
        <v>54.6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1041MW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Load=872</v>
      </c>
      <c r="B7" s="36">
        <f t="shared" ref="B7:AF7" si="1">B65</f>
        <v>940.44</v>
      </c>
      <c r="C7" s="36">
        <f t="shared" si="1"/>
        <v>946.7399999999999</v>
      </c>
      <c r="D7" s="36">
        <f t="shared" si="1"/>
        <v>923.54</v>
      </c>
      <c r="E7" s="36">
        <f t="shared" si="1"/>
        <v>917.33999999999992</v>
      </c>
      <c r="F7" s="36">
        <f t="shared" si="1"/>
        <v>895.74</v>
      </c>
      <c r="G7" s="36">
        <f t="shared" si="1"/>
        <v>874.74</v>
      </c>
      <c r="H7" s="36">
        <f t="shared" si="1"/>
        <v>872.33999999999992</v>
      </c>
      <c r="I7" s="36">
        <f t="shared" si="1"/>
        <v>915.24</v>
      </c>
      <c r="J7" s="36">
        <f t="shared" si="1"/>
        <v>960.93999999999994</v>
      </c>
      <c r="K7" s="36">
        <f t="shared" si="1"/>
        <v>984.33999999999992</v>
      </c>
      <c r="L7" s="36">
        <f>L65</f>
        <v>978.36000000000013</v>
      </c>
      <c r="M7" s="36">
        <f t="shared" si="1"/>
        <v>1041.31</v>
      </c>
      <c r="N7" s="36">
        <f t="shared" si="1"/>
        <v>1063.1399999999999</v>
      </c>
      <c r="O7" s="36">
        <f t="shared" si="1"/>
        <v>1056.1400000000001</v>
      </c>
      <c r="P7" s="36">
        <f t="shared" si="1"/>
        <v>1081.9399999999998</v>
      </c>
      <c r="Q7" s="36">
        <f t="shared" si="1"/>
        <v>1070.04</v>
      </c>
      <c r="R7" s="36">
        <f t="shared" si="1"/>
        <v>1079.8399999999999</v>
      </c>
      <c r="S7" s="36">
        <f t="shared" si="1"/>
        <v>1047.54</v>
      </c>
      <c r="T7" s="36">
        <f t="shared" si="1"/>
        <v>1034.04</v>
      </c>
      <c r="U7" s="36">
        <f t="shared" si="1"/>
        <v>1014.06</v>
      </c>
      <c r="V7" s="36">
        <f t="shared" si="1"/>
        <v>1014.9</v>
      </c>
      <c r="W7" s="36">
        <f t="shared" si="1"/>
        <v>1012.23</v>
      </c>
      <c r="X7" s="36">
        <f t="shared" si="1"/>
        <v>1010.8999999999999</v>
      </c>
      <c r="Y7" s="36">
        <f t="shared" si="1"/>
        <v>1082.77</v>
      </c>
      <c r="Z7" s="36">
        <f t="shared" si="1"/>
        <v>1165.54</v>
      </c>
      <c r="AA7" s="36">
        <f t="shared" si="1"/>
        <v>1184.1399999999999</v>
      </c>
      <c r="AB7" s="36">
        <f t="shared" si="1"/>
        <v>1138.54</v>
      </c>
      <c r="AC7" s="36">
        <f t="shared" si="1"/>
        <v>1123.8399999999999</v>
      </c>
      <c r="AD7" s="36">
        <f t="shared" si="1"/>
        <v>1005.54</v>
      </c>
      <c r="AE7" s="36">
        <f t="shared" si="1"/>
        <v>941.94</v>
      </c>
      <c r="AF7" s="36">
        <f t="shared" si="1"/>
        <v>917.44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49</v>
      </c>
      <c r="C11" s="48">
        <v>49</v>
      </c>
      <c r="D11" s="48">
        <v>49</v>
      </c>
      <c r="E11" s="48">
        <v>49</v>
      </c>
      <c r="F11" s="48">
        <v>48</v>
      </c>
      <c r="G11" s="48">
        <v>47</v>
      </c>
      <c r="H11" s="48">
        <v>47</v>
      </c>
      <c r="I11" s="48">
        <v>48</v>
      </c>
      <c r="J11" s="48">
        <v>48</v>
      </c>
      <c r="K11" s="48">
        <v>48</v>
      </c>
      <c r="L11" s="49">
        <v>44</v>
      </c>
      <c r="M11" s="49">
        <v>44</v>
      </c>
      <c r="N11" s="49">
        <v>44</v>
      </c>
      <c r="O11" s="49">
        <v>44</v>
      </c>
      <c r="P11" s="49">
        <v>44</v>
      </c>
      <c r="Q11" s="49">
        <v>44</v>
      </c>
      <c r="R11" s="50">
        <v>44</v>
      </c>
      <c r="S11" s="50">
        <v>44</v>
      </c>
      <c r="T11" s="50">
        <v>44</v>
      </c>
      <c r="U11" s="50">
        <v>44</v>
      </c>
      <c r="V11" s="50">
        <v>57</v>
      </c>
      <c r="W11" s="50">
        <v>57</v>
      </c>
      <c r="X11" s="50">
        <v>60</v>
      </c>
      <c r="Y11" s="50">
        <v>60</v>
      </c>
      <c r="Z11" s="50">
        <v>60</v>
      </c>
      <c r="AA11" s="48">
        <v>60</v>
      </c>
      <c r="AB11" s="48">
        <v>60</v>
      </c>
      <c r="AC11" s="48">
        <v>60</v>
      </c>
      <c r="AD11" s="48">
        <v>60</v>
      </c>
      <c r="AE11" s="48">
        <v>60</v>
      </c>
      <c r="AF11" s="48">
        <v>60</v>
      </c>
      <c r="AG11" s="51">
        <v>60</v>
      </c>
      <c r="AH11" s="52">
        <f>MAX(B11:AF11)</f>
        <v>60</v>
      </c>
      <c r="AI11" s="53">
        <f>MIN(B11:AF11)</f>
        <v>44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50.3</v>
      </c>
      <c r="C12" s="56">
        <v>50.5</v>
      </c>
      <c r="D12" s="56">
        <v>50.3</v>
      </c>
      <c r="E12" s="56">
        <v>50.2</v>
      </c>
      <c r="F12" s="56">
        <v>50.2</v>
      </c>
      <c r="G12" s="56">
        <v>50.2</v>
      </c>
      <c r="H12" s="56">
        <v>50.3</v>
      </c>
      <c r="I12" s="56">
        <v>50.2</v>
      </c>
      <c r="J12" s="56">
        <v>50.3</v>
      </c>
      <c r="K12" s="56">
        <v>50.4</v>
      </c>
      <c r="L12" s="49">
        <v>49.2</v>
      </c>
      <c r="M12" s="49">
        <v>49.9</v>
      </c>
      <c r="N12" s="49">
        <v>50.1</v>
      </c>
      <c r="O12" s="49">
        <v>50.5</v>
      </c>
      <c r="P12" s="49">
        <v>50.9</v>
      </c>
      <c r="Q12" s="49">
        <v>50.9</v>
      </c>
      <c r="R12" s="49">
        <v>50.4</v>
      </c>
      <c r="S12" s="49">
        <v>50.3</v>
      </c>
      <c r="T12" s="49">
        <v>50.5</v>
      </c>
      <c r="U12" s="49">
        <v>50.5</v>
      </c>
      <c r="V12" s="49">
        <v>50.6</v>
      </c>
      <c r="W12" s="49">
        <v>50.4</v>
      </c>
      <c r="X12" s="49">
        <v>50.3</v>
      </c>
      <c r="Y12" s="49">
        <v>50.2</v>
      </c>
      <c r="Z12" s="49">
        <v>50.4</v>
      </c>
      <c r="AA12" s="56">
        <v>50.4</v>
      </c>
      <c r="AB12" s="56">
        <v>50.4</v>
      </c>
      <c r="AC12" s="56">
        <v>50.4</v>
      </c>
      <c r="AD12" s="56">
        <v>50.4</v>
      </c>
      <c r="AE12" s="56">
        <v>50.4</v>
      </c>
      <c r="AF12" s="56">
        <v>50.4</v>
      </c>
      <c r="AG12" s="57">
        <v>50</v>
      </c>
      <c r="AH12" s="52">
        <f t="shared" ref="AH12:AH77" si="2">MAX(B12:AF12)</f>
        <v>50.9</v>
      </c>
      <c r="AI12" s="53">
        <f t="shared" ref="AI12:AI77" si="3">MIN(B12:AF12)</f>
        <v>49.2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43.5</v>
      </c>
      <c r="C13" s="56">
        <v>43.4</v>
      </c>
      <c r="D13" s="56">
        <v>43.4</v>
      </c>
      <c r="E13" s="56">
        <v>43.6</v>
      </c>
      <c r="F13" s="56">
        <v>43.6</v>
      </c>
      <c r="G13" s="56">
        <v>43.6</v>
      </c>
      <c r="H13" s="56">
        <v>43.6</v>
      </c>
      <c r="I13" s="56">
        <v>43.3</v>
      </c>
      <c r="J13" s="56">
        <v>43.4</v>
      </c>
      <c r="K13" s="56">
        <v>43.5</v>
      </c>
      <c r="L13" s="49">
        <v>43.4</v>
      </c>
      <c r="M13" s="49">
        <v>43</v>
      </c>
      <c r="N13" s="49">
        <v>43.4</v>
      </c>
      <c r="O13" s="49">
        <v>43.3</v>
      </c>
      <c r="P13" s="49">
        <v>43.3</v>
      </c>
      <c r="Q13" s="49">
        <v>44.9</v>
      </c>
      <c r="R13" s="49">
        <v>44.5</v>
      </c>
      <c r="S13" s="49">
        <v>45.2</v>
      </c>
      <c r="T13" s="49">
        <v>44.8</v>
      </c>
      <c r="U13" s="49">
        <v>44.5</v>
      </c>
      <c r="V13" s="49">
        <v>44.9</v>
      </c>
      <c r="W13" s="49">
        <v>44.5</v>
      </c>
      <c r="X13" s="49">
        <v>45.1</v>
      </c>
      <c r="Y13" s="49">
        <v>45</v>
      </c>
      <c r="Z13" s="49">
        <v>45.1</v>
      </c>
      <c r="AA13" s="56">
        <v>45.2</v>
      </c>
      <c r="AB13" s="56">
        <v>45.2</v>
      </c>
      <c r="AC13" s="56">
        <v>45.2</v>
      </c>
      <c r="AD13" s="56">
        <v>45.2</v>
      </c>
      <c r="AE13" s="56">
        <v>45.2</v>
      </c>
      <c r="AF13" s="56">
        <v>45.2</v>
      </c>
      <c r="AG13" s="59">
        <v>45</v>
      </c>
      <c r="AH13" s="52">
        <f t="shared" si="2"/>
        <v>45.2</v>
      </c>
      <c r="AI13" s="53">
        <f t="shared" si="3"/>
        <v>43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21</v>
      </c>
      <c r="C14" s="56">
        <v>21</v>
      </c>
      <c r="D14" s="56">
        <v>21</v>
      </c>
      <c r="E14" s="56">
        <v>21</v>
      </c>
      <c r="F14" s="56">
        <v>21</v>
      </c>
      <c r="G14" s="56">
        <v>21</v>
      </c>
      <c r="H14" s="56">
        <v>21</v>
      </c>
      <c r="I14" s="56">
        <v>21</v>
      </c>
      <c r="J14" s="56">
        <v>21</v>
      </c>
      <c r="K14" s="56">
        <v>21</v>
      </c>
      <c r="L14" s="49">
        <v>19.5</v>
      </c>
      <c r="M14" s="49">
        <v>19.5</v>
      </c>
      <c r="N14" s="49">
        <v>19.5</v>
      </c>
      <c r="O14" s="49">
        <v>19.5</v>
      </c>
      <c r="P14" s="49">
        <v>19.5</v>
      </c>
      <c r="Q14" s="49">
        <v>19.5</v>
      </c>
      <c r="R14" s="49">
        <v>19.5</v>
      </c>
      <c r="S14" s="49">
        <v>19.5</v>
      </c>
      <c r="T14" s="49">
        <v>19.5</v>
      </c>
      <c r="U14" s="49">
        <v>19.5</v>
      </c>
      <c r="V14" s="49">
        <v>19.5</v>
      </c>
      <c r="W14" s="49">
        <v>19.5</v>
      </c>
      <c r="X14" s="49">
        <v>19.5</v>
      </c>
      <c r="Y14" s="49">
        <v>19.5</v>
      </c>
      <c r="Z14" s="49">
        <v>19.5</v>
      </c>
      <c r="AA14" s="49">
        <v>19.5</v>
      </c>
      <c r="AB14" s="49">
        <v>19.5</v>
      </c>
      <c r="AC14" s="49">
        <v>19.5</v>
      </c>
      <c r="AD14" s="49">
        <v>19.5</v>
      </c>
      <c r="AE14" s="49">
        <v>19.5</v>
      </c>
      <c r="AF14" s="49">
        <v>19.5</v>
      </c>
      <c r="AG14" s="59">
        <v>25</v>
      </c>
      <c r="AH14" s="52">
        <f t="shared" si="2"/>
        <v>21</v>
      </c>
      <c r="AI14" s="53">
        <f t="shared" si="3"/>
        <v>19.5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25.1</v>
      </c>
      <c r="C15" s="56">
        <v>25.1</v>
      </c>
      <c r="D15" s="56">
        <v>25.1</v>
      </c>
      <c r="E15" s="56">
        <v>25.2</v>
      </c>
      <c r="F15" s="56">
        <v>25.2</v>
      </c>
      <c r="G15" s="56">
        <v>25.2</v>
      </c>
      <c r="H15" s="56">
        <v>25.2</v>
      </c>
      <c r="I15" s="56">
        <v>25.1</v>
      </c>
      <c r="J15" s="56">
        <v>25.2</v>
      </c>
      <c r="K15" s="56">
        <v>25.2</v>
      </c>
      <c r="L15" s="49">
        <v>25.2</v>
      </c>
      <c r="M15" s="49">
        <v>25.1</v>
      </c>
      <c r="N15" s="49">
        <v>25.1</v>
      </c>
      <c r="O15" s="49">
        <v>25</v>
      </c>
      <c r="P15" s="49">
        <v>25</v>
      </c>
      <c r="Q15" s="49">
        <v>25.1</v>
      </c>
      <c r="R15" s="49">
        <v>25.1</v>
      </c>
      <c r="S15" s="49">
        <v>25.1</v>
      </c>
      <c r="T15" s="49">
        <v>25.1</v>
      </c>
      <c r="U15" s="49">
        <v>25.1</v>
      </c>
      <c r="V15" s="49">
        <v>25</v>
      </c>
      <c r="W15" s="49">
        <v>25</v>
      </c>
      <c r="X15" s="49">
        <v>26</v>
      </c>
      <c r="Y15" s="49">
        <v>26</v>
      </c>
      <c r="Z15" s="49">
        <v>26</v>
      </c>
      <c r="AA15" s="49">
        <v>25.9</v>
      </c>
      <c r="AB15" s="49">
        <v>25.9</v>
      </c>
      <c r="AC15" s="49">
        <v>25.9</v>
      </c>
      <c r="AD15" s="49">
        <v>25.9</v>
      </c>
      <c r="AE15" s="49">
        <v>25.9</v>
      </c>
      <c r="AF15" s="49">
        <v>25.9</v>
      </c>
      <c r="AG15" s="59">
        <v>25</v>
      </c>
      <c r="AH15" s="52">
        <f t="shared" si="2"/>
        <v>26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</v>
      </c>
      <c r="C17" s="56">
        <v>22</v>
      </c>
      <c r="D17" s="56">
        <v>22</v>
      </c>
      <c r="E17" s="56">
        <v>22</v>
      </c>
      <c r="F17" s="56">
        <v>22</v>
      </c>
      <c r="G17" s="56">
        <v>22</v>
      </c>
      <c r="H17" s="56">
        <v>22</v>
      </c>
      <c r="I17" s="56">
        <v>22</v>
      </c>
      <c r="J17" s="56">
        <v>22</v>
      </c>
      <c r="K17" s="56">
        <v>22</v>
      </c>
      <c r="L17" s="49">
        <v>22</v>
      </c>
      <c r="M17" s="49">
        <v>22</v>
      </c>
      <c r="N17" s="49">
        <v>22</v>
      </c>
      <c r="O17" s="49">
        <v>22</v>
      </c>
      <c r="P17" s="49">
        <v>22</v>
      </c>
      <c r="Q17" s="49">
        <v>22</v>
      </c>
      <c r="R17" s="49">
        <v>25.1</v>
      </c>
      <c r="S17" s="49">
        <v>25.1</v>
      </c>
      <c r="T17" s="49">
        <v>25</v>
      </c>
      <c r="U17" s="49">
        <v>25.4</v>
      </c>
      <c r="V17" s="49">
        <v>25.2</v>
      </c>
      <c r="W17" s="49">
        <v>24.7</v>
      </c>
      <c r="X17" s="49">
        <v>24.6</v>
      </c>
      <c r="Y17" s="49">
        <v>23.6</v>
      </c>
      <c r="Z17" s="49">
        <v>24.6</v>
      </c>
      <c r="AA17" s="49">
        <v>24.8</v>
      </c>
      <c r="AB17" s="49">
        <v>24.8</v>
      </c>
      <c r="AC17" s="49">
        <v>24.8</v>
      </c>
      <c r="AD17" s="49">
        <v>24.8</v>
      </c>
      <c r="AE17" s="49">
        <v>24.8</v>
      </c>
      <c r="AF17" s="49">
        <v>24.8</v>
      </c>
      <c r="AG17" s="59">
        <v>22.1</v>
      </c>
      <c r="AH17" s="52">
        <f t="shared" si="2"/>
        <v>25.4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16</v>
      </c>
      <c r="C18" s="49">
        <v>16</v>
      </c>
      <c r="D18" s="49">
        <v>16</v>
      </c>
      <c r="E18" s="49">
        <v>16</v>
      </c>
      <c r="F18" s="49">
        <v>16</v>
      </c>
      <c r="G18" s="49">
        <v>16</v>
      </c>
      <c r="H18" s="49">
        <v>16</v>
      </c>
      <c r="I18" s="49">
        <v>16</v>
      </c>
      <c r="J18" s="49">
        <v>16</v>
      </c>
      <c r="K18" s="49">
        <v>16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49">
        <v>8</v>
      </c>
      <c r="S18" s="49">
        <v>8</v>
      </c>
      <c r="T18" s="49">
        <v>8</v>
      </c>
      <c r="U18" s="49">
        <v>8</v>
      </c>
      <c r="V18" s="49">
        <v>8</v>
      </c>
      <c r="W18" s="49">
        <v>8</v>
      </c>
      <c r="X18" s="49">
        <v>8</v>
      </c>
      <c r="Y18" s="49">
        <v>8</v>
      </c>
      <c r="Z18" s="49">
        <v>8</v>
      </c>
      <c r="AA18" s="49">
        <v>8</v>
      </c>
      <c r="AB18" s="49">
        <v>8</v>
      </c>
      <c r="AC18" s="49">
        <v>8</v>
      </c>
      <c r="AD18" s="49">
        <v>8</v>
      </c>
      <c r="AE18" s="49">
        <v>8</v>
      </c>
      <c r="AF18" s="49">
        <v>8</v>
      </c>
      <c r="AG18" s="59">
        <v>22.1</v>
      </c>
      <c r="AH18" s="52">
        <f t="shared" si="2"/>
        <v>16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22.5</v>
      </c>
      <c r="C19" s="49">
        <v>22.5</v>
      </c>
      <c r="D19" s="49">
        <v>22.5</v>
      </c>
      <c r="E19" s="49">
        <v>22.5</v>
      </c>
      <c r="F19" s="49">
        <v>22.5</v>
      </c>
      <c r="G19" s="49">
        <v>22.5</v>
      </c>
      <c r="H19" s="49">
        <v>22.5</v>
      </c>
      <c r="I19" s="49">
        <v>22.5</v>
      </c>
      <c r="J19" s="49">
        <v>22.5</v>
      </c>
      <c r="K19" s="49">
        <v>22.5</v>
      </c>
      <c r="L19" s="49">
        <v>22.5</v>
      </c>
      <c r="M19" s="49">
        <v>22.5</v>
      </c>
      <c r="N19" s="49">
        <v>22.5</v>
      </c>
      <c r="O19" s="49">
        <v>22.5</v>
      </c>
      <c r="P19" s="49">
        <v>22.5</v>
      </c>
      <c r="Q19" s="49">
        <v>22.5</v>
      </c>
      <c r="R19" s="49">
        <v>25.7</v>
      </c>
      <c r="S19" s="49">
        <v>25.7</v>
      </c>
      <c r="T19" s="49">
        <v>25.7</v>
      </c>
      <c r="U19" s="49">
        <v>25.7</v>
      </c>
      <c r="V19" s="49">
        <v>25.7</v>
      </c>
      <c r="W19" s="49">
        <v>25.8</v>
      </c>
      <c r="X19" s="49">
        <v>25.7</v>
      </c>
      <c r="Y19" s="49">
        <v>25.7</v>
      </c>
      <c r="Z19" s="49">
        <v>25.5</v>
      </c>
      <c r="AA19" s="49">
        <v>25.6</v>
      </c>
      <c r="AB19" s="49">
        <v>25.6</v>
      </c>
      <c r="AC19" s="49">
        <v>25.6</v>
      </c>
      <c r="AD19" s="49">
        <v>25.6</v>
      </c>
      <c r="AE19" s="49">
        <v>25.6</v>
      </c>
      <c r="AF19" s="49">
        <v>25.6</v>
      </c>
      <c r="AG19" s="59">
        <v>22</v>
      </c>
      <c r="AH19" s="52">
        <f t="shared" si="2"/>
        <v>25.8</v>
      </c>
      <c r="AI19" s="53">
        <f t="shared" si="3"/>
        <v>22.5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13</v>
      </c>
      <c r="C20" s="56">
        <v>13</v>
      </c>
      <c r="D20" s="56">
        <v>13</v>
      </c>
      <c r="E20" s="56">
        <v>13</v>
      </c>
      <c r="F20" s="56">
        <v>13</v>
      </c>
      <c r="G20" s="56">
        <v>13</v>
      </c>
      <c r="H20" s="56">
        <v>13</v>
      </c>
      <c r="I20" s="56">
        <v>13</v>
      </c>
      <c r="J20" s="56">
        <v>13</v>
      </c>
      <c r="K20" s="56">
        <v>13</v>
      </c>
      <c r="L20" s="56">
        <v>13</v>
      </c>
      <c r="M20" s="56">
        <v>13</v>
      </c>
      <c r="N20" s="56">
        <v>13</v>
      </c>
      <c r="O20" s="56">
        <v>13</v>
      </c>
      <c r="P20" s="56">
        <v>13</v>
      </c>
      <c r="Q20" s="56">
        <v>13</v>
      </c>
      <c r="R20" s="56">
        <v>13</v>
      </c>
      <c r="S20" s="56">
        <v>13</v>
      </c>
      <c r="T20" s="56">
        <v>13</v>
      </c>
      <c r="U20" s="56">
        <v>13</v>
      </c>
      <c r="V20" s="56">
        <v>13</v>
      </c>
      <c r="W20" s="56">
        <v>13</v>
      </c>
      <c r="X20" s="56">
        <v>13</v>
      </c>
      <c r="Y20" s="56">
        <v>13</v>
      </c>
      <c r="Z20" s="56">
        <v>13</v>
      </c>
      <c r="AA20" s="56">
        <v>13</v>
      </c>
      <c r="AB20" s="56">
        <v>13</v>
      </c>
      <c r="AC20" s="56">
        <v>13</v>
      </c>
      <c r="AD20" s="56">
        <v>13</v>
      </c>
      <c r="AE20" s="56">
        <v>13</v>
      </c>
      <c r="AF20" s="56">
        <v>13</v>
      </c>
      <c r="AG20" s="59">
        <v>22</v>
      </c>
      <c r="AH20" s="52">
        <f t="shared" si="2"/>
        <v>13</v>
      </c>
      <c r="AI20" s="53">
        <f t="shared" si="3"/>
        <v>13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7.5</v>
      </c>
      <c r="C21" s="49">
        <v>7.5</v>
      </c>
      <c r="D21" s="49">
        <v>7.5</v>
      </c>
      <c r="E21" s="49">
        <v>7.5</v>
      </c>
      <c r="F21" s="49">
        <v>7.5</v>
      </c>
      <c r="G21" s="49">
        <v>7.5</v>
      </c>
      <c r="H21" s="49">
        <v>7.5</v>
      </c>
      <c r="I21" s="49">
        <v>7.5</v>
      </c>
      <c r="J21" s="49">
        <v>7.5</v>
      </c>
      <c r="K21" s="49">
        <v>7.5</v>
      </c>
      <c r="L21" s="49">
        <v>7</v>
      </c>
      <c r="M21" s="49">
        <v>7</v>
      </c>
      <c r="N21" s="49">
        <v>7</v>
      </c>
      <c r="O21" s="49">
        <v>7</v>
      </c>
      <c r="P21" s="49">
        <v>7</v>
      </c>
      <c r="Q21" s="49">
        <v>7</v>
      </c>
      <c r="R21" s="49">
        <v>7</v>
      </c>
      <c r="S21" s="49">
        <v>7</v>
      </c>
      <c r="T21" s="49">
        <v>7</v>
      </c>
      <c r="U21" s="49">
        <v>7</v>
      </c>
      <c r="V21" s="49">
        <v>7</v>
      </c>
      <c r="W21" s="49">
        <v>7</v>
      </c>
      <c r="X21" s="49">
        <v>7</v>
      </c>
      <c r="Y21" s="49">
        <v>7</v>
      </c>
      <c r="Z21" s="49">
        <v>7</v>
      </c>
      <c r="AA21" s="49">
        <v>7</v>
      </c>
      <c r="AB21" s="49">
        <v>7</v>
      </c>
      <c r="AC21" s="49">
        <v>7</v>
      </c>
      <c r="AD21" s="49">
        <v>7</v>
      </c>
      <c r="AE21" s="49">
        <v>7</v>
      </c>
      <c r="AF21" s="49">
        <v>7</v>
      </c>
      <c r="AG21" s="59">
        <v>14.9</v>
      </c>
      <c r="AH21" s="52">
        <f t="shared" si="2"/>
        <v>7.5</v>
      </c>
      <c r="AI21" s="53">
        <f t="shared" si="3"/>
        <v>7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49">
        <v>5</v>
      </c>
      <c r="C22" s="49">
        <v>5</v>
      </c>
      <c r="D22" s="49">
        <v>5</v>
      </c>
      <c r="E22" s="49">
        <v>5</v>
      </c>
      <c r="F22" s="49">
        <v>5</v>
      </c>
      <c r="G22" s="49">
        <v>5</v>
      </c>
      <c r="H22" s="49">
        <v>5</v>
      </c>
      <c r="I22" s="49">
        <v>5</v>
      </c>
      <c r="J22" s="49">
        <v>5</v>
      </c>
      <c r="K22" s="49">
        <v>5</v>
      </c>
      <c r="L22" s="49">
        <v>5</v>
      </c>
      <c r="M22" s="49">
        <v>5</v>
      </c>
      <c r="N22" s="49">
        <v>5</v>
      </c>
      <c r="O22" s="49">
        <v>5</v>
      </c>
      <c r="P22" s="49">
        <v>5</v>
      </c>
      <c r="Q22" s="49">
        <v>5</v>
      </c>
      <c r="R22" s="49">
        <v>5</v>
      </c>
      <c r="S22" s="49">
        <v>5</v>
      </c>
      <c r="T22" s="49">
        <v>5</v>
      </c>
      <c r="U22" s="49">
        <v>5</v>
      </c>
      <c r="V22" s="49">
        <v>5</v>
      </c>
      <c r="W22" s="49">
        <v>5</v>
      </c>
      <c r="X22" s="49">
        <v>5</v>
      </c>
      <c r="Y22" s="49">
        <v>5</v>
      </c>
      <c r="Z22" s="49">
        <v>5</v>
      </c>
      <c r="AA22" s="49">
        <v>5</v>
      </c>
      <c r="AB22" s="49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49">
        <v>10</v>
      </c>
      <c r="C23" s="49">
        <v>10</v>
      </c>
      <c r="D23" s="49">
        <v>10</v>
      </c>
      <c r="E23" s="49">
        <v>10</v>
      </c>
      <c r="F23" s="49">
        <v>10</v>
      </c>
      <c r="G23" s="49">
        <v>10</v>
      </c>
      <c r="H23" s="49">
        <v>10</v>
      </c>
      <c r="I23" s="49">
        <v>10</v>
      </c>
      <c r="J23" s="49">
        <v>10</v>
      </c>
      <c r="K23" s="49">
        <v>10</v>
      </c>
      <c r="L23" s="49">
        <v>10</v>
      </c>
      <c r="M23" s="49">
        <v>10</v>
      </c>
      <c r="N23" s="49">
        <v>10</v>
      </c>
      <c r="O23" s="49">
        <v>10</v>
      </c>
      <c r="P23" s="49">
        <v>10</v>
      </c>
      <c r="Q23" s="49">
        <v>10</v>
      </c>
      <c r="R23" s="49">
        <v>10</v>
      </c>
      <c r="S23" s="49">
        <v>10</v>
      </c>
      <c r="T23" s="49">
        <v>10</v>
      </c>
      <c r="U23" s="49">
        <v>10</v>
      </c>
      <c r="V23" s="49">
        <v>10</v>
      </c>
      <c r="W23" s="49">
        <v>10</v>
      </c>
      <c r="X23" s="49">
        <v>10</v>
      </c>
      <c r="Y23" s="49">
        <v>10</v>
      </c>
      <c r="Z23" s="49">
        <v>10</v>
      </c>
      <c r="AA23" s="49">
        <v>10</v>
      </c>
      <c r="AB23" s="49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</v>
      </c>
      <c r="AH23" s="52">
        <f t="shared" si="2"/>
        <v>10</v>
      </c>
      <c r="AI23" s="53">
        <f t="shared" si="3"/>
        <v>10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49">
        <v>12</v>
      </c>
      <c r="N24" s="49">
        <v>12</v>
      </c>
      <c r="O24" s="49">
        <v>12</v>
      </c>
      <c r="P24" s="49">
        <v>12</v>
      </c>
      <c r="Q24" s="49">
        <v>12</v>
      </c>
      <c r="R24" s="49">
        <v>12</v>
      </c>
      <c r="S24" s="49">
        <v>12</v>
      </c>
      <c r="T24" s="49">
        <v>12</v>
      </c>
      <c r="U24" s="49">
        <v>12</v>
      </c>
      <c r="V24" s="49">
        <v>12</v>
      </c>
      <c r="W24" s="49">
        <v>12</v>
      </c>
      <c r="X24" s="49">
        <v>12</v>
      </c>
      <c r="Y24" s="49">
        <v>12</v>
      </c>
      <c r="Z24" s="49">
        <v>12</v>
      </c>
      <c r="AA24" s="49">
        <v>12</v>
      </c>
      <c r="AB24" s="49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49">
        <v>2.2000000000000002</v>
      </c>
      <c r="C25" s="49">
        <v>2.2000000000000002</v>
      </c>
      <c r="D25" s="49">
        <v>2.2000000000000002</v>
      </c>
      <c r="E25" s="49">
        <v>2.2000000000000002</v>
      </c>
      <c r="F25" s="49">
        <v>2.2000000000000002</v>
      </c>
      <c r="G25" s="49">
        <v>2.2000000000000002</v>
      </c>
      <c r="H25" s="49">
        <v>2.2000000000000002</v>
      </c>
      <c r="I25" s="49">
        <v>2.2000000000000002</v>
      </c>
      <c r="J25" s="49">
        <v>2.2000000000000002</v>
      </c>
      <c r="K25" s="49">
        <v>2.2000000000000002</v>
      </c>
      <c r="L25" s="49">
        <v>2.2000000000000002</v>
      </c>
      <c r="M25" s="49">
        <v>2.2000000000000002</v>
      </c>
      <c r="N25" s="49">
        <v>2.2000000000000002</v>
      </c>
      <c r="O25" s="49">
        <v>2.2000000000000002</v>
      </c>
      <c r="P25" s="49">
        <v>2.2000000000000002</v>
      </c>
      <c r="Q25" s="49">
        <v>2.2000000000000002</v>
      </c>
      <c r="R25" s="49">
        <v>2.2000000000000002</v>
      </c>
      <c r="S25" s="49">
        <v>2.2000000000000002</v>
      </c>
      <c r="T25" s="49">
        <v>2.2000000000000002</v>
      </c>
      <c r="U25" s="49">
        <v>2.2000000000000002</v>
      </c>
      <c r="V25" s="49">
        <v>2.2000000000000002</v>
      </c>
      <c r="W25" s="49">
        <v>2.2000000000000002</v>
      </c>
      <c r="X25" s="49">
        <v>2.2000000000000002</v>
      </c>
      <c r="Y25" s="49">
        <v>2.2000000000000002</v>
      </c>
      <c r="Z25" s="49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49">
        <v>10</v>
      </c>
      <c r="N26" s="49">
        <v>10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6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6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160</v>
      </c>
      <c r="C28" s="56">
        <v>160</v>
      </c>
      <c r="D28" s="56">
        <v>160</v>
      </c>
      <c r="E28" s="56">
        <v>160</v>
      </c>
      <c r="F28" s="56">
        <v>160</v>
      </c>
      <c r="G28" s="56">
        <v>160</v>
      </c>
      <c r="H28" s="56">
        <v>160</v>
      </c>
      <c r="I28" s="56">
        <v>160</v>
      </c>
      <c r="J28" s="56">
        <v>160</v>
      </c>
      <c r="K28" s="56">
        <v>160</v>
      </c>
      <c r="L28" s="56">
        <v>160</v>
      </c>
      <c r="M28" s="56">
        <v>160</v>
      </c>
      <c r="N28" s="56">
        <v>160</v>
      </c>
      <c r="O28" s="56">
        <v>160</v>
      </c>
      <c r="P28" s="56">
        <v>160</v>
      </c>
      <c r="Q28" s="56">
        <v>160</v>
      </c>
      <c r="R28" s="56">
        <v>160</v>
      </c>
      <c r="S28" s="56">
        <v>160</v>
      </c>
      <c r="T28" s="56">
        <v>160</v>
      </c>
      <c r="U28" s="56">
        <v>160</v>
      </c>
      <c r="V28" s="56">
        <v>160</v>
      </c>
      <c r="W28" s="56">
        <v>160</v>
      </c>
      <c r="X28" s="56">
        <v>160</v>
      </c>
      <c r="Y28" s="56">
        <v>160</v>
      </c>
      <c r="Z28" s="56">
        <v>160</v>
      </c>
      <c r="AA28" s="56">
        <v>160</v>
      </c>
      <c r="AB28" s="56">
        <v>160</v>
      </c>
      <c r="AC28" s="56">
        <v>160</v>
      </c>
      <c r="AD28" s="56">
        <v>160</v>
      </c>
      <c r="AE28" s="56">
        <v>160</v>
      </c>
      <c r="AF28" s="56">
        <v>160</v>
      </c>
      <c r="AG28" s="59">
        <v>85</v>
      </c>
      <c r="AH28" s="52">
        <f t="shared" si="2"/>
        <v>160</v>
      </c>
      <c r="AI28" s="53">
        <f t="shared" si="3"/>
        <v>160</v>
      </c>
      <c r="AK28" s="54"/>
    </row>
    <row r="29" spans="1:88" ht="15.75" thickBot="1" x14ac:dyDescent="0.3">
      <c r="A29" s="66" t="s">
        <v>36</v>
      </c>
      <c r="B29" s="67">
        <v>89.1</v>
      </c>
      <c r="C29" s="56">
        <v>88</v>
      </c>
      <c r="D29" s="56">
        <v>87.7</v>
      </c>
      <c r="E29" s="56">
        <v>85.4</v>
      </c>
      <c r="F29" s="56">
        <v>87.8</v>
      </c>
      <c r="G29" s="56">
        <v>87.9</v>
      </c>
      <c r="H29" s="56">
        <v>84.5</v>
      </c>
      <c r="I29" s="56">
        <v>84.6</v>
      </c>
      <c r="J29" s="56">
        <v>85</v>
      </c>
      <c r="K29" s="56">
        <v>84.4</v>
      </c>
      <c r="L29" s="67">
        <v>83.4</v>
      </c>
      <c r="M29" s="67">
        <v>83.3</v>
      </c>
      <c r="N29" s="67">
        <v>80</v>
      </c>
      <c r="O29" s="67">
        <v>79.599999999999994</v>
      </c>
      <c r="P29" s="67">
        <v>81</v>
      </c>
      <c r="Q29" s="67">
        <v>76.7</v>
      </c>
      <c r="R29" s="67">
        <v>74.599999999999994</v>
      </c>
      <c r="S29" s="67">
        <v>75.400000000000006</v>
      </c>
      <c r="T29" s="67">
        <v>76.5</v>
      </c>
      <c r="U29" s="67">
        <v>62.6</v>
      </c>
      <c r="V29" s="67">
        <v>79.599999999999994</v>
      </c>
      <c r="W29" s="67">
        <v>84.6</v>
      </c>
      <c r="X29" s="67">
        <v>87.6</v>
      </c>
      <c r="Y29" s="67">
        <v>88.3</v>
      </c>
      <c r="Z29" s="67">
        <v>95</v>
      </c>
      <c r="AA29" s="67">
        <v>98</v>
      </c>
      <c r="AB29" s="67">
        <v>96.1</v>
      </c>
      <c r="AC29" s="67">
        <v>91</v>
      </c>
      <c r="AD29" s="67">
        <v>105</v>
      </c>
      <c r="AE29" s="56">
        <v>129</v>
      </c>
      <c r="AF29" s="56">
        <v>129</v>
      </c>
      <c r="AG29" s="59">
        <v>240</v>
      </c>
      <c r="AH29" s="52">
        <f t="shared" si="2"/>
        <v>129</v>
      </c>
      <c r="AI29" s="53">
        <f t="shared" si="3"/>
        <v>62.6</v>
      </c>
      <c r="AK29" s="54"/>
    </row>
    <row r="30" spans="1:88" ht="15.75" thickBot="1" x14ac:dyDescent="0.3">
      <c r="A30" s="68" t="s">
        <v>37</v>
      </c>
      <c r="B30" s="69">
        <f>SUM(B11:B28)</f>
        <v>479.3</v>
      </c>
      <c r="C30" s="69">
        <f t="shared" ref="C30:AF30" si="4">SUM(C11:C28)</f>
        <v>479.4</v>
      </c>
      <c r="D30" s="69">
        <f t="shared" si="4"/>
        <v>479.2</v>
      </c>
      <c r="E30" s="69">
        <f t="shared" si="4"/>
        <v>479.4</v>
      </c>
      <c r="F30" s="69">
        <f t="shared" si="4"/>
        <v>478.4</v>
      </c>
      <c r="G30" s="69">
        <f t="shared" si="4"/>
        <v>477.4</v>
      </c>
      <c r="H30" s="69">
        <f t="shared" si="4"/>
        <v>477.49999999999994</v>
      </c>
      <c r="I30" s="69">
        <f t="shared" si="4"/>
        <v>477.99999999999994</v>
      </c>
      <c r="J30" s="69">
        <f t="shared" si="4"/>
        <v>478.29999999999995</v>
      </c>
      <c r="K30" s="69">
        <f t="shared" si="4"/>
        <v>478.49999999999994</v>
      </c>
      <c r="L30" s="69">
        <f t="shared" si="4"/>
        <v>463.2</v>
      </c>
      <c r="M30" s="69">
        <f t="shared" si="4"/>
        <v>463.4</v>
      </c>
      <c r="N30" s="69">
        <f t="shared" si="4"/>
        <v>463.99999999999994</v>
      </c>
      <c r="O30" s="69">
        <f t="shared" si="4"/>
        <v>464.2</v>
      </c>
      <c r="P30" s="69">
        <f t="shared" si="4"/>
        <v>464.59999999999997</v>
      </c>
      <c r="Q30" s="69">
        <f t="shared" si="4"/>
        <v>466.3</v>
      </c>
      <c r="R30" s="69">
        <f t="shared" si="4"/>
        <v>471.7</v>
      </c>
      <c r="S30" s="69">
        <f t="shared" si="4"/>
        <v>472.29999999999995</v>
      </c>
      <c r="T30" s="69">
        <f t="shared" si="4"/>
        <v>471.99999999999994</v>
      </c>
      <c r="U30" s="69">
        <f t="shared" si="4"/>
        <v>472.09999999999997</v>
      </c>
      <c r="V30" s="69">
        <f>SUM(V11:V28)</f>
        <v>485.29999999999995</v>
      </c>
      <c r="W30" s="69">
        <f t="shared" si="4"/>
        <v>484.29999999999995</v>
      </c>
      <c r="X30" s="69">
        <f t="shared" si="4"/>
        <v>488.59999999999997</v>
      </c>
      <c r="Y30" s="69">
        <f t="shared" si="4"/>
        <v>487.4</v>
      </c>
      <c r="Z30" s="69">
        <f t="shared" si="4"/>
        <v>490.49999999999994</v>
      </c>
      <c r="AA30" s="69">
        <f t="shared" si="4"/>
        <v>488.8</v>
      </c>
      <c r="AB30" s="69">
        <f t="shared" si="4"/>
        <v>488.8</v>
      </c>
      <c r="AC30" s="69">
        <f t="shared" si="4"/>
        <v>488.8</v>
      </c>
      <c r="AD30" s="69">
        <f t="shared" si="4"/>
        <v>488.8</v>
      </c>
      <c r="AE30" s="69">
        <f t="shared" si="4"/>
        <v>488.8</v>
      </c>
      <c r="AF30" s="69">
        <f t="shared" si="4"/>
        <v>488.8</v>
      </c>
      <c r="AG30" s="59">
        <f>SUM(AG11:AG29)</f>
        <v>729.2</v>
      </c>
      <c r="AH30" s="52">
        <f t="shared" si="2"/>
        <v>490.49999999999994</v>
      </c>
      <c r="AI30" s="53">
        <f t="shared" si="3"/>
        <v>463.2</v>
      </c>
      <c r="AK30" s="54"/>
    </row>
    <row r="31" spans="1:88" x14ac:dyDescent="0.25">
      <c r="A31" s="55" t="s">
        <v>38</v>
      </c>
      <c r="B31" s="48">
        <v>96.8</v>
      </c>
      <c r="C31" s="56">
        <v>96.9</v>
      </c>
      <c r="D31" s="56">
        <v>96.9</v>
      </c>
      <c r="E31" s="56">
        <v>97</v>
      </c>
      <c r="F31" s="56">
        <v>97</v>
      </c>
      <c r="G31" s="56">
        <v>97</v>
      </c>
      <c r="H31" s="56">
        <v>97</v>
      </c>
      <c r="I31" s="56">
        <v>96.8</v>
      </c>
      <c r="J31" s="56">
        <v>97</v>
      </c>
      <c r="K31" s="56">
        <v>96.6</v>
      </c>
      <c r="L31" s="49">
        <v>96.7</v>
      </c>
      <c r="M31" s="49">
        <v>96.8</v>
      </c>
      <c r="N31" s="49">
        <v>96.8</v>
      </c>
      <c r="O31" s="49">
        <v>96.8</v>
      </c>
      <c r="P31" s="49">
        <v>96.8</v>
      </c>
      <c r="Q31" s="49">
        <v>96.8</v>
      </c>
      <c r="R31" s="49">
        <v>96.8</v>
      </c>
      <c r="S31" s="49">
        <v>96.8</v>
      </c>
      <c r="T31" s="49">
        <v>96.8</v>
      </c>
      <c r="U31" s="49">
        <v>96.8</v>
      </c>
      <c r="V31" s="49">
        <v>96.8</v>
      </c>
      <c r="W31" s="49">
        <v>96.8</v>
      </c>
      <c r="X31" s="49">
        <v>96.8</v>
      </c>
      <c r="Y31" s="49">
        <v>96.8</v>
      </c>
      <c r="Z31" s="49">
        <v>96.8</v>
      </c>
      <c r="AA31" s="48">
        <v>97</v>
      </c>
      <c r="AB31" s="48">
        <v>97</v>
      </c>
      <c r="AC31" s="48">
        <v>97</v>
      </c>
      <c r="AD31" s="48">
        <v>97</v>
      </c>
      <c r="AE31" s="48">
        <v>97</v>
      </c>
      <c r="AF31" s="48">
        <v>97</v>
      </c>
      <c r="AG31" s="57">
        <v>144</v>
      </c>
      <c r="AH31" s="52">
        <f t="shared" si="2"/>
        <v>97</v>
      </c>
      <c r="AI31" s="53">
        <f t="shared" si="3"/>
        <v>96.6</v>
      </c>
      <c r="AK31" s="54"/>
    </row>
    <row r="32" spans="1:88" x14ac:dyDescent="0.25">
      <c r="A32" s="58" t="s">
        <v>39</v>
      </c>
      <c r="B32" s="56">
        <v>70.7</v>
      </c>
      <c r="C32" s="56">
        <v>70.8</v>
      </c>
      <c r="D32" s="56">
        <v>70</v>
      </c>
      <c r="E32" s="56">
        <v>70</v>
      </c>
      <c r="F32" s="56">
        <v>70</v>
      </c>
      <c r="G32" s="56">
        <v>70</v>
      </c>
      <c r="H32" s="56">
        <v>70.3</v>
      </c>
      <c r="I32" s="56">
        <v>70.5</v>
      </c>
      <c r="J32" s="56">
        <v>70</v>
      </c>
      <c r="K32" s="56">
        <v>70.2</v>
      </c>
      <c r="L32" s="70">
        <v>69.5</v>
      </c>
      <c r="M32" s="70">
        <v>70.599999999999994</v>
      </c>
      <c r="N32" s="70">
        <v>70.5</v>
      </c>
      <c r="O32" s="70">
        <v>70.599999999999994</v>
      </c>
      <c r="P32" s="70">
        <v>70.599999999999994</v>
      </c>
      <c r="Q32" s="70">
        <v>70.2</v>
      </c>
      <c r="R32" s="70">
        <v>70.099999999999994</v>
      </c>
      <c r="S32" s="70">
        <v>70.8</v>
      </c>
      <c r="T32" s="70">
        <v>71</v>
      </c>
      <c r="U32" s="70">
        <v>70.2</v>
      </c>
      <c r="V32" s="70">
        <v>71</v>
      </c>
      <c r="W32" s="70">
        <v>70.099999999999994</v>
      </c>
      <c r="X32" s="70">
        <v>69.400000000000006</v>
      </c>
      <c r="Y32" s="70">
        <v>70.3</v>
      </c>
      <c r="Z32" s="70">
        <v>70.400000000000006</v>
      </c>
      <c r="AA32" s="56">
        <v>70.2</v>
      </c>
      <c r="AB32" s="56">
        <v>70.599999999999994</v>
      </c>
      <c r="AC32" s="56">
        <v>70</v>
      </c>
      <c r="AD32" s="56">
        <v>70</v>
      </c>
      <c r="AE32" s="56">
        <v>55</v>
      </c>
      <c r="AF32" s="56">
        <v>70</v>
      </c>
      <c r="AG32" s="59">
        <v>70</v>
      </c>
      <c r="AH32" s="52">
        <f t="shared" si="2"/>
        <v>71</v>
      </c>
      <c r="AI32" s="53">
        <f t="shared" si="3"/>
        <v>55</v>
      </c>
      <c r="AK32" s="54"/>
    </row>
    <row r="33" spans="1:41" x14ac:dyDescent="0.25">
      <c r="A33" s="58" t="s">
        <v>40</v>
      </c>
      <c r="B33" s="56">
        <v>46</v>
      </c>
      <c r="C33" s="56">
        <v>46</v>
      </c>
      <c r="D33" s="56">
        <v>46</v>
      </c>
      <c r="E33" s="56">
        <v>45.6</v>
      </c>
      <c r="F33" s="56">
        <v>45.6</v>
      </c>
      <c r="G33" s="56">
        <v>45.6</v>
      </c>
      <c r="H33" s="56">
        <v>45.6</v>
      </c>
      <c r="I33" s="56">
        <v>45.2</v>
      </c>
      <c r="J33" s="56">
        <v>45.6</v>
      </c>
      <c r="K33" s="56">
        <v>44.8</v>
      </c>
      <c r="L33" s="70">
        <v>45.8</v>
      </c>
      <c r="M33" s="70">
        <v>45.6</v>
      </c>
      <c r="N33" s="70">
        <v>44.9</v>
      </c>
      <c r="O33" s="70">
        <v>62.7</v>
      </c>
      <c r="P33" s="70">
        <v>61.7</v>
      </c>
      <c r="Q33" s="70">
        <v>63.1</v>
      </c>
      <c r="R33" s="70">
        <v>62.8</v>
      </c>
      <c r="S33" s="70">
        <v>62.9</v>
      </c>
      <c r="T33" s="70">
        <v>63</v>
      </c>
      <c r="U33" s="70">
        <v>45.1</v>
      </c>
      <c r="V33" s="70">
        <v>45.7</v>
      </c>
      <c r="W33" s="70">
        <v>45.3</v>
      </c>
      <c r="X33" s="70">
        <v>45.5</v>
      </c>
      <c r="Y33" s="70">
        <v>62.6</v>
      </c>
      <c r="Z33" s="70">
        <v>62.6</v>
      </c>
      <c r="AA33" s="56">
        <v>62.2</v>
      </c>
      <c r="AB33" s="56">
        <v>62.6</v>
      </c>
      <c r="AC33" s="56">
        <v>62</v>
      </c>
      <c r="AD33" s="56">
        <v>62</v>
      </c>
      <c r="AE33" s="56">
        <v>55</v>
      </c>
      <c r="AF33" s="56">
        <v>62</v>
      </c>
      <c r="AG33" s="59">
        <v>69</v>
      </c>
      <c r="AH33" s="52">
        <f t="shared" si="2"/>
        <v>63.1</v>
      </c>
      <c r="AI33" s="53">
        <f t="shared" si="3"/>
        <v>44.8</v>
      </c>
      <c r="AK33" s="54"/>
    </row>
    <row r="34" spans="1:41" x14ac:dyDescent="0.25">
      <c r="A34" s="58" t="s">
        <v>41</v>
      </c>
      <c r="B34" s="56">
        <v>29.7</v>
      </c>
      <c r="C34" s="56">
        <v>29.6</v>
      </c>
      <c r="D34" s="56">
        <v>29.3</v>
      </c>
      <c r="E34" s="56">
        <v>29.3</v>
      </c>
      <c r="F34" s="56">
        <v>29.3</v>
      </c>
      <c r="G34" s="56">
        <v>29.3</v>
      </c>
      <c r="H34" s="56">
        <v>29.3</v>
      </c>
      <c r="I34" s="56">
        <v>29.5</v>
      </c>
      <c r="J34" s="56">
        <v>29.3</v>
      </c>
      <c r="K34" s="56">
        <v>29.5</v>
      </c>
      <c r="L34" s="70">
        <v>29.5</v>
      </c>
      <c r="M34" s="70">
        <v>29.5</v>
      </c>
      <c r="N34" s="70">
        <v>29.7</v>
      </c>
      <c r="O34" s="70">
        <v>29.5</v>
      </c>
      <c r="P34" s="70">
        <v>29.5</v>
      </c>
      <c r="Q34" s="70">
        <v>29.5</v>
      </c>
      <c r="R34" s="70">
        <v>29.7</v>
      </c>
      <c r="S34" s="70">
        <v>29.5</v>
      </c>
      <c r="T34" s="70">
        <v>29.2</v>
      </c>
      <c r="U34" s="70">
        <v>29.7</v>
      </c>
      <c r="V34" s="70">
        <v>29.5</v>
      </c>
      <c r="W34" s="70">
        <v>29.5</v>
      </c>
      <c r="X34" s="70">
        <v>29.2</v>
      </c>
      <c r="Y34" s="70">
        <v>29.5</v>
      </c>
      <c r="Z34" s="70">
        <v>29.5</v>
      </c>
      <c r="AA34" s="56">
        <v>29.5</v>
      </c>
      <c r="AB34" s="56">
        <v>29.5</v>
      </c>
      <c r="AC34" s="56">
        <v>29.5</v>
      </c>
      <c r="AD34" s="56">
        <v>29.5</v>
      </c>
      <c r="AE34" s="56">
        <v>29.5</v>
      </c>
      <c r="AF34" s="56">
        <v>29.5</v>
      </c>
      <c r="AG34" s="59">
        <v>60</v>
      </c>
      <c r="AH34" s="52">
        <f t="shared" si="2"/>
        <v>29.7</v>
      </c>
      <c r="AI34" s="53">
        <f t="shared" si="3"/>
        <v>29.2</v>
      </c>
      <c r="AK34" s="54"/>
    </row>
    <row r="35" spans="1:41" x14ac:dyDescent="0.25">
      <c r="A35" s="58" t="s">
        <v>42</v>
      </c>
      <c r="B35" s="56">
        <v>30</v>
      </c>
      <c r="C35" s="56">
        <v>30</v>
      </c>
      <c r="D35" s="56">
        <v>30</v>
      </c>
      <c r="E35" s="56">
        <v>30</v>
      </c>
      <c r="F35" s="56">
        <v>30</v>
      </c>
      <c r="G35" s="56">
        <v>30</v>
      </c>
      <c r="H35" s="56">
        <v>30</v>
      </c>
      <c r="I35" s="56">
        <v>30</v>
      </c>
      <c r="J35" s="56">
        <v>30</v>
      </c>
      <c r="K35" s="56">
        <v>30</v>
      </c>
      <c r="L35" s="49">
        <v>30</v>
      </c>
      <c r="M35" s="49">
        <v>30</v>
      </c>
      <c r="N35" s="49">
        <v>30</v>
      </c>
      <c r="O35" s="49">
        <v>15</v>
      </c>
      <c r="P35" s="49">
        <v>30</v>
      </c>
      <c r="Q35" s="49">
        <v>30</v>
      </c>
      <c r="R35" s="49">
        <v>30</v>
      </c>
      <c r="S35" s="49">
        <v>30</v>
      </c>
      <c r="T35" s="49">
        <v>25</v>
      </c>
      <c r="U35" s="49">
        <v>25.3</v>
      </c>
      <c r="V35" s="70">
        <v>39.96</v>
      </c>
      <c r="W35" s="70">
        <v>25.2</v>
      </c>
      <c r="X35" s="70">
        <v>24.6</v>
      </c>
      <c r="Y35" s="70">
        <v>25</v>
      </c>
      <c r="Z35" s="70">
        <v>29.7</v>
      </c>
      <c r="AA35" s="56">
        <v>29.8</v>
      </c>
      <c r="AB35" s="56">
        <v>29.8</v>
      </c>
      <c r="AC35" s="56">
        <v>29.8</v>
      </c>
      <c r="AD35" s="56">
        <v>29.8</v>
      </c>
      <c r="AE35" s="56">
        <v>29.8</v>
      </c>
      <c r="AF35" s="56">
        <v>29.8</v>
      </c>
      <c r="AG35" s="59">
        <v>30</v>
      </c>
      <c r="AH35" s="52">
        <f t="shared" si="2"/>
        <v>39.96</v>
      </c>
      <c r="AI35" s="53">
        <f t="shared" si="3"/>
        <v>15</v>
      </c>
      <c r="AK35" s="54"/>
    </row>
    <row r="36" spans="1:41" x14ac:dyDescent="0.25">
      <c r="A36" s="58" t="s">
        <v>43</v>
      </c>
      <c r="B36" s="56">
        <v>16.399999999999999</v>
      </c>
      <c r="C36" s="71">
        <v>16.5</v>
      </c>
      <c r="D36" s="71">
        <v>16.5</v>
      </c>
      <c r="E36" s="71">
        <v>16.5</v>
      </c>
      <c r="F36" s="71">
        <v>16.5</v>
      </c>
      <c r="G36" s="71">
        <v>16.5</v>
      </c>
      <c r="H36" s="71">
        <v>16.5</v>
      </c>
      <c r="I36" s="71">
        <v>16.5</v>
      </c>
      <c r="J36" s="71">
        <v>16.2</v>
      </c>
      <c r="K36" s="71">
        <v>16.2</v>
      </c>
      <c r="L36" s="49">
        <v>16.600000000000001</v>
      </c>
      <c r="M36" s="49">
        <v>16.600000000000001</v>
      </c>
      <c r="N36" s="49">
        <v>16.600000000000001</v>
      </c>
      <c r="O36" s="49">
        <v>16</v>
      </c>
      <c r="P36" s="49">
        <v>14.2</v>
      </c>
      <c r="Q36" s="49">
        <v>15.5</v>
      </c>
      <c r="R36" s="49">
        <v>15.4</v>
      </c>
      <c r="S36" s="49">
        <v>15.4</v>
      </c>
      <c r="T36" s="49">
        <v>15.6</v>
      </c>
      <c r="U36" s="49">
        <v>15.6</v>
      </c>
      <c r="V36" s="49">
        <v>15.6</v>
      </c>
      <c r="W36" s="49">
        <v>15.6</v>
      </c>
      <c r="X36" s="49">
        <v>15.6</v>
      </c>
      <c r="Y36" s="49">
        <v>16.399999999999999</v>
      </c>
      <c r="Z36" s="49">
        <v>16.399999999999999</v>
      </c>
      <c r="AA36" s="56">
        <v>16.3</v>
      </c>
      <c r="AB36" s="56">
        <v>16.3</v>
      </c>
      <c r="AC36" s="56">
        <v>16.3</v>
      </c>
      <c r="AD36" s="56">
        <v>16.3</v>
      </c>
      <c r="AE36" s="56">
        <v>16.3</v>
      </c>
      <c r="AF36" s="56">
        <v>16.3</v>
      </c>
      <c r="AG36" s="59">
        <v>24</v>
      </c>
      <c r="AH36" s="52">
        <f t="shared" si="2"/>
        <v>16.600000000000001</v>
      </c>
      <c r="AI36" s="53">
        <f t="shared" si="3"/>
        <v>14.2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13</v>
      </c>
      <c r="C38" s="56">
        <v>13</v>
      </c>
      <c r="D38" s="56">
        <v>13</v>
      </c>
      <c r="E38" s="56">
        <v>13</v>
      </c>
      <c r="F38" s="56">
        <v>13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49">
        <v>13</v>
      </c>
      <c r="M38" s="49">
        <v>13</v>
      </c>
      <c r="N38" s="49">
        <v>13</v>
      </c>
      <c r="O38" s="49">
        <v>13</v>
      </c>
      <c r="P38" s="49">
        <v>13</v>
      </c>
      <c r="Q38" s="49">
        <v>13</v>
      </c>
      <c r="R38" s="49">
        <v>13</v>
      </c>
      <c r="S38" s="49">
        <v>13</v>
      </c>
      <c r="T38" s="49">
        <v>13</v>
      </c>
      <c r="U38" s="49">
        <v>13</v>
      </c>
      <c r="V38" s="49">
        <v>13</v>
      </c>
      <c r="W38" s="49">
        <v>13</v>
      </c>
      <c r="X38" s="49">
        <v>13</v>
      </c>
      <c r="Y38" s="49">
        <v>13</v>
      </c>
      <c r="Z38" s="49">
        <v>13</v>
      </c>
      <c r="AA38" s="49">
        <v>13</v>
      </c>
      <c r="AB38" s="49">
        <v>13</v>
      </c>
      <c r="AC38" s="49">
        <v>13</v>
      </c>
      <c r="AD38" s="49">
        <v>13</v>
      </c>
      <c r="AE38" s="49">
        <v>13</v>
      </c>
      <c r="AF38" s="49">
        <v>13</v>
      </c>
      <c r="AG38" s="59">
        <v>14.1</v>
      </c>
      <c r="AH38" s="52">
        <f t="shared" si="2"/>
        <v>13</v>
      </c>
      <c r="AI38" s="53">
        <f t="shared" si="3"/>
        <v>13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13</v>
      </c>
      <c r="C39" s="56">
        <v>13</v>
      </c>
      <c r="D39" s="56">
        <v>13</v>
      </c>
      <c r="E39" s="56">
        <v>13</v>
      </c>
      <c r="F39" s="56">
        <v>13</v>
      </c>
      <c r="G39" s="56">
        <v>13</v>
      </c>
      <c r="H39" s="56">
        <v>13</v>
      </c>
      <c r="I39" s="56">
        <v>13</v>
      </c>
      <c r="J39" s="56">
        <v>13</v>
      </c>
      <c r="K39" s="56">
        <v>13</v>
      </c>
      <c r="L39" s="49">
        <v>13</v>
      </c>
      <c r="M39" s="49">
        <v>12</v>
      </c>
      <c r="N39" s="49">
        <v>12</v>
      </c>
      <c r="O39" s="49">
        <v>12</v>
      </c>
      <c r="P39" s="49">
        <v>12</v>
      </c>
      <c r="Q39" s="49">
        <v>12</v>
      </c>
      <c r="R39" s="49">
        <v>12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49">
        <v>12</v>
      </c>
      <c r="AA39" s="49">
        <v>12</v>
      </c>
      <c r="AB39" s="49">
        <v>12</v>
      </c>
      <c r="AC39" s="49">
        <v>12</v>
      </c>
      <c r="AD39" s="49">
        <v>12</v>
      </c>
      <c r="AE39" s="49">
        <v>12</v>
      </c>
      <c r="AF39" s="49">
        <v>12</v>
      </c>
      <c r="AG39" s="59">
        <v>14</v>
      </c>
      <c r="AH39" s="52">
        <f t="shared" si="2"/>
        <v>13</v>
      </c>
      <c r="AI39" s="53">
        <f t="shared" si="3"/>
        <v>12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8.4</v>
      </c>
      <c r="C40" s="56">
        <v>8.4</v>
      </c>
      <c r="D40" s="56">
        <v>8.4</v>
      </c>
      <c r="E40" s="56">
        <v>8.4</v>
      </c>
      <c r="F40" s="56">
        <v>8.4</v>
      </c>
      <c r="G40" s="56">
        <v>8.4</v>
      </c>
      <c r="H40" s="56">
        <v>8.4</v>
      </c>
      <c r="I40" s="56">
        <v>8.4</v>
      </c>
      <c r="J40" s="56">
        <v>8.4</v>
      </c>
      <c r="K40" s="56">
        <v>8.4</v>
      </c>
      <c r="L40" s="49">
        <v>8.4</v>
      </c>
      <c r="M40" s="49">
        <v>8.4</v>
      </c>
      <c r="N40" s="49">
        <v>8.4</v>
      </c>
      <c r="O40" s="49">
        <v>4</v>
      </c>
      <c r="P40" s="49">
        <v>0</v>
      </c>
      <c r="Q40" s="49">
        <v>6.4</v>
      </c>
      <c r="R40" s="49">
        <v>6.4</v>
      </c>
      <c r="S40" s="49">
        <v>6.4</v>
      </c>
      <c r="T40" s="49">
        <v>6.4</v>
      </c>
      <c r="U40" s="49">
        <v>6.4</v>
      </c>
      <c r="V40" s="49">
        <v>6.4</v>
      </c>
      <c r="W40" s="49">
        <v>6.4</v>
      </c>
      <c r="X40" s="49">
        <v>6.4</v>
      </c>
      <c r="Y40" s="49">
        <v>6.4</v>
      </c>
      <c r="Z40" s="49">
        <v>9.5</v>
      </c>
      <c r="AA40" s="49">
        <v>6.4</v>
      </c>
      <c r="AB40" s="49">
        <v>6.4</v>
      </c>
      <c r="AC40" s="49">
        <v>6.4</v>
      </c>
      <c r="AD40" s="49">
        <v>6.4</v>
      </c>
      <c r="AE40" s="49">
        <v>6.4</v>
      </c>
      <c r="AF40" s="49">
        <v>6.4</v>
      </c>
      <c r="AG40" s="59">
        <v>10.050000000000001</v>
      </c>
      <c r="AH40" s="52">
        <f t="shared" si="2"/>
        <v>9.5</v>
      </c>
      <c r="AI40" s="53">
        <f t="shared" si="3"/>
        <v>0</v>
      </c>
      <c r="AK40" s="54"/>
    </row>
    <row r="41" spans="1:41" x14ac:dyDescent="0.25">
      <c r="A41" s="58" t="s">
        <v>48</v>
      </c>
      <c r="B41" s="56">
        <v>3</v>
      </c>
      <c r="C41" s="56">
        <v>3</v>
      </c>
      <c r="D41" s="56">
        <v>3</v>
      </c>
      <c r="E41" s="56">
        <v>3</v>
      </c>
      <c r="F41" s="56">
        <v>3</v>
      </c>
      <c r="G41" s="56">
        <v>3</v>
      </c>
      <c r="H41" s="56">
        <v>3</v>
      </c>
      <c r="I41" s="56">
        <v>3</v>
      </c>
      <c r="J41" s="56">
        <v>3</v>
      </c>
      <c r="K41" s="56">
        <v>3</v>
      </c>
      <c r="L41" s="56">
        <v>3</v>
      </c>
      <c r="M41" s="49">
        <v>3</v>
      </c>
      <c r="N41" s="49">
        <v>3</v>
      </c>
      <c r="O41" s="49">
        <v>3</v>
      </c>
      <c r="P41" s="49">
        <v>3</v>
      </c>
      <c r="Q41" s="49">
        <v>3</v>
      </c>
      <c r="R41" s="49">
        <v>3</v>
      </c>
      <c r="S41" s="49">
        <v>3</v>
      </c>
      <c r="T41" s="49">
        <v>3</v>
      </c>
      <c r="U41" s="49">
        <v>3</v>
      </c>
      <c r="V41" s="49">
        <v>3</v>
      </c>
      <c r="W41" s="49">
        <v>3</v>
      </c>
      <c r="X41" s="49">
        <v>3</v>
      </c>
      <c r="Y41" s="49">
        <v>3</v>
      </c>
      <c r="Z41" s="49">
        <v>3</v>
      </c>
      <c r="AA41" s="49">
        <v>3</v>
      </c>
      <c r="AB41" s="49">
        <v>3</v>
      </c>
      <c r="AC41" s="49">
        <v>3</v>
      </c>
      <c r="AD41" s="49">
        <v>3</v>
      </c>
      <c r="AE41" s="49">
        <v>3</v>
      </c>
      <c r="AF41" s="49">
        <v>3</v>
      </c>
      <c r="AG41" s="59">
        <v>6.2</v>
      </c>
      <c r="AH41" s="52">
        <f t="shared" si="2"/>
        <v>3</v>
      </c>
      <c r="AI41" s="53">
        <f t="shared" si="3"/>
        <v>3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330.53999999999996</v>
      </c>
      <c r="C43" s="69">
        <f t="shared" ref="C43:AF43" si="6">SUM(C31:C42)</f>
        <v>330.73999999999995</v>
      </c>
      <c r="D43" s="69">
        <f t="shared" si="6"/>
        <v>329.64000000000004</v>
      </c>
      <c r="E43" s="69">
        <f t="shared" si="6"/>
        <v>329.34</v>
      </c>
      <c r="F43" s="69">
        <f t="shared" si="6"/>
        <v>329.34</v>
      </c>
      <c r="G43" s="69">
        <f t="shared" si="6"/>
        <v>329.34</v>
      </c>
      <c r="H43" s="69">
        <f t="shared" si="6"/>
        <v>329.64000000000004</v>
      </c>
      <c r="I43" s="69">
        <f t="shared" si="6"/>
        <v>329.44</v>
      </c>
      <c r="J43" s="69">
        <f t="shared" si="6"/>
        <v>329.03999999999996</v>
      </c>
      <c r="K43" s="69">
        <f t="shared" si="6"/>
        <v>328.24</v>
      </c>
      <c r="L43" s="69">
        <f t="shared" si="6"/>
        <v>329.04</v>
      </c>
      <c r="M43" s="69">
        <f t="shared" si="6"/>
        <v>329.04</v>
      </c>
      <c r="N43" s="69">
        <f t="shared" si="6"/>
        <v>328.44</v>
      </c>
      <c r="O43" s="69">
        <f t="shared" si="6"/>
        <v>326.14</v>
      </c>
      <c r="P43" s="69">
        <f t="shared" si="6"/>
        <v>334.34</v>
      </c>
      <c r="Q43" s="69">
        <f t="shared" si="6"/>
        <v>343.04</v>
      </c>
      <c r="R43" s="69">
        <f t="shared" si="6"/>
        <v>342.73999999999995</v>
      </c>
      <c r="S43" s="69">
        <f t="shared" si="6"/>
        <v>343.34</v>
      </c>
      <c r="T43" s="69">
        <f t="shared" si="6"/>
        <v>338.54</v>
      </c>
      <c r="U43" s="69">
        <f t="shared" si="6"/>
        <v>320.64</v>
      </c>
      <c r="V43" s="69">
        <f t="shared" si="6"/>
        <v>336.5</v>
      </c>
      <c r="W43" s="69">
        <f t="shared" si="6"/>
        <v>320.44</v>
      </c>
      <c r="X43" s="69">
        <f t="shared" si="6"/>
        <v>319.04000000000002</v>
      </c>
      <c r="Y43" s="69">
        <f t="shared" si="6"/>
        <v>338.53999999999996</v>
      </c>
      <c r="Z43" s="69">
        <f t="shared" si="6"/>
        <v>346.43999999999994</v>
      </c>
      <c r="AA43" s="69">
        <f t="shared" si="6"/>
        <v>342.94</v>
      </c>
      <c r="AB43" s="69">
        <f t="shared" si="6"/>
        <v>343.74</v>
      </c>
      <c r="AC43" s="69">
        <f t="shared" si="6"/>
        <v>342.54</v>
      </c>
      <c r="AD43" s="69">
        <f t="shared" si="6"/>
        <v>342.54</v>
      </c>
      <c r="AE43" s="69">
        <f t="shared" si="6"/>
        <v>320.54000000000002</v>
      </c>
      <c r="AF43" s="69">
        <f t="shared" si="6"/>
        <v>342.54</v>
      </c>
      <c r="AG43" s="74">
        <f>SUM(AG31:AG42)</f>
        <v>464.91</v>
      </c>
      <c r="AH43" s="52">
        <f t="shared" si="2"/>
        <v>346.43999999999994</v>
      </c>
      <c r="AI43" s="53">
        <f t="shared" si="3"/>
        <v>319.04000000000002</v>
      </c>
      <c r="AK43" s="54"/>
    </row>
    <row r="44" spans="1:41" x14ac:dyDescent="0.25">
      <c r="A44" s="55" t="s">
        <v>51</v>
      </c>
      <c r="B44" s="49">
        <v>19.899999999999999</v>
      </c>
      <c r="C44" s="56">
        <v>10.6</v>
      </c>
      <c r="D44" s="56">
        <v>10.6</v>
      </c>
      <c r="E44" s="56">
        <v>10.4</v>
      </c>
      <c r="F44" s="56">
        <v>0</v>
      </c>
      <c r="G44" s="56">
        <v>0</v>
      </c>
      <c r="H44" s="56">
        <v>0</v>
      </c>
      <c r="I44" s="56">
        <v>30</v>
      </c>
      <c r="J44" s="56">
        <v>30</v>
      </c>
      <c r="K44" s="56">
        <v>30.5</v>
      </c>
      <c r="L44" s="75">
        <v>30.5</v>
      </c>
      <c r="M44" s="75">
        <v>44.1</v>
      </c>
      <c r="N44" s="75">
        <v>44.1</v>
      </c>
      <c r="O44" s="75">
        <v>43.8</v>
      </c>
      <c r="P44" s="49">
        <v>49.8</v>
      </c>
      <c r="Q44" s="49">
        <v>40</v>
      </c>
      <c r="R44" s="49">
        <v>58.5</v>
      </c>
      <c r="S44" s="49">
        <v>44</v>
      </c>
      <c r="T44" s="49">
        <v>39.700000000000003</v>
      </c>
      <c r="U44" s="49">
        <v>40.1</v>
      </c>
      <c r="V44" s="49">
        <v>29.5</v>
      </c>
      <c r="W44" s="49">
        <v>19.899999999999999</v>
      </c>
      <c r="X44" s="49">
        <v>13.9</v>
      </c>
      <c r="Y44" s="49">
        <v>40.4</v>
      </c>
      <c r="Z44" s="49">
        <v>59.1</v>
      </c>
      <c r="AA44" s="49">
        <v>38</v>
      </c>
      <c r="AB44" s="49">
        <v>30</v>
      </c>
      <c r="AC44" s="49">
        <v>29</v>
      </c>
      <c r="AD44" s="49">
        <v>14</v>
      </c>
      <c r="AE44" s="49">
        <v>10</v>
      </c>
      <c r="AF44" s="49">
        <v>14</v>
      </c>
      <c r="AG44" s="57">
        <v>60</v>
      </c>
      <c r="AH44" s="52">
        <f t="shared" si="2"/>
        <v>59.1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9.1</v>
      </c>
      <c r="C45" s="56">
        <v>4.2</v>
      </c>
      <c r="D45" s="56">
        <v>4</v>
      </c>
      <c r="E45" s="56">
        <v>4</v>
      </c>
      <c r="F45" s="56">
        <v>0</v>
      </c>
      <c r="G45" s="56">
        <v>0</v>
      </c>
      <c r="H45" s="56">
        <v>0</v>
      </c>
      <c r="I45" s="56">
        <v>16</v>
      </c>
      <c r="J45" s="56">
        <v>15.9</v>
      </c>
      <c r="K45" s="56">
        <v>15.9</v>
      </c>
      <c r="L45" s="75">
        <v>15.9</v>
      </c>
      <c r="M45" s="75">
        <v>20.8</v>
      </c>
      <c r="N45" s="75">
        <v>20.6</v>
      </c>
      <c r="O45" s="75">
        <v>21.4</v>
      </c>
      <c r="P45" s="70">
        <v>24.4</v>
      </c>
      <c r="Q45" s="70">
        <v>24.9</v>
      </c>
      <c r="R45" s="49">
        <v>24.3</v>
      </c>
      <c r="S45" s="49">
        <v>21.3</v>
      </c>
      <c r="T45" s="49">
        <v>16.399999999999999</v>
      </c>
      <c r="U45" s="70">
        <v>18.100000000000001</v>
      </c>
      <c r="V45" s="70">
        <v>16.100000000000001</v>
      </c>
      <c r="W45" s="70">
        <v>11.3</v>
      </c>
      <c r="X45" s="70">
        <v>9.6999999999999993</v>
      </c>
      <c r="Y45" s="70">
        <v>19.3</v>
      </c>
      <c r="Z45" s="70">
        <v>29.3</v>
      </c>
      <c r="AA45" s="70">
        <v>18.600000000000001</v>
      </c>
      <c r="AB45" s="70">
        <v>9.5</v>
      </c>
      <c r="AC45" s="70">
        <v>15</v>
      </c>
      <c r="AD45" s="70">
        <v>9.5</v>
      </c>
      <c r="AE45" s="70">
        <v>4</v>
      </c>
      <c r="AF45" s="70">
        <v>12.8</v>
      </c>
      <c r="AG45" s="59">
        <v>32</v>
      </c>
      <c r="AH45" s="52">
        <f t="shared" si="2"/>
        <v>29.3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3.3</v>
      </c>
      <c r="C46" s="71">
        <v>1.5</v>
      </c>
      <c r="D46" s="71">
        <v>1.5</v>
      </c>
      <c r="E46" s="71">
        <v>1.5</v>
      </c>
      <c r="F46" s="71">
        <v>0</v>
      </c>
      <c r="G46" s="71">
        <v>0</v>
      </c>
      <c r="H46" s="71">
        <v>0</v>
      </c>
      <c r="I46" s="71">
        <v>5.8</v>
      </c>
      <c r="J46" s="71">
        <v>5.9</v>
      </c>
      <c r="K46" s="71">
        <v>5.6</v>
      </c>
      <c r="L46" s="76">
        <v>5.8</v>
      </c>
      <c r="M46" s="76">
        <v>7.6</v>
      </c>
      <c r="N46" s="76">
        <v>7.5</v>
      </c>
      <c r="O46" s="76">
        <v>7.8</v>
      </c>
      <c r="P46" s="77">
        <v>8.9</v>
      </c>
      <c r="Q46" s="77">
        <v>9.1</v>
      </c>
      <c r="R46" s="49">
        <v>8.9</v>
      </c>
      <c r="S46" s="49">
        <v>7.8</v>
      </c>
      <c r="T46" s="49">
        <v>6</v>
      </c>
      <c r="U46" s="77">
        <v>6.7</v>
      </c>
      <c r="V46" s="77">
        <v>5.9</v>
      </c>
      <c r="W46" s="77">
        <v>4.0999999999999996</v>
      </c>
      <c r="X46" s="77">
        <v>3.5</v>
      </c>
      <c r="Y46" s="77">
        <v>7</v>
      </c>
      <c r="Z46" s="77">
        <v>10.7</v>
      </c>
      <c r="AA46" s="77">
        <v>6.8</v>
      </c>
      <c r="AB46" s="77">
        <v>3.5</v>
      </c>
      <c r="AC46" s="77">
        <v>5.5</v>
      </c>
      <c r="AD46" s="77">
        <v>3.4</v>
      </c>
      <c r="AE46" s="77">
        <v>1.5</v>
      </c>
      <c r="AF46" s="77">
        <v>4.7</v>
      </c>
      <c r="AG46" s="78">
        <v>14</v>
      </c>
      <c r="AH46" s="52">
        <f t="shared" si="2"/>
        <v>10.7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32.299999999999997</v>
      </c>
      <c r="C47" s="69">
        <f t="shared" ref="C47:AF47" si="7">SUM(C44:C46)</f>
        <v>16.3</v>
      </c>
      <c r="D47" s="69">
        <f t="shared" si="7"/>
        <v>16.100000000000001</v>
      </c>
      <c r="E47" s="69">
        <f t="shared" si="7"/>
        <v>15.9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51.8</v>
      </c>
      <c r="J47" s="69">
        <f t="shared" si="7"/>
        <v>51.8</v>
      </c>
      <c r="K47" s="69">
        <f t="shared" si="7"/>
        <v>52</v>
      </c>
      <c r="L47" s="69">
        <f t="shared" si="7"/>
        <v>52.199999999999996</v>
      </c>
      <c r="M47" s="69">
        <f t="shared" si="7"/>
        <v>72.5</v>
      </c>
      <c r="N47" s="69">
        <f t="shared" si="7"/>
        <v>72.2</v>
      </c>
      <c r="O47" s="69">
        <f t="shared" si="7"/>
        <v>72.999999999999986</v>
      </c>
      <c r="P47" s="69">
        <f t="shared" si="7"/>
        <v>83.1</v>
      </c>
      <c r="Q47" s="69">
        <f t="shared" si="7"/>
        <v>74</v>
      </c>
      <c r="R47" s="69">
        <f t="shared" si="7"/>
        <v>91.7</v>
      </c>
      <c r="S47" s="69">
        <f t="shared" si="7"/>
        <v>73.099999999999994</v>
      </c>
      <c r="T47" s="69">
        <f t="shared" si="7"/>
        <v>62.1</v>
      </c>
      <c r="U47" s="69">
        <f t="shared" si="7"/>
        <v>64.900000000000006</v>
      </c>
      <c r="V47" s="69">
        <f t="shared" si="7"/>
        <v>51.5</v>
      </c>
      <c r="W47" s="69">
        <f t="shared" si="7"/>
        <v>35.299999999999997</v>
      </c>
      <c r="X47" s="69">
        <f t="shared" si="7"/>
        <v>27.1</v>
      </c>
      <c r="Y47" s="69">
        <f t="shared" si="7"/>
        <v>66.7</v>
      </c>
      <c r="Z47" s="69">
        <f t="shared" si="7"/>
        <v>99.100000000000009</v>
      </c>
      <c r="AA47" s="69">
        <f t="shared" si="7"/>
        <v>63.4</v>
      </c>
      <c r="AB47" s="69">
        <f t="shared" si="7"/>
        <v>43</v>
      </c>
      <c r="AC47" s="69">
        <f t="shared" si="7"/>
        <v>49.5</v>
      </c>
      <c r="AD47" s="69">
        <f t="shared" si="7"/>
        <v>26.9</v>
      </c>
      <c r="AE47" s="69">
        <f t="shared" si="7"/>
        <v>15.5</v>
      </c>
      <c r="AF47" s="69">
        <f t="shared" si="7"/>
        <v>31.5</v>
      </c>
      <c r="AG47" s="74">
        <f>SUM(AG44:AG46)</f>
        <v>106</v>
      </c>
      <c r="AH47" s="52">
        <f t="shared" si="2"/>
        <v>99.100000000000009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54.3</v>
      </c>
      <c r="C48" s="49">
        <v>56</v>
      </c>
      <c r="D48" s="49">
        <v>48</v>
      </c>
      <c r="E48" s="49">
        <v>45</v>
      </c>
      <c r="F48" s="49">
        <v>47</v>
      </c>
      <c r="G48" s="49">
        <v>45</v>
      </c>
      <c r="H48" s="49">
        <v>42</v>
      </c>
      <c r="I48" s="49">
        <v>37</v>
      </c>
      <c r="J48" s="49">
        <v>38</v>
      </c>
      <c r="K48" s="49">
        <v>65</v>
      </c>
      <c r="L48" s="49">
        <v>64.22</v>
      </c>
      <c r="M48" s="49">
        <v>56.37</v>
      </c>
      <c r="N48" s="49">
        <v>70.5</v>
      </c>
      <c r="O48" s="49">
        <v>69.599999999999994</v>
      </c>
      <c r="P48" s="49">
        <v>68.099999999999994</v>
      </c>
      <c r="Q48" s="49">
        <v>58.3</v>
      </c>
      <c r="R48" s="49">
        <v>38.9</v>
      </c>
      <c r="S48" s="49">
        <v>44.1</v>
      </c>
      <c r="T48" s="49">
        <v>43</v>
      </c>
      <c r="U48" s="49">
        <v>39.619999999999997</v>
      </c>
      <c r="V48" s="49">
        <v>39.53</v>
      </c>
      <c r="W48" s="49">
        <v>39.29</v>
      </c>
      <c r="X48" s="49">
        <v>38.159999999999997</v>
      </c>
      <c r="Y48" s="49">
        <v>20.53</v>
      </c>
      <c r="Z48" s="49">
        <v>17</v>
      </c>
      <c r="AA48" s="49">
        <v>52</v>
      </c>
      <c r="AB48" s="49">
        <v>50.4</v>
      </c>
      <c r="AC48" s="49">
        <v>55.4</v>
      </c>
      <c r="AD48" s="49">
        <v>26.7</v>
      </c>
      <c r="AE48" s="49">
        <v>21.5</v>
      </c>
      <c r="AF48" s="49">
        <v>22</v>
      </c>
      <c r="AG48" s="57"/>
      <c r="AH48" s="52">
        <f t="shared" si="2"/>
        <v>70.5</v>
      </c>
      <c r="AI48" s="53">
        <f t="shared" si="3"/>
        <v>17</v>
      </c>
      <c r="AK48" s="54"/>
    </row>
    <row r="49" spans="1:37" x14ac:dyDescent="0.25">
      <c r="A49" s="58" t="s">
        <v>56</v>
      </c>
      <c r="B49" s="70">
        <v>34</v>
      </c>
      <c r="C49" s="70">
        <v>39.299999999999997</v>
      </c>
      <c r="D49" s="70">
        <v>38.6</v>
      </c>
      <c r="E49" s="70">
        <v>27.7</v>
      </c>
      <c r="F49" s="70">
        <v>25</v>
      </c>
      <c r="G49" s="70">
        <v>0</v>
      </c>
      <c r="H49" s="70">
        <v>0</v>
      </c>
      <c r="I49" s="70">
        <v>0</v>
      </c>
      <c r="J49" s="70">
        <v>39.799999999999997</v>
      </c>
      <c r="K49" s="70">
        <v>46.6</v>
      </c>
      <c r="L49" s="49">
        <v>56.7</v>
      </c>
      <c r="M49" s="49">
        <v>95</v>
      </c>
      <c r="N49" s="49">
        <v>100</v>
      </c>
      <c r="O49" s="49">
        <f>74.2+34</f>
        <v>108.2</v>
      </c>
      <c r="P49" s="49">
        <f>75.8+36</f>
        <v>111.8</v>
      </c>
      <c r="Q49" s="49">
        <f>78.4+38</f>
        <v>116.4</v>
      </c>
      <c r="R49" s="49">
        <f>36+77.8</f>
        <v>113.8</v>
      </c>
      <c r="S49" s="49">
        <f>79.7+31</f>
        <v>110.7</v>
      </c>
      <c r="T49" s="49">
        <f>60.4+31</f>
        <v>91.4</v>
      </c>
      <c r="U49" s="79">
        <f>75.8+31</f>
        <v>106.8</v>
      </c>
      <c r="V49" s="79">
        <f>62.7+31</f>
        <v>93.7</v>
      </c>
      <c r="W49" s="79">
        <f>30+52.9</f>
        <v>82.9</v>
      </c>
      <c r="X49" s="79">
        <v>48</v>
      </c>
      <c r="Y49" s="79">
        <v>51.6</v>
      </c>
      <c r="Z49" s="79">
        <v>104.5</v>
      </c>
      <c r="AA49" s="70">
        <f>69+33</f>
        <v>102</v>
      </c>
      <c r="AB49" s="70">
        <f>71+35</f>
        <v>106</v>
      </c>
      <c r="AC49" s="70">
        <v>50</v>
      </c>
      <c r="AD49" s="70">
        <v>25</v>
      </c>
      <c r="AE49" s="70">
        <v>0</v>
      </c>
      <c r="AF49" s="70">
        <v>0</v>
      </c>
      <c r="AG49" s="59"/>
      <c r="AH49" s="52">
        <f t="shared" si="2"/>
        <v>116.4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10</v>
      </c>
      <c r="C50" s="70">
        <v>25</v>
      </c>
      <c r="D50" s="70">
        <v>12</v>
      </c>
      <c r="E50" s="70">
        <v>20</v>
      </c>
      <c r="F50" s="70">
        <v>16</v>
      </c>
      <c r="G50" s="49">
        <v>23</v>
      </c>
      <c r="H50" s="49">
        <v>23.2</v>
      </c>
      <c r="I50" s="49">
        <v>19</v>
      </c>
      <c r="J50" s="49">
        <v>24</v>
      </c>
      <c r="K50" s="49">
        <v>14</v>
      </c>
      <c r="L50" s="70">
        <v>13</v>
      </c>
      <c r="M50" s="70">
        <v>25</v>
      </c>
      <c r="N50" s="70">
        <v>28</v>
      </c>
      <c r="O50" s="70">
        <v>15</v>
      </c>
      <c r="P50" s="70">
        <v>20</v>
      </c>
      <c r="Q50" s="70">
        <v>12</v>
      </c>
      <c r="R50" s="70">
        <v>21</v>
      </c>
      <c r="S50" s="70">
        <v>4</v>
      </c>
      <c r="T50" s="70">
        <v>27</v>
      </c>
      <c r="U50" s="80">
        <v>10</v>
      </c>
      <c r="V50" s="80">
        <v>8.3699999999999992</v>
      </c>
      <c r="W50" s="80">
        <v>50</v>
      </c>
      <c r="X50" s="80">
        <v>90</v>
      </c>
      <c r="Y50" s="80">
        <v>118</v>
      </c>
      <c r="Z50" s="80">
        <v>87</v>
      </c>
      <c r="AA50" s="70">
        <v>114</v>
      </c>
      <c r="AB50" s="70">
        <v>87</v>
      </c>
      <c r="AC50" s="70">
        <v>120</v>
      </c>
      <c r="AD50" s="70">
        <v>80</v>
      </c>
      <c r="AE50" s="70">
        <v>80</v>
      </c>
      <c r="AF50" s="70">
        <v>17</v>
      </c>
      <c r="AG50" s="81"/>
      <c r="AH50" s="52">
        <f t="shared" si="2"/>
        <v>120</v>
      </c>
      <c r="AI50" s="53">
        <f t="shared" si="3"/>
        <v>4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13</v>
      </c>
      <c r="AA51" s="70">
        <v>13</v>
      </c>
      <c r="AB51" s="70">
        <v>12</v>
      </c>
      <c r="AC51" s="70">
        <v>10</v>
      </c>
      <c r="AD51" s="70">
        <v>8</v>
      </c>
      <c r="AE51" s="70">
        <v>8</v>
      </c>
      <c r="AF51" s="70">
        <v>8</v>
      </c>
      <c r="AG51" s="81"/>
      <c r="AH51" s="52">
        <f t="shared" si="2"/>
        <v>13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70">
        <v>0</v>
      </c>
      <c r="N52" s="70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8</v>
      </c>
      <c r="AA53" s="83">
        <v>8</v>
      </c>
      <c r="AB53" s="83">
        <v>7.6</v>
      </c>
      <c r="AC53" s="83">
        <v>7.6</v>
      </c>
      <c r="AD53" s="83">
        <v>7.6</v>
      </c>
      <c r="AE53" s="83">
        <v>7.6</v>
      </c>
      <c r="AF53" s="83">
        <v>7.6</v>
      </c>
      <c r="AG53" s="81"/>
      <c r="AH53" s="52">
        <f t="shared" si="2"/>
        <v>8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70">
        <v>0</v>
      </c>
      <c r="N55" s="70">
        <v>0</v>
      </c>
      <c r="O55" s="70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82">
        <v>0</v>
      </c>
      <c r="J56" s="82">
        <v>0</v>
      </c>
      <c r="K56" s="82">
        <v>0</v>
      </c>
      <c r="L56" s="82">
        <v>0</v>
      </c>
      <c r="M56" s="70">
        <v>0</v>
      </c>
      <c r="N56" s="70">
        <v>0</v>
      </c>
      <c r="O56" s="70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82">
        <v>0</v>
      </c>
      <c r="M57" s="70">
        <v>0</v>
      </c>
      <c r="N57" s="70">
        <v>0</v>
      </c>
      <c r="O57" s="70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49">
        <v>0</v>
      </c>
      <c r="J58" s="49">
        <v>0</v>
      </c>
      <c r="K58" s="49">
        <v>0</v>
      </c>
      <c r="L58" s="82">
        <v>0</v>
      </c>
      <c r="M58" s="70">
        <v>0</v>
      </c>
      <c r="N58" s="70">
        <v>0</v>
      </c>
      <c r="O58" s="70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98.3</v>
      </c>
      <c r="C59" s="69">
        <f t="shared" ref="C59:AF59" si="8">SUM(C48:C58)</f>
        <v>120.3</v>
      </c>
      <c r="D59" s="69">
        <f t="shared" si="8"/>
        <v>98.6</v>
      </c>
      <c r="E59" s="69">
        <f t="shared" si="8"/>
        <v>92.7</v>
      </c>
      <c r="F59" s="69">
        <f t="shared" si="8"/>
        <v>88</v>
      </c>
      <c r="G59" s="69">
        <f t="shared" si="8"/>
        <v>68</v>
      </c>
      <c r="H59" s="69">
        <f t="shared" si="8"/>
        <v>65.2</v>
      </c>
      <c r="I59" s="69">
        <f t="shared" si="8"/>
        <v>56</v>
      </c>
      <c r="J59" s="69">
        <f t="shared" si="8"/>
        <v>101.8</v>
      </c>
      <c r="K59" s="69">
        <f t="shared" si="8"/>
        <v>125.6</v>
      </c>
      <c r="L59" s="69">
        <f t="shared" si="8"/>
        <v>133.92000000000002</v>
      </c>
      <c r="M59" s="69">
        <f t="shared" si="8"/>
        <v>176.37</v>
      </c>
      <c r="N59" s="69">
        <f t="shared" si="8"/>
        <v>198.5</v>
      </c>
      <c r="O59" s="69">
        <f t="shared" si="8"/>
        <v>192.8</v>
      </c>
      <c r="P59" s="69">
        <f t="shared" si="8"/>
        <v>199.89999999999998</v>
      </c>
      <c r="Q59" s="69">
        <f t="shared" si="8"/>
        <v>186.7</v>
      </c>
      <c r="R59" s="69">
        <f t="shared" si="8"/>
        <v>173.7</v>
      </c>
      <c r="S59" s="69">
        <f t="shared" si="8"/>
        <v>158.80000000000001</v>
      </c>
      <c r="T59" s="69">
        <f t="shared" si="8"/>
        <v>161.4</v>
      </c>
      <c r="U59" s="69">
        <f t="shared" si="8"/>
        <v>156.41999999999999</v>
      </c>
      <c r="V59" s="69">
        <f t="shared" si="8"/>
        <v>141.60000000000002</v>
      </c>
      <c r="W59" s="69">
        <f t="shared" si="8"/>
        <v>172.19</v>
      </c>
      <c r="X59" s="69">
        <f t="shared" si="8"/>
        <v>176.16</v>
      </c>
      <c r="Y59" s="69">
        <f t="shared" si="8"/>
        <v>190.13</v>
      </c>
      <c r="Z59" s="69">
        <f t="shared" si="8"/>
        <v>229.5</v>
      </c>
      <c r="AA59" s="69">
        <f t="shared" si="8"/>
        <v>289</v>
      </c>
      <c r="AB59" s="69">
        <f t="shared" si="8"/>
        <v>263</v>
      </c>
      <c r="AC59" s="69">
        <f t="shared" si="8"/>
        <v>243</v>
      </c>
      <c r="AD59" s="69">
        <f t="shared" si="8"/>
        <v>147.29999999999998</v>
      </c>
      <c r="AE59" s="69">
        <f t="shared" si="8"/>
        <v>117.1</v>
      </c>
      <c r="AF59" s="69">
        <f t="shared" si="8"/>
        <v>54.6</v>
      </c>
      <c r="AG59" s="74">
        <f>SUM(AG48:AG58)</f>
        <v>0</v>
      </c>
      <c r="AH59" s="52">
        <f t="shared" si="2"/>
        <v>289</v>
      </c>
      <c r="AI59" s="53">
        <f t="shared" si="3"/>
        <v>54.6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940.44</v>
      </c>
      <c r="C65" s="91">
        <f t="shared" ref="C65:AF65" si="10">C63+C59+C47+C43+C30+C64</f>
        <v>946.7399999999999</v>
      </c>
      <c r="D65" s="91">
        <f t="shared" si="10"/>
        <v>923.54</v>
      </c>
      <c r="E65" s="91">
        <f t="shared" si="10"/>
        <v>917.33999999999992</v>
      </c>
      <c r="F65" s="91">
        <f t="shared" si="10"/>
        <v>895.74</v>
      </c>
      <c r="G65" s="91">
        <f t="shared" si="10"/>
        <v>874.74</v>
      </c>
      <c r="H65" s="91">
        <f t="shared" si="10"/>
        <v>872.33999999999992</v>
      </c>
      <c r="I65" s="91">
        <f t="shared" si="10"/>
        <v>915.24</v>
      </c>
      <c r="J65" s="91">
        <f t="shared" si="10"/>
        <v>960.93999999999994</v>
      </c>
      <c r="K65" s="91">
        <f t="shared" si="10"/>
        <v>984.33999999999992</v>
      </c>
      <c r="L65" s="91">
        <f t="shared" si="10"/>
        <v>978.36000000000013</v>
      </c>
      <c r="M65" s="91">
        <f t="shared" si="10"/>
        <v>1041.31</v>
      </c>
      <c r="N65" s="91">
        <f t="shared" si="10"/>
        <v>1063.1399999999999</v>
      </c>
      <c r="O65" s="91">
        <f t="shared" si="10"/>
        <v>1056.1400000000001</v>
      </c>
      <c r="P65" s="91">
        <f t="shared" si="10"/>
        <v>1081.9399999999998</v>
      </c>
      <c r="Q65" s="91">
        <f t="shared" si="10"/>
        <v>1070.04</v>
      </c>
      <c r="R65" s="91">
        <f t="shared" si="10"/>
        <v>1079.8399999999999</v>
      </c>
      <c r="S65" s="91">
        <f t="shared" si="10"/>
        <v>1047.54</v>
      </c>
      <c r="T65" s="91">
        <f t="shared" si="10"/>
        <v>1034.04</v>
      </c>
      <c r="U65" s="91">
        <f t="shared" si="10"/>
        <v>1014.06</v>
      </c>
      <c r="V65" s="91">
        <f t="shared" si="10"/>
        <v>1014.9</v>
      </c>
      <c r="W65" s="91">
        <f t="shared" si="10"/>
        <v>1012.23</v>
      </c>
      <c r="X65" s="91">
        <f t="shared" si="10"/>
        <v>1010.8999999999999</v>
      </c>
      <c r="Y65" s="91">
        <f t="shared" si="10"/>
        <v>1082.77</v>
      </c>
      <c r="Z65" s="91">
        <f t="shared" si="10"/>
        <v>1165.54</v>
      </c>
      <c r="AA65" s="91">
        <f t="shared" si="10"/>
        <v>1184.1399999999999</v>
      </c>
      <c r="AB65" s="91">
        <f t="shared" si="10"/>
        <v>1138.54</v>
      </c>
      <c r="AC65" s="91">
        <f t="shared" si="10"/>
        <v>1123.8399999999999</v>
      </c>
      <c r="AD65" s="91">
        <f t="shared" si="10"/>
        <v>1005.54</v>
      </c>
      <c r="AE65" s="91">
        <f t="shared" si="10"/>
        <v>941.94</v>
      </c>
      <c r="AF65" s="91">
        <f t="shared" si="10"/>
        <v>917.44</v>
      </c>
      <c r="AG65" s="74">
        <f>AG63+AG59+AG47+AG43+AG30+AG64</f>
        <v>1355.5100000000002</v>
      </c>
      <c r="AH65" s="52">
        <f t="shared" si="2"/>
        <v>1184.1399999999999</v>
      </c>
      <c r="AI65" s="53">
        <f t="shared" si="3"/>
        <v>872.33999999999992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50.01</v>
      </c>
      <c r="C72" s="94">
        <v>49.997999999999998</v>
      </c>
      <c r="D72" s="94">
        <v>50.07</v>
      </c>
      <c r="E72" s="94">
        <v>50.027999999999999</v>
      </c>
      <c r="F72" s="94">
        <v>50.072000000000003</v>
      </c>
      <c r="G72" s="94">
        <v>50.055999999999997</v>
      </c>
      <c r="H72" s="94">
        <v>50.051000000000002</v>
      </c>
      <c r="I72" s="94">
        <v>50.052</v>
      </c>
      <c r="J72" s="94">
        <v>50.052</v>
      </c>
      <c r="K72" s="94">
        <v>50.052999999999997</v>
      </c>
      <c r="L72" s="94">
        <v>50.107999999999997</v>
      </c>
      <c r="M72" s="94">
        <v>50.031999999999996</v>
      </c>
      <c r="N72" s="94">
        <v>49.991</v>
      </c>
      <c r="O72" s="94">
        <v>49.938000000000002</v>
      </c>
      <c r="P72" s="94">
        <v>50.018000000000001</v>
      </c>
      <c r="Q72" s="95">
        <v>50.018999999999998</v>
      </c>
      <c r="R72" s="94">
        <v>50.04</v>
      </c>
      <c r="S72" s="94">
        <v>49.93</v>
      </c>
      <c r="T72" s="94">
        <v>49.96</v>
      </c>
      <c r="U72" s="94">
        <v>49.99</v>
      </c>
      <c r="V72" s="94">
        <v>49.94</v>
      </c>
      <c r="W72" s="94">
        <v>50</v>
      </c>
      <c r="X72" s="94">
        <v>50.02</v>
      </c>
      <c r="Y72" s="94">
        <v>50.01</v>
      </c>
      <c r="Z72" s="94">
        <v>50</v>
      </c>
      <c r="AA72" s="94">
        <v>50.051000000000002</v>
      </c>
      <c r="AB72" s="94">
        <v>50.036999999999999</v>
      </c>
      <c r="AC72" s="94">
        <v>50.045999999999999</v>
      </c>
      <c r="AD72" s="94">
        <v>50.094000000000001</v>
      </c>
      <c r="AE72" s="94">
        <v>49.923999999999999</v>
      </c>
      <c r="AF72" s="96">
        <v>50.061999999999998</v>
      </c>
      <c r="AG72" s="97"/>
      <c r="AH72" s="52">
        <f t="shared" si="2"/>
        <v>50.107999999999997</v>
      </c>
      <c r="AI72" s="53">
        <f t="shared" si="3"/>
        <v>49.923999999999999</v>
      </c>
    </row>
    <row r="73" spans="1:35" x14ac:dyDescent="0.25">
      <c r="A73" s="98" t="s">
        <v>80</v>
      </c>
      <c r="B73" s="100">
        <v>125.9</v>
      </c>
      <c r="C73" s="70">
        <v>126.2</v>
      </c>
      <c r="D73" s="70">
        <v>126.6</v>
      </c>
      <c r="E73" s="70">
        <v>126.8</v>
      </c>
      <c r="F73" s="70">
        <v>126.6</v>
      </c>
      <c r="G73" s="70">
        <v>126.6</v>
      </c>
      <c r="H73" s="70">
        <v>127.2</v>
      </c>
      <c r="I73" s="70">
        <v>126.8</v>
      </c>
      <c r="J73" s="70">
        <v>127.8</v>
      </c>
      <c r="K73" s="70">
        <v>125.6</v>
      </c>
      <c r="L73" s="70">
        <v>125.4</v>
      </c>
      <c r="M73" s="70">
        <v>124.7</v>
      </c>
      <c r="N73" s="70">
        <v>124.3</v>
      </c>
      <c r="O73" s="70">
        <v>125.8</v>
      </c>
      <c r="P73" s="70">
        <v>126.3</v>
      </c>
      <c r="Q73" s="99">
        <v>125.6</v>
      </c>
      <c r="R73" s="99">
        <v>126.2</v>
      </c>
      <c r="S73" s="99">
        <v>126.1</v>
      </c>
      <c r="T73" s="99">
        <v>126.9</v>
      </c>
      <c r="U73" s="99">
        <v>128</v>
      </c>
      <c r="V73" s="99">
        <v>127.6</v>
      </c>
      <c r="W73" s="99">
        <v>127.9</v>
      </c>
      <c r="X73" s="99">
        <v>127.4</v>
      </c>
      <c r="Y73" s="99">
        <v>127.3</v>
      </c>
      <c r="Z73" s="99">
        <v>127.3</v>
      </c>
      <c r="AA73" s="70">
        <v>126.4</v>
      </c>
      <c r="AB73" s="70">
        <v>126.4</v>
      </c>
      <c r="AC73" s="70">
        <v>126.4</v>
      </c>
      <c r="AD73" s="70">
        <v>126.8</v>
      </c>
      <c r="AE73" s="70">
        <v>129.1</v>
      </c>
      <c r="AF73" s="100">
        <v>128.30000000000001</v>
      </c>
      <c r="AG73" s="101"/>
      <c r="AH73" s="52">
        <f t="shared" si="2"/>
        <v>129.1</v>
      </c>
      <c r="AI73" s="53">
        <f t="shared" si="3"/>
        <v>124.3</v>
      </c>
    </row>
    <row r="74" spans="1:35" x14ac:dyDescent="0.25">
      <c r="A74" s="98" t="s">
        <v>81</v>
      </c>
      <c r="B74" s="100">
        <v>129.4</v>
      </c>
      <c r="C74" s="70">
        <v>129.5</v>
      </c>
      <c r="D74" s="70">
        <v>129.9</v>
      </c>
      <c r="E74" s="70">
        <v>129.69999999999999</v>
      </c>
      <c r="F74" s="70">
        <v>129.69999999999999</v>
      </c>
      <c r="G74" s="70">
        <v>129.4</v>
      </c>
      <c r="H74" s="70">
        <v>129.9</v>
      </c>
      <c r="I74" s="70">
        <v>129.5</v>
      </c>
      <c r="J74" s="70">
        <v>130.30000000000001</v>
      </c>
      <c r="K74" s="70">
        <v>128.4</v>
      </c>
      <c r="L74" s="70">
        <v>128.30000000000001</v>
      </c>
      <c r="M74" s="70">
        <v>127.7</v>
      </c>
      <c r="N74" s="70">
        <v>127.5</v>
      </c>
      <c r="O74" s="70">
        <v>129</v>
      </c>
      <c r="P74" s="70">
        <v>129.19999999999999</v>
      </c>
      <c r="Q74" s="99">
        <v>128.80000000000001</v>
      </c>
      <c r="R74" s="99">
        <v>129</v>
      </c>
      <c r="S74" s="99">
        <v>128.80000000000001</v>
      </c>
      <c r="T74" s="99">
        <v>129.5</v>
      </c>
      <c r="U74" s="99">
        <v>130.69999999999999</v>
      </c>
      <c r="V74" s="99">
        <v>129.9</v>
      </c>
      <c r="W74" s="99">
        <v>130.19999999999999</v>
      </c>
      <c r="X74" s="99">
        <v>129.9</v>
      </c>
      <c r="Y74" s="99">
        <v>129.9</v>
      </c>
      <c r="Z74" s="99">
        <v>129.9</v>
      </c>
      <c r="AA74" s="70">
        <v>129</v>
      </c>
      <c r="AB74" s="70">
        <v>129</v>
      </c>
      <c r="AC74" s="70">
        <v>129</v>
      </c>
      <c r="AD74" s="70">
        <v>129.80000000000001</v>
      </c>
      <c r="AE74" s="70">
        <v>132.4</v>
      </c>
      <c r="AF74" s="100">
        <v>131.5</v>
      </c>
      <c r="AG74" s="101"/>
      <c r="AH74" s="52">
        <f t="shared" si="2"/>
        <v>132.4</v>
      </c>
      <c r="AI74" s="53">
        <f t="shared" si="3"/>
        <v>127.5</v>
      </c>
    </row>
    <row r="75" spans="1:35" x14ac:dyDescent="0.25">
      <c r="A75" s="98" t="s">
        <v>82</v>
      </c>
      <c r="B75" s="100">
        <v>130.80000000000001</v>
      </c>
      <c r="C75" s="70">
        <v>130</v>
      </c>
      <c r="D75" s="70">
        <v>131.1</v>
      </c>
      <c r="E75" s="70">
        <v>130.4</v>
      </c>
      <c r="F75" s="70">
        <v>128.5</v>
      </c>
      <c r="G75" s="70">
        <v>128.30000000000001</v>
      </c>
      <c r="H75" s="70">
        <v>128.4</v>
      </c>
      <c r="I75" s="70">
        <v>129.9</v>
      </c>
      <c r="J75" s="70">
        <v>131.6</v>
      </c>
      <c r="K75" s="70">
        <v>129.4</v>
      </c>
      <c r="L75" s="70">
        <v>130.9</v>
      </c>
      <c r="M75" s="70">
        <v>129.19999999999999</v>
      </c>
      <c r="N75" s="70">
        <v>127.6</v>
      </c>
      <c r="O75" s="70">
        <v>129.30000000000001</v>
      </c>
      <c r="P75" s="70">
        <v>131</v>
      </c>
      <c r="Q75" s="70">
        <v>128</v>
      </c>
      <c r="R75" s="70">
        <v>128.1</v>
      </c>
      <c r="S75" s="70">
        <v>128.30000000000001</v>
      </c>
      <c r="T75" s="99">
        <v>130.80000000000001</v>
      </c>
      <c r="U75" s="99">
        <v>130.19999999999999</v>
      </c>
      <c r="V75" s="99">
        <v>130.5</v>
      </c>
      <c r="W75" s="99">
        <v>130</v>
      </c>
      <c r="X75" s="99">
        <v>129.9</v>
      </c>
      <c r="Y75" s="99">
        <v>129.19999999999999</v>
      </c>
      <c r="Z75" s="99">
        <v>129.19999999999999</v>
      </c>
      <c r="AA75" s="70">
        <v>129</v>
      </c>
      <c r="AB75" s="70">
        <v>129</v>
      </c>
      <c r="AC75" s="70">
        <v>129</v>
      </c>
      <c r="AD75" s="70">
        <v>129.4</v>
      </c>
      <c r="AE75" s="70">
        <v>128.69999999999999</v>
      </c>
      <c r="AF75" s="100">
        <v>128.6</v>
      </c>
      <c r="AG75" s="101"/>
      <c r="AH75" s="52">
        <f t="shared" si="2"/>
        <v>131.6</v>
      </c>
      <c r="AI75" s="53">
        <f t="shared" si="3"/>
        <v>127.6</v>
      </c>
    </row>
    <row r="76" spans="1:35" x14ac:dyDescent="0.25">
      <c r="A76" s="102" t="s">
        <v>83</v>
      </c>
      <c r="B76" s="100">
        <v>131.5</v>
      </c>
      <c r="C76" s="70">
        <v>131</v>
      </c>
      <c r="D76" s="70">
        <v>132.9</v>
      </c>
      <c r="E76" s="70">
        <v>132.4</v>
      </c>
      <c r="F76" s="70">
        <v>132</v>
      </c>
      <c r="G76" s="70">
        <v>131.1</v>
      </c>
      <c r="H76" s="70">
        <v>130.9</v>
      </c>
      <c r="I76" s="70">
        <v>129.69999999999999</v>
      </c>
      <c r="J76" s="70">
        <v>133</v>
      </c>
      <c r="K76" s="70">
        <v>130.4</v>
      </c>
      <c r="L76" s="70">
        <v>131.30000000000001</v>
      </c>
      <c r="M76" s="70">
        <v>129.30000000000001</v>
      </c>
      <c r="N76" s="70">
        <v>128.30000000000001</v>
      </c>
      <c r="O76" s="70">
        <v>130.30000000000001</v>
      </c>
      <c r="P76" s="70">
        <v>131.9</v>
      </c>
      <c r="Q76" s="70">
        <v>130.69999999999999</v>
      </c>
      <c r="R76" s="70">
        <v>129.6</v>
      </c>
      <c r="S76" s="70">
        <v>129.80000000000001</v>
      </c>
      <c r="T76" s="99">
        <v>131.1</v>
      </c>
      <c r="U76" s="99">
        <v>131.6</v>
      </c>
      <c r="V76" s="99">
        <v>132.30000000000001</v>
      </c>
      <c r="W76" s="99">
        <v>132</v>
      </c>
      <c r="X76" s="99">
        <v>131.69999999999999</v>
      </c>
      <c r="Y76" s="99">
        <v>130.9</v>
      </c>
      <c r="Z76" s="99">
        <v>130.9</v>
      </c>
      <c r="AA76" s="70">
        <v>131.9</v>
      </c>
      <c r="AB76" s="70">
        <v>131.9</v>
      </c>
      <c r="AC76" s="70">
        <v>131.9</v>
      </c>
      <c r="AD76" s="70">
        <v>133.19999999999999</v>
      </c>
      <c r="AE76" s="70">
        <v>131.69999999999999</v>
      </c>
      <c r="AF76" s="100">
        <v>131.69999999999999</v>
      </c>
      <c r="AG76" s="101"/>
      <c r="AH76" s="52">
        <f t="shared" si="2"/>
        <v>133.19999999999999</v>
      </c>
      <c r="AI76" s="53">
        <f t="shared" si="3"/>
        <v>128.30000000000001</v>
      </c>
    </row>
    <row r="77" spans="1:35" x14ac:dyDescent="0.25">
      <c r="A77" s="102" t="s">
        <v>84</v>
      </c>
      <c r="B77" s="104">
        <v>134.4</v>
      </c>
      <c r="C77" s="103">
        <v>133.69999999999999</v>
      </c>
      <c r="D77" s="103">
        <v>136.6</v>
      </c>
      <c r="E77" s="103">
        <v>134.69999999999999</v>
      </c>
      <c r="F77" s="103">
        <v>134.30000000000001</v>
      </c>
      <c r="G77" s="103">
        <v>135.6</v>
      </c>
      <c r="H77" s="103">
        <v>134</v>
      </c>
      <c r="I77" s="103">
        <v>133.80000000000001</v>
      </c>
      <c r="J77" s="103">
        <v>133.4</v>
      </c>
      <c r="K77" s="103">
        <v>134.30000000000001</v>
      </c>
      <c r="L77" s="103">
        <v>131.19999999999999</v>
      </c>
      <c r="M77" s="103">
        <v>132.6</v>
      </c>
      <c r="N77" s="103">
        <v>133.19999999999999</v>
      </c>
      <c r="O77" s="103">
        <v>135.5</v>
      </c>
      <c r="P77" s="103">
        <v>130.9</v>
      </c>
      <c r="Q77" s="103">
        <v>129.9</v>
      </c>
      <c r="R77" s="103">
        <v>134.1</v>
      </c>
      <c r="S77" s="103">
        <v>132.6</v>
      </c>
      <c r="T77" s="99">
        <v>135.30000000000001</v>
      </c>
      <c r="U77" s="99">
        <v>135.6</v>
      </c>
      <c r="V77" s="99">
        <v>134.69999999999999</v>
      </c>
      <c r="W77" s="99">
        <v>133.1</v>
      </c>
      <c r="X77" s="99">
        <v>133.6</v>
      </c>
      <c r="Y77" s="99">
        <v>131.6</v>
      </c>
      <c r="Z77" s="99">
        <v>131.6</v>
      </c>
      <c r="AA77" s="103">
        <v>136.5</v>
      </c>
      <c r="AB77" s="103">
        <v>136.5</v>
      </c>
      <c r="AC77" s="103">
        <v>136.5</v>
      </c>
      <c r="AD77" s="103">
        <v>131.80000000000001</v>
      </c>
      <c r="AE77" s="103">
        <v>135</v>
      </c>
      <c r="AF77" s="104">
        <v>134.1</v>
      </c>
      <c r="AG77" s="105"/>
      <c r="AH77" s="52">
        <f t="shared" si="2"/>
        <v>136.6</v>
      </c>
      <c r="AI77" s="53">
        <f t="shared" si="3"/>
        <v>129.9</v>
      </c>
    </row>
    <row r="78" spans="1:35" x14ac:dyDescent="0.25">
      <c r="A78" s="98" t="s">
        <v>85</v>
      </c>
      <c r="B78" s="100">
        <v>134.6</v>
      </c>
      <c r="C78" s="70">
        <v>136.19999999999999</v>
      </c>
      <c r="D78" s="70">
        <v>132.6</v>
      </c>
      <c r="E78" s="70">
        <v>133.30000000000001</v>
      </c>
      <c r="F78" s="70">
        <v>133</v>
      </c>
      <c r="G78" s="70">
        <v>133.19999999999999</v>
      </c>
      <c r="H78" s="70">
        <v>133.9</v>
      </c>
      <c r="I78" s="70">
        <v>133.9</v>
      </c>
      <c r="J78" s="70">
        <v>133.30000000000001</v>
      </c>
      <c r="K78" s="70">
        <v>121.2</v>
      </c>
      <c r="L78" s="70">
        <v>127.4</v>
      </c>
      <c r="M78" s="70">
        <v>131</v>
      </c>
      <c r="N78" s="70">
        <v>122.8</v>
      </c>
      <c r="O78" s="70">
        <v>127.6</v>
      </c>
      <c r="P78" s="70">
        <v>124.8</v>
      </c>
      <c r="Q78" s="70">
        <v>127.5</v>
      </c>
      <c r="R78" s="70">
        <v>129.80000000000001</v>
      </c>
      <c r="S78" s="70">
        <v>127.7</v>
      </c>
      <c r="T78" s="99">
        <v>130.9</v>
      </c>
      <c r="U78" s="99">
        <v>131.6</v>
      </c>
      <c r="V78" s="99">
        <v>131.69999999999999</v>
      </c>
      <c r="W78" s="99">
        <v>131.6</v>
      </c>
      <c r="X78" s="99">
        <v>131.19999999999999</v>
      </c>
      <c r="Y78" s="99">
        <v>128.30000000000001</v>
      </c>
      <c r="Z78" s="99">
        <v>128.30000000000001</v>
      </c>
      <c r="AA78" s="70">
        <v>135.9</v>
      </c>
      <c r="AB78" s="70">
        <v>135.9</v>
      </c>
      <c r="AC78" s="70">
        <v>135.9</v>
      </c>
      <c r="AD78" s="70">
        <v>128.80000000000001</v>
      </c>
      <c r="AE78" s="70">
        <v>133.4</v>
      </c>
      <c r="AF78" s="100">
        <v>128.19999999999999</v>
      </c>
      <c r="AG78" s="101"/>
      <c r="AH78" s="52">
        <f>MAX(B78:AF78)</f>
        <v>136.19999999999999</v>
      </c>
      <c r="AI78" s="53">
        <f>MIN(B78:AF78)</f>
        <v>121.2</v>
      </c>
    </row>
    <row r="79" spans="1:35" ht="15.75" thickBot="1" x14ac:dyDescent="0.3">
      <c r="A79" s="98" t="s">
        <v>86</v>
      </c>
      <c r="B79" s="107">
        <v>66.3</v>
      </c>
      <c r="C79" s="106">
        <v>66.400000000000006</v>
      </c>
      <c r="D79" s="106">
        <v>66.5</v>
      </c>
      <c r="E79" s="106">
        <v>66.7</v>
      </c>
      <c r="F79" s="106">
        <v>66.5</v>
      </c>
      <c r="G79" s="106">
        <v>66.2</v>
      </c>
      <c r="H79" s="106">
        <v>66.3</v>
      </c>
      <c r="I79" s="106">
        <v>66.099999999999994</v>
      </c>
      <c r="J79" s="106">
        <v>66.3</v>
      </c>
      <c r="K79" s="106">
        <v>65.400000000000006</v>
      </c>
      <c r="L79" s="106">
        <v>65.599999999999994</v>
      </c>
      <c r="M79" s="106">
        <v>65.2</v>
      </c>
      <c r="N79" s="106">
        <v>65.099999999999994</v>
      </c>
      <c r="O79" s="106">
        <v>65.900000000000006</v>
      </c>
      <c r="P79" s="106">
        <v>66</v>
      </c>
      <c r="Q79" s="106">
        <v>65.900000000000006</v>
      </c>
      <c r="R79" s="106">
        <v>65.900000000000006</v>
      </c>
      <c r="S79" s="106">
        <v>65.8</v>
      </c>
      <c r="T79" s="106">
        <v>66.2</v>
      </c>
      <c r="U79" s="106">
        <v>66.599999999999994</v>
      </c>
      <c r="V79" s="106">
        <v>66.099999999999994</v>
      </c>
      <c r="W79" s="106">
        <v>66.3</v>
      </c>
      <c r="X79" s="106">
        <v>66.3</v>
      </c>
      <c r="Y79" s="106">
        <v>66.2</v>
      </c>
      <c r="Z79" s="106">
        <v>66.2</v>
      </c>
      <c r="AA79" s="106">
        <v>65.8</v>
      </c>
      <c r="AB79" s="106">
        <v>65.8</v>
      </c>
      <c r="AC79" s="106">
        <v>65.8</v>
      </c>
      <c r="AD79" s="106">
        <v>66.2</v>
      </c>
      <c r="AE79" s="106">
        <v>67.7</v>
      </c>
      <c r="AF79" s="107">
        <v>67.3</v>
      </c>
      <c r="AG79" s="108"/>
      <c r="AH79" s="52">
        <f>MAX(B79:AF79)</f>
        <v>67.7</v>
      </c>
      <c r="AI79" s="53">
        <f>MIN(B79:AF79)</f>
        <v>65.099999999999994</v>
      </c>
    </row>
    <row r="80" spans="1:35" x14ac:dyDescent="0.25">
      <c r="A80" s="109" t="s">
        <v>87</v>
      </c>
      <c r="B80" s="110">
        <f>SUMIF(B48:B57,"&gt;0")</f>
        <v>98.3</v>
      </c>
      <c r="C80" s="110">
        <f t="shared" ref="C80:AF80" si="19">SUMIF(C48:C57,"&gt;0")</f>
        <v>120.3</v>
      </c>
      <c r="D80" s="110">
        <f t="shared" si="19"/>
        <v>98.6</v>
      </c>
      <c r="E80" s="110">
        <f t="shared" si="19"/>
        <v>92.7</v>
      </c>
      <c r="F80" s="110">
        <f t="shared" si="19"/>
        <v>88</v>
      </c>
      <c r="G80" s="110">
        <f t="shared" si="19"/>
        <v>68</v>
      </c>
      <c r="H80" s="110">
        <f t="shared" si="19"/>
        <v>65.2</v>
      </c>
      <c r="I80" s="110">
        <f t="shared" si="19"/>
        <v>56</v>
      </c>
      <c r="J80" s="110">
        <f t="shared" si="19"/>
        <v>101.8</v>
      </c>
      <c r="K80" s="110">
        <f t="shared" si="19"/>
        <v>125.6</v>
      </c>
      <c r="L80" s="110">
        <f t="shared" si="19"/>
        <v>133.92000000000002</v>
      </c>
      <c r="M80" s="110">
        <f t="shared" si="19"/>
        <v>176.37</v>
      </c>
      <c r="N80" s="110">
        <f t="shared" si="19"/>
        <v>198.5</v>
      </c>
      <c r="O80" s="110">
        <f t="shared" si="19"/>
        <v>192.8</v>
      </c>
      <c r="P80" s="110">
        <f t="shared" si="19"/>
        <v>199.89999999999998</v>
      </c>
      <c r="Q80" s="110">
        <f t="shared" si="19"/>
        <v>186.7</v>
      </c>
      <c r="R80" s="110">
        <f t="shared" si="19"/>
        <v>173.7</v>
      </c>
      <c r="S80" s="110">
        <f t="shared" si="19"/>
        <v>158.80000000000001</v>
      </c>
      <c r="T80" s="110">
        <f t="shared" si="19"/>
        <v>161.4</v>
      </c>
      <c r="U80" s="110">
        <f t="shared" si="19"/>
        <v>156.41999999999999</v>
      </c>
      <c r="V80" s="110">
        <f t="shared" si="19"/>
        <v>141.60000000000002</v>
      </c>
      <c r="W80" s="110">
        <f t="shared" si="19"/>
        <v>172.19</v>
      </c>
      <c r="X80" s="110">
        <f t="shared" si="19"/>
        <v>176.16</v>
      </c>
      <c r="Y80" s="110">
        <f t="shared" si="19"/>
        <v>190.13</v>
      </c>
      <c r="Z80" s="110">
        <f t="shared" si="19"/>
        <v>229.5</v>
      </c>
      <c r="AA80" s="110">
        <f t="shared" si="19"/>
        <v>289</v>
      </c>
      <c r="AB80" s="110">
        <f t="shared" si="19"/>
        <v>263</v>
      </c>
      <c r="AC80" s="110">
        <f t="shared" si="19"/>
        <v>243</v>
      </c>
      <c r="AD80" s="110">
        <f t="shared" si="19"/>
        <v>147.29999999999998</v>
      </c>
      <c r="AE80" s="110">
        <f t="shared" si="19"/>
        <v>117.1</v>
      </c>
      <c r="AF80" s="110">
        <f t="shared" si="19"/>
        <v>54.6</v>
      </c>
      <c r="AG80" s="111"/>
      <c r="AH80" s="52">
        <f>MAX(B80:AF80)</f>
        <v>289</v>
      </c>
      <c r="AI80" s="53">
        <f>MIN(B80:AF80)</f>
        <v>54.6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210.62</v>
      </c>
      <c r="C82" s="115">
        <f t="shared" ref="C82:AF82" si="20">C11+C13+C17+C34+C36+C38+C40+C94+C108+C110+C121+C127+C130+C139+C143+C144+C147+C154+C159+C162+C163+C164+C172+C177+C83+C84+C85+C86+C99</f>
        <v>203.51999999999995</v>
      </c>
      <c r="D82" s="115">
        <f t="shared" si="20"/>
        <v>202.02</v>
      </c>
      <c r="E82" s="115">
        <f t="shared" si="20"/>
        <v>203.42</v>
      </c>
      <c r="F82" s="115">
        <f t="shared" si="20"/>
        <v>212.82</v>
      </c>
      <c r="G82" s="115">
        <f t="shared" si="20"/>
        <v>223.82</v>
      </c>
      <c r="H82" s="115">
        <f t="shared" si="20"/>
        <v>235.72</v>
      </c>
      <c r="I82" s="115">
        <f t="shared" si="20"/>
        <v>223.32000000000002</v>
      </c>
      <c r="J82" s="115">
        <f t="shared" si="20"/>
        <v>226.72</v>
      </c>
      <c r="K82" s="115">
        <f t="shared" si="20"/>
        <v>231.32000000000002</v>
      </c>
      <c r="L82" s="115">
        <f t="shared" si="20"/>
        <v>257.31999999999994</v>
      </c>
      <c r="M82" s="115">
        <f t="shared" si="20"/>
        <v>261.51999999999992</v>
      </c>
      <c r="N82" s="115">
        <f t="shared" si="20"/>
        <v>261.71999999999991</v>
      </c>
      <c r="O82" s="115">
        <f t="shared" si="20"/>
        <v>264.71999999999997</v>
      </c>
      <c r="P82" s="115">
        <f t="shared" si="20"/>
        <v>258.21999999999997</v>
      </c>
      <c r="Q82" s="115">
        <f t="shared" si="20"/>
        <v>260.11999999999995</v>
      </c>
      <c r="R82" s="115">
        <f t="shared" si="20"/>
        <v>330.41999999999996</v>
      </c>
      <c r="S82" s="115">
        <f t="shared" si="20"/>
        <v>333.82</v>
      </c>
      <c r="T82" s="115">
        <f t="shared" si="20"/>
        <v>264.52</v>
      </c>
      <c r="U82" s="115">
        <f t="shared" si="20"/>
        <v>310.9199999999999</v>
      </c>
      <c r="V82" s="115">
        <f t="shared" si="20"/>
        <v>332.82</v>
      </c>
      <c r="W82" s="115">
        <f t="shared" si="20"/>
        <v>297.31999999999994</v>
      </c>
      <c r="X82" s="115">
        <f t="shared" si="20"/>
        <v>313.01999999999992</v>
      </c>
      <c r="Y82" s="115">
        <f t="shared" si="20"/>
        <v>309.61999999999995</v>
      </c>
      <c r="Z82" s="115">
        <f t="shared" si="20"/>
        <v>322.51999999999992</v>
      </c>
      <c r="AA82" s="115">
        <f t="shared" si="20"/>
        <v>307.62</v>
      </c>
      <c r="AB82" s="115">
        <f t="shared" si="20"/>
        <v>298.62</v>
      </c>
      <c r="AC82" s="115">
        <f t="shared" si="20"/>
        <v>288.62</v>
      </c>
      <c r="AD82" s="115">
        <f t="shared" si="20"/>
        <v>259.22000000000003</v>
      </c>
      <c r="AE82" s="115">
        <f t="shared" si="20"/>
        <v>226.12</v>
      </c>
      <c r="AF82" s="115">
        <f t="shared" si="20"/>
        <v>218.42000000000004</v>
      </c>
      <c r="AG82" s="116"/>
      <c r="AH82" s="52">
        <f>MAX(B82:AF82)</f>
        <v>333.82</v>
      </c>
      <c r="AI82" s="53">
        <f>MIN(B82:AF82)</f>
        <v>202.02</v>
      </c>
    </row>
    <row r="83" spans="1:37" x14ac:dyDescent="0.25">
      <c r="A83" s="117" t="s">
        <v>89</v>
      </c>
      <c r="B83" s="119">
        <v>59.8</v>
      </c>
      <c r="C83" s="118">
        <v>59.3</v>
      </c>
      <c r="D83" s="118">
        <v>63.2</v>
      </c>
      <c r="E83" s="118">
        <v>60</v>
      </c>
      <c r="F83" s="118">
        <v>65</v>
      </c>
      <c r="G83" s="118">
        <v>69</v>
      </c>
      <c r="H83" s="118">
        <v>57.7</v>
      </c>
      <c r="I83" s="118">
        <v>61.9</v>
      </c>
      <c r="J83" s="118">
        <v>48</v>
      </c>
      <c r="K83" s="118">
        <v>65</v>
      </c>
      <c r="L83" s="118">
        <v>61.3</v>
      </c>
      <c r="M83" s="118">
        <v>63.9</v>
      </c>
      <c r="N83" s="118">
        <v>60.3</v>
      </c>
      <c r="O83" s="118">
        <v>60.6</v>
      </c>
      <c r="P83" s="118">
        <v>55.8</v>
      </c>
      <c r="Q83" s="118">
        <v>58.7</v>
      </c>
      <c r="R83" s="118">
        <v>46.5</v>
      </c>
      <c r="S83" s="118">
        <v>57.1</v>
      </c>
      <c r="T83" s="118">
        <v>53.9</v>
      </c>
      <c r="U83" s="118">
        <v>48.1</v>
      </c>
      <c r="V83" s="118">
        <v>53.1</v>
      </c>
      <c r="W83" s="118">
        <v>42.7</v>
      </c>
      <c r="X83" s="118">
        <v>50.1</v>
      </c>
      <c r="Y83" s="118">
        <v>41.2</v>
      </c>
      <c r="Z83" s="118">
        <v>35.299999999999997</v>
      </c>
      <c r="AA83" s="50">
        <v>45</v>
      </c>
      <c r="AB83" s="50">
        <v>46</v>
      </c>
      <c r="AC83" s="50">
        <v>51</v>
      </c>
      <c r="AD83" s="50">
        <v>47</v>
      </c>
      <c r="AE83" s="50">
        <v>35</v>
      </c>
      <c r="AF83" s="119">
        <v>49</v>
      </c>
      <c r="AG83" s="120">
        <v>75</v>
      </c>
      <c r="AH83" s="52">
        <f>IF(ABS(MAX(B83:AF83))&gt;ABS(MIN(B83:AF83)),MAX(B83:AF83),MIN(B83:AF83))</f>
        <v>69</v>
      </c>
      <c r="AI83" s="121">
        <f>INDEX($B$9:$AF$9,1,MATCH(AH83,B83:AF83,0))</f>
        <v>0.22916666666666666</v>
      </c>
    </row>
    <row r="84" spans="1:37" x14ac:dyDescent="0.25">
      <c r="A84" s="122" t="s">
        <v>90</v>
      </c>
      <c r="B84" s="123">
        <f>-31.9-38.1</f>
        <v>-70</v>
      </c>
      <c r="C84" s="83">
        <v>-75.3</v>
      </c>
      <c r="D84" s="83">
        <v>-78.599999999999994</v>
      </c>
      <c r="E84" s="83">
        <v>-76.3</v>
      </c>
      <c r="F84" s="83">
        <v>-70</v>
      </c>
      <c r="G84" s="83">
        <v>-61.6</v>
      </c>
      <c r="H84" s="83">
        <v>-54.2</v>
      </c>
      <c r="I84" s="83">
        <v>-71.2</v>
      </c>
      <c r="J84" s="83">
        <v>-57.8</v>
      </c>
      <c r="K84" s="83">
        <v>-69.2</v>
      </c>
      <c r="L84" s="83">
        <v>-36</v>
      </c>
      <c r="M84" s="83">
        <v>-40</v>
      </c>
      <c r="N84" s="83">
        <v>-38</v>
      </c>
      <c r="O84" s="83">
        <v>-34</v>
      </c>
      <c r="P84" s="83">
        <v>-32</v>
      </c>
      <c r="Q84" s="83">
        <v>-35</v>
      </c>
      <c r="R84" s="83">
        <v>33.799999999999997</v>
      </c>
      <c r="S84" s="83">
        <v>36.700000000000003</v>
      </c>
      <c r="T84" s="83">
        <v>-31.4</v>
      </c>
      <c r="U84" s="83">
        <v>22.9</v>
      </c>
      <c r="V84" s="83">
        <v>25.9</v>
      </c>
      <c r="W84" s="83">
        <v>5.7</v>
      </c>
      <c r="X84" s="83">
        <v>11.4</v>
      </c>
      <c r="Y84" s="83">
        <f>3.8-1.9</f>
        <v>1.9</v>
      </c>
      <c r="Z84" s="83">
        <v>4.7</v>
      </c>
      <c r="AA84" s="70">
        <v>4</v>
      </c>
      <c r="AB84" s="70">
        <v>-8</v>
      </c>
      <c r="AC84" s="70">
        <v>-19</v>
      </c>
      <c r="AD84" s="70">
        <v>-30</v>
      </c>
      <c r="AE84" s="70">
        <v>-42</v>
      </c>
      <c r="AF84" s="123">
        <v>-61</v>
      </c>
      <c r="AG84" s="120">
        <v>240</v>
      </c>
      <c r="AH84" s="52">
        <f>IF(ABS(MAX(B84:AF84))&gt;ABS(MIN(B84:AF84)),MAX(B84:AF84),MIN(B84:AF84))</f>
        <v>-78.599999999999994</v>
      </c>
      <c r="AI84" s="121">
        <f>INDEX($B$9:$AF$9,1,MATCH(AH84,B84:AF84,0))</f>
        <v>0.125</v>
      </c>
    </row>
    <row r="85" spans="1:37" x14ac:dyDescent="0.25">
      <c r="A85" s="122" t="s">
        <v>91</v>
      </c>
      <c r="B85" s="123">
        <v>7.8</v>
      </c>
      <c r="C85" s="83">
        <v>6.6</v>
      </c>
      <c r="D85" s="83">
        <v>4.8</v>
      </c>
      <c r="E85" s="83">
        <v>6.9</v>
      </c>
      <c r="F85" s="83">
        <v>6</v>
      </c>
      <c r="G85" s="83">
        <v>5.6</v>
      </c>
      <c r="H85" s="83">
        <v>21.4</v>
      </c>
      <c r="I85" s="83">
        <v>23.5</v>
      </c>
      <c r="J85" s="83">
        <v>27.8</v>
      </c>
      <c r="K85" s="83">
        <v>26.5</v>
      </c>
      <c r="L85" s="83">
        <v>26.7</v>
      </c>
      <c r="M85" s="83">
        <v>32.700000000000003</v>
      </c>
      <c r="N85" s="83">
        <v>33.9</v>
      </c>
      <c r="O85" s="83">
        <v>37.9</v>
      </c>
      <c r="P85" s="83">
        <v>40</v>
      </c>
      <c r="Q85" s="83">
        <v>32.700000000000003</v>
      </c>
      <c r="R85" s="83">
        <v>43.6</v>
      </c>
      <c r="S85" s="83">
        <v>33</v>
      </c>
      <c r="T85" s="83">
        <v>35.6</v>
      </c>
      <c r="U85" s="83">
        <v>32.9</v>
      </c>
      <c r="V85" s="83">
        <v>33.799999999999997</v>
      </c>
      <c r="W85" s="83">
        <v>29.8</v>
      </c>
      <c r="X85" s="83">
        <v>29.2</v>
      </c>
      <c r="Y85" s="83">
        <v>44.2</v>
      </c>
      <c r="Z85" s="83">
        <v>56</v>
      </c>
      <c r="AA85" s="70">
        <v>35</v>
      </c>
      <c r="AB85" s="70">
        <v>37</v>
      </c>
      <c r="AC85" s="70">
        <v>33</v>
      </c>
      <c r="AD85" s="70">
        <v>18.600000000000001</v>
      </c>
      <c r="AE85" s="70">
        <v>9.5</v>
      </c>
      <c r="AF85" s="123">
        <v>6.8</v>
      </c>
      <c r="AG85" s="120">
        <v>60</v>
      </c>
      <c r="AH85" s="52">
        <f>IF(ABS(MAX(B85:AF85))&gt;ABS(MIN(B85:AF85)),MAX(B85:AF85),MIN(B85:AF85))</f>
        <v>56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0</v>
      </c>
      <c r="AI86" s="121" t="e">
        <f>INDEX($B$9:$AF$9,1,MATCH(AH86,B86:AF86,0))</f>
        <v>#N/A</v>
      </c>
    </row>
    <row r="87" spans="1:37" ht="15.75" thickBot="1" x14ac:dyDescent="0.3">
      <c r="A87" s="124" t="s">
        <v>93</v>
      </c>
      <c r="B87" s="126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1041.31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17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17)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17)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940.44</v>
      </c>
      <c r="U193" s="173">
        <f t="shared" si="37"/>
        <v>946.7399999999999</v>
      </c>
      <c r="V193" s="173">
        <f t="shared" si="37"/>
        <v>923.54</v>
      </c>
      <c r="W193" s="173">
        <f t="shared" si="37"/>
        <v>917.33999999999992</v>
      </c>
      <c r="X193" s="173">
        <f t="shared" si="37"/>
        <v>895.74</v>
      </c>
      <c r="Y193" s="173">
        <f t="shared" si="37"/>
        <v>874.74</v>
      </c>
      <c r="Z193" s="173">
        <f t="shared" si="37"/>
        <v>872.33999999999992</v>
      </c>
      <c r="AA193" s="173">
        <f t="shared" si="37"/>
        <v>915.24</v>
      </c>
      <c r="AB193" s="173">
        <f t="shared" si="37"/>
        <v>960.93999999999994</v>
      </c>
      <c r="AC193" s="173">
        <f t="shared" si="37"/>
        <v>984.33999999999992</v>
      </c>
      <c r="AD193" s="173">
        <f t="shared" si="37"/>
        <v>978.36000000000013</v>
      </c>
      <c r="AE193" s="173">
        <f t="shared" si="37"/>
        <v>1041.31</v>
      </c>
      <c r="AF193" s="173">
        <f t="shared" si="37"/>
        <v>1063.1399999999999</v>
      </c>
      <c r="AG193" s="173">
        <f t="shared" si="37"/>
        <v>1056.1400000000001</v>
      </c>
      <c r="AH193" s="173">
        <f t="shared" si="37"/>
        <v>1081.9399999999998</v>
      </c>
      <c r="AI193" s="173">
        <f t="shared" si="37"/>
        <v>1070.04</v>
      </c>
      <c r="AJ193" s="173">
        <f t="shared" si="37"/>
        <v>1079.8399999999999</v>
      </c>
      <c r="AK193" s="173">
        <f t="shared" si="37"/>
        <v>1047.54</v>
      </c>
      <c r="AL193" s="173">
        <f t="shared" si="37"/>
        <v>1034.04</v>
      </c>
      <c r="AM193" s="173">
        <f t="shared" si="37"/>
        <v>1014.06</v>
      </c>
      <c r="AN193" s="173">
        <f t="shared" si="37"/>
        <v>1014.9</v>
      </c>
      <c r="AO193" s="173">
        <f t="shared" si="37"/>
        <v>1012.23</v>
      </c>
      <c r="AP193" s="173">
        <f t="shared" si="37"/>
        <v>1010.8999999999999</v>
      </c>
      <c r="AQ193" s="173">
        <f t="shared" si="37"/>
        <v>1082.77</v>
      </c>
      <c r="AR193" s="173">
        <f t="shared" si="37"/>
        <v>1165.54</v>
      </c>
      <c r="AS193" s="173">
        <f t="shared" si="37"/>
        <v>1184.1399999999999</v>
      </c>
      <c r="AT193" s="173">
        <f t="shared" si="37"/>
        <v>1138.54</v>
      </c>
      <c r="AU193" s="173">
        <f t="shared" si="37"/>
        <v>1123.8399999999999</v>
      </c>
      <c r="AV193" s="173">
        <f t="shared" si="37"/>
        <v>1005.54</v>
      </c>
      <c r="AW193" s="173">
        <f t="shared" si="37"/>
        <v>941.94</v>
      </c>
      <c r="AX193" s="173">
        <f t="shared" si="37"/>
        <v>917.44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951" priority="167">
      <formula>S$9&gt;=20/24</formula>
    </cfRule>
    <cfRule type="expression" dxfId="2950" priority="168">
      <formula>AND(S$9&gt;=14/24,S$9&lt;20/24)</formula>
    </cfRule>
    <cfRule type="expression" dxfId="2949" priority="169">
      <formula>AND(S$9&gt;=8/24,S$9&lt;14/24)</formula>
    </cfRule>
    <cfRule type="expression" dxfId="2948" priority="170">
      <formula>S$9&lt;8/24</formula>
    </cfRule>
  </conditionalFormatting>
  <conditionalFormatting sqref="B8:AF10 AA70:AF70 C70:Q70 L32:Z33 C47:AF47 C71:AF71 C48:K50 C72:Q72 C173:AF179 N35:Q35 L29:Q29 L34:Q34 L49:T50 V35:W35 S34:W34 X34:Z35 R11:T11 C59:AF69 C51:L52 M36:Q39 U11:Z12 L31:Q31 AB48:AF50 R37:AF39 L44:AF46 C73:Z79 AA72:AF79 M51:AF58">
    <cfRule type="expression" dxfId="2947" priority="163">
      <formula>B$9&gt;=20/24</formula>
    </cfRule>
    <cfRule type="expression" dxfId="2946" priority="164">
      <formula>AND(B$9&gt;=14/24,B$9&lt;20/24)</formula>
    </cfRule>
    <cfRule type="expression" dxfId="2945" priority="165">
      <formula>AND(B$9&gt;=8/24,B$9&lt;14/24)</formula>
    </cfRule>
    <cfRule type="expression" dxfId="2944" priority="166">
      <formula>B$9&lt;8/24</formula>
    </cfRule>
  </conditionalFormatting>
  <conditionalFormatting sqref="B171:AF171">
    <cfRule type="expression" dxfId="2943" priority="159">
      <formula>B$9&gt;=20/24</formula>
    </cfRule>
    <cfRule type="expression" dxfId="2942" priority="160">
      <formula>AND(B$9&gt;=14/24,B$9&lt;20/24)</formula>
    </cfRule>
    <cfRule type="expression" dxfId="2941" priority="161">
      <formula>AND(B$9&gt;=8/24,B$9&lt;14/24)</formula>
    </cfRule>
    <cfRule type="expression" dxfId="2940" priority="162">
      <formula>B$9&lt;8/24</formula>
    </cfRule>
  </conditionalFormatting>
  <conditionalFormatting sqref="AL4:AL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939" priority="154">
      <formula>L$9&gt;=20/24</formula>
    </cfRule>
    <cfRule type="expression" dxfId="2938" priority="155">
      <formula>AND(L$9&gt;=14/24,L$9&lt;20/24)</formula>
    </cfRule>
    <cfRule type="expression" dxfId="2937" priority="156">
      <formula>AND(L$9&gt;=8/24,L$9&lt;14/24)</formula>
    </cfRule>
    <cfRule type="expression" dxfId="2936" priority="157">
      <formula>L$9&lt;8/24</formula>
    </cfRule>
  </conditionalFormatting>
  <conditionalFormatting sqref="L35:M35">
    <cfRule type="expression" dxfId="2935" priority="150">
      <formula>L$9&gt;=20/24</formula>
    </cfRule>
    <cfRule type="expression" dxfId="2934" priority="151">
      <formula>AND(L$9&gt;=14/24,L$9&lt;20/24)</formula>
    </cfRule>
    <cfRule type="expression" dxfId="2933" priority="152">
      <formula>AND(L$9&gt;=8/24,L$9&lt;14/24)</formula>
    </cfRule>
    <cfRule type="expression" dxfId="2932" priority="153">
      <formula>L$9&lt;8/24</formula>
    </cfRule>
  </conditionalFormatting>
  <conditionalFormatting sqref="U13:Z13">
    <cfRule type="expression" dxfId="2931" priority="146">
      <formula>U$9&gt;=20/24</formula>
    </cfRule>
    <cfRule type="expression" dxfId="2930" priority="147">
      <formula>AND(U$9&gt;=14/24,U$9&lt;20/24)</formula>
    </cfRule>
    <cfRule type="expression" dxfId="2929" priority="148">
      <formula>AND(U$9&gt;=8/24,U$9&lt;14/24)</formula>
    </cfRule>
    <cfRule type="expression" dxfId="2928" priority="149">
      <formula>U$9&lt;8/24</formula>
    </cfRule>
  </conditionalFormatting>
  <conditionalFormatting sqref="R31:Z31">
    <cfRule type="expression" dxfId="2927" priority="142">
      <formula>R$9&gt;=20/24</formula>
    </cfRule>
    <cfRule type="expression" dxfId="2926" priority="143">
      <formula>AND(R$9&gt;=14/24,R$9&lt;20/24)</formula>
    </cfRule>
    <cfRule type="expression" dxfId="2925" priority="144">
      <formula>AND(R$9&gt;=8/24,R$9&lt;14/24)</formula>
    </cfRule>
    <cfRule type="expression" dxfId="2924" priority="145">
      <formula>R$9&lt;8/24</formula>
    </cfRule>
  </conditionalFormatting>
  <conditionalFormatting sqref="R48:AA48">
    <cfRule type="expression" dxfId="2923" priority="138">
      <formula>R$9&gt;=20/24</formula>
    </cfRule>
    <cfRule type="expression" dxfId="2922" priority="139">
      <formula>AND(R$9&gt;=14/24,R$9&lt;20/24)</formula>
    </cfRule>
    <cfRule type="expression" dxfId="2921" priority="140">
      <formula>AND(R$9&gt;=8/24,R$9&lt;14/24)</formula>
    </cfRule>
    <cfRule type="expression" dxfId="2920" priority="141">
      <formula>R$9&lt;8/24</formula>
    </cfRule>
  </conditionalFormatting>
  <conditionalFormatting sqref="R70:Z70">
    <cfRule type="expression" dxfId="2919" priority="134">
      <formula>R$9&gt;=20/24</formula>
    </cfRule>
    <cfRule type="expression" dxfId="2918" priority="135">
      <formula>AND(R$9&gt;=14/24,R$9&lt;20/24)</formula>
    </cfRule>
    <cfRule type="expression" dxfId="2917" priority="136">
      <formula>AND(R$9&gt;=8/24,R$9&lt;14/24)</formula>
    </cfRule>
    <cfRule type="expression" dxfId="2916" priority="137">
      <formula>R$9&lt;8/24</formula>
    </cfRule>
  </conditionalFormatting>
  <conditionalFormatting sqref="R72:Z72">
    <cfRule type="expression" dxfId="2915" priority="130">
      <formula>R$9&gt;=20/24</formula>
    </cfRule>
    <cfRule type="expression" dxfId="2914" priority="131">
      <formula>AND(R$9&gt;=14/24,R$9&lt;20/24)</formula>
    </cfRule>
    <cfRule type="expression" dxfId="2913" priority="132">
      <formula>AND(R$9&gt;=8/24,R$9&lt;14/24)</formula>
    </cfRule>
    <cfRule type="expression" dxfId="2912" priority="133">
      <formula>R$9&lt;8/24</formula>
    </cfRule>
  </conditionalFormatting>
  <conditionalFormatting sqref="M19:Q20 L11:Q17 L20:AF20">
    <cfRule type="expression" dxfId="2911" priority="126">
      <formula>L$9&gt;=20/24</formula>
    </cfRule>
    <cfRule type="expression" dxfId="2910" priority="127">
      <formula>AND(L$9&gt;=14/24,L$9&lt;20/24)</formula>
    </cfRule>
    <cfRule type="expression" dxfId="2909" priority="128">
      <formula>AND(L$9&gt;=8/24,L$9&lt;14/24)</formula>
    </cfRule>
    <cfRule type="expression" dxfId="2908" priority="129">
      <formula>L$9&lt;8/24</formula>
    </cfRule>
  </conditionalFormatting>
  <conditionalFormatting sqref="M40:AF40">
    <cfRule type="expression" dxfId="2907" priority="122">
      <formula>M$9&gt;=20/24</formula>
    </cfRule>
    <cfRule type="expression" dxfId="2906" priority="123">
      <formula>AND(M$9&gt;=14/24,M$9&lt;20/24)</formula>
    </cfRule>
    <cfRule type="expression" dxfId="2905" priority="124">
      <formula>AND(M$9&gt;=8/24,M$9&lt;14/24)</formula>
    </cfRule>
    <cfRule type="expression" dxfId="2904" priority="125">
      <formula>M$9&lt;8/24</formula>
    </cfRule>
  </conditionalFormatting>
  <conditionalFormatting sqref="L41:AF41">
    <cfRule type="expression" dxfId="2903" priority="118">
      <formula>L$9&gt;=20/24</formula>
    </cfRule>
    <cfRule type="expression" dxfId="2902" priority="119">
      <formula>AND(L$9&gt;=14/24,L$9&lt;20/24)</formula>
    </cfRule>
    <cfRule type="expression" dxfId="2901" priority="120">
      <formula>AND(L$9&gt;=8/24,L$9&lt;14/24)</formula>
    </cfRule>
    <cfRule type="expression" dxfId="2900" priority="121">
      <formula>L$9&lt;8/24</formula>
    </cfRule>
  </conditionalFormatting>
  <conditionalFormatting sqref="L36:L37">
    <cfRule type="expression" dxfId="2899" priority="114">
      <formula>L$9&gt;=20/24</formula>
    </cfRule>
    <cfRule type="expression" dxfId="2898" priority="115">
      <formula>AND(L$9&gt;=14/24,L$9&lt;20/24)</formula>
    </cfRule>
    <cfRule type="expression" dxfId="2897" priority="116">
      <formula>AND(L$9&gt;=8/24,L$9&lt;14/24)</formula>
    </cfRule>
    <cfRule type="expression" dxfId="2896" priority="117">
      <formula>L$9&lt;8/24</formula>
    </cfRule>
  </conditionalFormatting>
  <conditionalFormatting sqref="R29:AD29">
    <cfRule type="expression" dxfId="2895" priority="110">
      <formula>R$9&gt;=20/24</formula>
    </cfRule>
    <cfRule type="expression" dxfId="2894" priority="111">
      <formula>AND(R$9&gt;=14/24,R$9&lt;20/24)</formula>
    </cfRule>
    <cfRule type="expression" dxfId="2893" priority="112">
      <formula>AND(R$9&gt;=8/24,R$9&lt;14/24)</formula>
    </cfRule>
    <cfRule type="expression" dxfId="2892" priority="113">
      <formula>R$9&lt;8/24</formula>
    </cfRule>
  </conditionalFormatting>
  <conditionalFormatting sqref="R12:T19 S14:Z14 S16:Z16 S18:Z18 U14:AF19">
    <cfRule type="expression" dxfId="2891" priority="106">
      <formula>R$9&gt;=20/24</formula>
    </cfRule>
    <cfRule type="expression" dxfId="2890" priority="107">
      <formula>AND(R$9&gt;=14/24,R$9&lt;20/24)</formula>
    </cfRule>
    <cfRule type="expression" dxfId="2889" priority="108">
      <formula>AND(R$9&gt;=8/24,R$9&lt;14/24)</formula>
    </cfRule>
    <cfRule type="expression" dxfId="2888" priority="109">
      <formula>R$9&lt;8/24</formula>
    </cfRule>
  </conditionalFormatting>
  <conditionalFormatting sqref="R34:R39 S35:U39 U36:Z39 AA37:AF39">
    <cfRule type="expression" dxfId="2887" priority="102">
      <formula>R$9&gt;=20/24</formula>
    </cfRule>
    <cfRule type="expression" dxfId="2886" priority="103">
      <formula>AND(R$9&gt;=14/24,R$9&lt;20/24)</formula>
    </cfRule>
    <cfRule type="expression" dxfId="2885" priority="104">
      <formula>AND(R$9&gt;=8/24,R$9&lt;14/24)</formula>
    </cfRule>
    <cfRule type="expression" dxfId="2884" priority="105">
      <formula>R$9&lt;8/24</formula>
    </cfRule>
  </conditionalFormatting>
  <conditionalFormatting sqref="R40:AF40">
    <cfRule type="expression" dxfId="2883" priority="98">
      <formula>R$9&gt;=20/24</formula>
    </cfRule>
    <cfRule type="expression" dxfId="2882" priority="99">
      <formula>AND(R$9&gt;=14/24,R$9&lt;20/24)</formula>
    </cfRule>
    <cfRule type="expression" dxfId="2881" priority="100">
      <formula>AND(R$9&gt;=8/24,R$9&lt;14/24)</formula>
    </cfRule>
    <cfRule type="expression" dxfId="2880" priority="101">
      <formula>R$9&lt;8/24</formula>
    </cfRule>
  </conditionalFormatting>
  <conditionalFormatting sqref="R41:AF41">
    <cfRule type="expression" dxfId="2879" priority="94">
      <formula>R$9&gt;=20/24</formula>
    </cfRule>
    <cfRule type="expression" dxfId="2878" priority="95">
      <formula>AND(R$9&gt;=14/24,R$9&lt;20/24)</formula>
    </cfRule>
    <cfRule type="expression" dxfId="2877" priority="96">
      <formula>AND(R$9&gt;=8/24,R$9&lt;14/24)</formula>
    </cfRule>
    <cfRule type="expression" dxfId="2876" priority="97">
      <formula>R$9&lt;8/24</formula>
    </cfRule>
  </conditionalFormatting>
  <conditionalFormatting sqref="AA83:AF86">
    <cfRule type="expression" dxfId="2875" priority="86">
      <formula>AA$9&gt;=20/24</formula>
    </cfRule>
    <cfRule type="expression" dxfId="2874" priority="87">
      <formula>AND(AA$9&gt;=14/24,AA$9&lt;20/24)</formula>
    </cfRule>
    <cfRule type="expression" dxfId="2873" priority="88">
      <formula>AND(AA$9&gt;=8/24,AA$9&lt;14/24)</formula>
    </cfRule>
    <cfRule type="expression" dxfId="2872" priority="89">
      <formula>AA$9&lt;8/24</formula>
    </cfRule>
  </conditionalFormatting>
  <conditionalFormatting sqref="C56:K58 C53:L54">
    <cfRule type="expression" dxfId="2871" priority="82">
      <formula>C$9&gt;=20/24</formula>
    </cfRule>
    <cfRule type="expression" dxfId="2870" priority="83">
      <formula>AND(C$9&gt;=14/24,C$9&lt;20/24)</formula>
    </cfRule>
    <cfRule type="expression" dxfId="2869" priority="84">
      <formula>AND(C$9&gt;=8/24,C$9&lt;14/24)</formula>
    </cfRule>
    <cfRule type="expression" dxfId="2868" priority="85">
      <formula>C$9&lt;8/24</formula>
    </cfRule>
  </conditionalFormatting>
  <conditionalFormatting sqref="C83:K86">
    <cfRule type="expression" dxfId="2867" priority="78">
      <formula>C$9&gt;=20/24</formula>
    </cfRule>
    <cfRule type="expression" dxfId="2866" priority="79">
      <formula>AND(C$9&gt;=14/24,C$9&lt;20/24)</formula>
    </cfRule>
    <cfRule type="expression" dxfId="2865" priority="80">
      <formula>AND(C$9&gt;=8/24,C$9&lt;14/24)</formula>
    </cfRule>
    <cfRule type="expression" dxfId="2864" priority="81">
      <formula>C$9&lt;8/24</formula>
    </cfRule>
  </conditionalFormatting>
  <conditionalFormatting sqref="L83:Q86">
    <cfRule type="expression" dxfId="2863" priority="74">
      <formula>L$9&gt;=20/24</formula>
    </cfRule>
    <cfRule type="expression" dxfId="2862" priority="75">
      <formula>AND(L$9&gt;=14/24,L$9&lt;20/24)</formula>
    </cfRule>
    <cfRule type="expression" dxfId="2861" priority="76">
      <formula>AND(L$9&gt;=8/24,L$9&lt;14/24)</formula>
    </cfRule>
    <cfRule type="expression" dxfId="2860" priority="77">
      <formula>L$9&lt;8/24</formula>
    </cfRule>
  </conditionalFormatting>
  <conditionalFormatting sqref="R83:Z86">
    <cfRule type="expression" dxfId="2859" priority="70">
      <formula>R$9&gt;=20/24</formula>
    </cfRule>
    <cfRule type="expression" dxfId="2858" priority="71">
      <formula>AND(R$9&gt;=14/24,R$9&lt;20/24)</formula>
    </cfRule>
    <cfRule type="expression" dxfId="2857" priority="72">
      <formula>AND(R$9&gt;=8/24,R$9&lt;14/24)</formula>
    </cfRule>
    <cfRule type="expression" dxfId="2856" priority="73">
      <formula>R$9&lt;8/24</formula>
    </cfRule>
  </conditionalFormatting>
  <conditionalFormatting sqref="AG42 M19:Z19 C41:N41 C37:N37 O37:P41 C40:K40 M38:N40 C36:P36 L14:Z14 C15:Z17 Q36:R41 R18:Z18 C35:R35 C20:Z20 C42:AF47 C12:AF13 F11:AF11 AA14:AF20 S35:AF41 C29:AF34">
    <cfRule type="expression" dxfId="2855" priority="69">
      <formula>C11&gt;$AG11</formula>
    </cfRule>
  </conditionalFormatting>
  <conditionalFormatting sqref="T192:AX192">
    <cfRule type="expression" dxfId="2854" priority="65">
      <formula>T$9&gt;=20/24</formula>
    </cfRule>
    <cfRule type="expression" dxfId="2853" priority="66">
      <formula>AND(T$9&gt;=14/24,T$9&lt;20/24)</formula>
    </cfRule>
    <cfRule type="expression" dxfId="2852" priority="67">
      <formula>AND(T$9&gt;=8/24,T$9&lt;14/24)</formula>
    </cfRule>
    <cfRule type="expression" dxfId="2851" priority="68">
      <formula>T$9&lt;8/24</formula>
    </cfRule>
  </conditionalFormatting>
  <conditionalFormatting sqref="A11:A86 A88:A180">
    <cfRule type="expression" dxfId="2850" priority="64">
      <formula>$AH11=0</formula>
    </cfRule>
  </conditionalFormatting>
  <conditionalFormatting sqref="AA87:AF87">
    <cfRule type="expression" dxfId="2849" priority="60">
      <formula>AA$9&gt;=20/24</formula>
    </cfRule>
    <cfRule type="expression" dxfId="2848" priority="61">
      <formula>AND(AA$9&gt;=14/24,AA$9&lt;20/24)</formula>
    </cfRule>
    <cfRule type="expression" dxfId="2847" priority="62">
      <formula>AND(AA$9&gt;=8/24,AA$9&lt;14/24)</formula>
    </cfRule>
    <cfRule type="expression" dxfId="2846" priority="63">
      <formula>AA$9&lt;8/24</formula>
    </cfRule>
  </conditionalFormatting>
  <conditionalFormatting sqref="C87:K87">
    <cfRule type="expression" dxfId="2845" priority="56">
      <formula>C$9&gt;=20/24</formula>
    </cfRule>
    <cfRule type="expression" dxfId="2844" priority="57">
      <formula>AND(C$9&gt;=14/24,C$9&lt;20/24)</formula>
    </cfRule>
    <cfRule type="expression" dxfId="2843" priority="58">
      <formula>AND(C$9&gt;=8/24,C$9&lt;14/24)</formula>
    </cfRule>
    <cfRule type="expression" dxfId="2842" priority="59">
      <formula>C$9&lt;8/24</formula>
    </cfRule>
  </conditionalFormatting>
  <conditionalFormatting sqref="L87:Q87">
    <cfRule type="expression" dxfId="2841" priority="52">
      <formula>L$9&gt;=20/24</formula>
    </cfRule>
    <cfRule type="expression" dxfId="2840" priority="53">
      <formula>AND(L$9&gt;=14/24,L$9&lt;20/24)</formula>
    </cfRule>
    <cfRule type="expression" dxfId="2839" priority="54">
      <formula>AND(L$9&gt;=8/24,L$9&lt;14/24)</formula>
    </cfRule>
    <cfRule type="expression" dxfId="2838" priority="55">
      <formula>L$9&lt;8/24</formula>
    </cfRule>
  </conditionalFormatting>
  <conditionalFormatting sqref="R87:Z87">
    <cfRule type="expression" dxfId="2837" priority="48">
      <formula>R$9&gt;=20/24</formula>
    </cfRule>
    <cfRule type="expression" dxfId="2836" priority="49">
      <formula>AND(R$9&gt;=14/24,R$9&lt;20/24)</formula>
    </cfRule>
    <cfRule type="expression" dxfId="2835" priority="50">
      <formula>AND(R$9&gt;=8/24,R$9&lt;14/24)</formula>
    </cfRule>
    <cfRule type="expression" dxfId="2834" priority="51">
      <formula>R$9&lt;8/24</formula>
    </cfRule>
  </conditionalFormatting>
  <conditionalFormatting sqref="A87">
    <cfRule type="expression" dxfId="2833" priority="47">
      <formula>$AH87=0</formula>
    </cfRule>
  </conditionalFormatting>
  <conditionalFormatting sqref="B44:B79 C55:L55 L56:L58">
    <cfRule type="expression" dxfId="2832" priority="35">
      <formula>B$9&gt;=20/24</formula>
    </cfRule>
    <cfRule type="expression" dxfId="2831" priority="36">
      <formula>AND(B$9&gt;=14/24,B$9&lt;20/24)</formula>
    </cfRule>
    <cfRule type="expression" dxfId="2830" priority="37">
      <formula>AND(B$9&gt;=8/24,B$9&lt;14/24)</formula>
    </cfRule>
    <cfRule type="expression" dxfId="2829" priority="38">
      <formula>B$9&lt;8/24</formula>
    </cfRule>
  </conditionalFormatting>
  <conditionalFormatting sqref="B29">
    <cfRule type="expression" dxfId="2828" priority="31">
      <formula>B$9&gt;=20/24</formula>
    </cfRule>
    <cfRule type="expression" dxfId="2827" priority="32">
      <formula>AND(B$9&gt;=14/24,B$9&lt;20/24)</formula>
    </cfRule>
    <cfRule type="expression" dxfId="2826" priority="33">
      <formula>AND(B$9&gt;=8/24,B$9&lt;14/24)</formula>
    </cfRule>
    <cfRule type="expression" dxfId="2825" priority="34">
      <formula>B$9&lt;8/24</formula>
    </cfRule>
  </conditionalFormatting>
  <conditionalFormatting sqref="B16:B27 C18:L19 M18:Q18 C21:AF27">
    <cfRule type="expression" dxfId="2824" priority="27">
      <formula>B$9&gt;=20/24</formula>
    </cfRule>
    <cfRule type="expression" dxfId="2823" priority="28">
      <formula>AND(B$9&gt;=14/24,B$9&lt;20/24)</formula>
    </cfRule>
    <cfRule type="expression" dxfId="2822" priority="29">
      <formula>AND(B$9&gt;=8/24,B$9&lt;14/24)</formula>
    </cfRule>
    <cfRule type="expression" dxfId="2821" priority="30">
      <formula>B$9&lt;8/24</formula>
    </cfRule>
  </conditionalFormatting>
  <conditionalFormatting sqref="B83:B86">
    <cfRule type="expression" dxfId="2820" priority="23">
      <formula>B$9&gt;=20/24</formula>
    </cfRule>
    <cfRule type="expression" dxfId="2819" priority="24">
      <formula>AND(B$9&gt;=14/24,B$9&lt;20/24)</formula>
    </cfRule>
    <cfRule type="expression" dxfId="2818" priority="25">
      <formula>AND(B$9&gt;=8/24,B$9&lt;14/24)</formula>
    </cfRule>
    <cfRule type="expression" dxfId="2817" priority="26">
      <formula>B$9&lt;8/24</formula>
    </cfRule>
  </conditionalFormatting>
  <conditionalFormatting sqref="B11:B47 C11:E11 C18:L19 C14:K14 M18:Q18 C38:K39 C21:AF28">
    <cfRule type="expression" dxfId="2816" priority="22">
      <formula>B11&gt;$AG11</formula>
    </cfRule>
  </conditionalFormatting>
  <conditionalFormatting sqref="B87">
    <cfRule type="expression" dxfId="2815" priority="18">
      <formula>B$9&gt;=20/24</formula>
    </cfRule>
    <cfRule type="expression" dxfId="2814" priority="19">
      <formula>AND(B$9&gt;=14/24,B$9&lt;20/24)</formula>
    </cfRule>
    <cfRule type="expression" dxfId="2813" priority="20">
      <formula>AND(B$9&gt;=8/24,B$9&lt;14/24)</formula>
    </cfRule>
    <cfRule type="expression" dxfId="2812" priority="21">
      <formula>B$9&lt;8/24</formula>
    </cfRule>
  </conditionalFormatting>
  <conditionalFormatting sqref="B28:AF28">
    <cfRule type="expression" dxfId="2811" priority="14">
      <formula>B$9&gt;=20/24</formula>
    </cfRule>
    <cfRule type="expression" dxfId="2810" priority="15">
      <formula>AND(B$9&gt;=14/24,B$9&lt;20/24)</formula>
    </cfRule>
    <cfRule type="expression" dxfId="2809" priority="16">
      <formula>AND(B$9&gt;=8/24,B$9&lt;14/24)</formula>
    </cfRule>
    <cfRule type="expression" dxfId="2808" priority="17">
      <formula>B$9&lt;8/24</formula>
    </cfRule>
  </conditionalFormatting>
  <conditionalFormatting sqref="L38:L39">
    <cfRule type="expression" dxfId="2807" priority="10">
      <formula>L$9&gt;=20/24</formula>
    </cfRule>
    <cfRule type="expression" dxfId="2806" priority="11">
      <formula>AND(L$9&gt;=14/24,L$9&lt;20/24)</formula>
    </cfRule>
    <cfRule type="expression" dxfId="2805" priority="12">
      <formula>AND(L$9&gt;=8/24,L$9&lt;14/24)</formula>
    </cfRule>
    <cfRule type="expression" dxfId="2804" priority="13">
      <formula>L$9&lt;8/24</formula>
    </cfRule>
  </conditionalFormatting>
  <conditionalFormatting sqref="L40">
    <cfRule type="expression" dxfId="2803" priority="6">
      <formula>L$9&gt;=20/24</formula>
    </cfRule>
    <cfRule type="expression" dxfId="2802" priority="7">
      <formula>AND(L$9&gt;=14/24,L$9&lt;20/24)</formula>
    </cfRule>
    <cfRule type="expression" dxfId="2801" priority="8">
      <formula>AND(L$9&gt;=8/24,L$9&lt;14/24)</formula>
    </cfRule>
    <cfRule type="expression" dxfId="2800" priority="9">
      <formula>L$9&lt;8/24</formula>
    </cfRule>
  </conditionalFormatting>
  <conditionalFormatting sqref="L38:L40">
    <cfRule type="expression" dxfId="2799" priority="5">
      <formula>L38&gt;$AG38</formula>
    </cfRule>
  </conditionalFormatting>
  <conditionalFormatting sqref="AA49:AA50">
    <cfRule type="expression" dxfId="2798" priority="1">
      <formula>AA$9&gt;=20/24</formula>
    </cfRule>
    <cfRule type="expression" dxfId="2797" priority="2">
      <formula>AND(AA$9&gt;=14/24,AA$9&lt;20/24)</formula>
    </cfRule>
    <cfRule type="expression" dxfId="2796" priority="3">
      <formula>AND(AA$9&gt;=8/24,AA$9&lt;14/24)</formula>
    </cfRule>
    <cfRule type="expression" dxfId="2795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Z28" sqref="Z28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18</v>
      </c>
      <c r="D4" s="324">
        <f ca="1">IFERROR(DATE(2021,5,14)+C4,"")</f>
        <v>44348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68</v>
      </c>
      <c r="C5" s="32">
        <f t="shared" ref="C5:AF5" si="0">C59</f>
        <v>42.6</v>
      </c>
      <c r="D5" s="32">
        <f t="shared" si="0"/>
        <v>10</v>
      </c>
      <c r="E5" s="32">
        <f t="shared" si="0"/>
        <v>18.299999999999997</v>
      </c>
      <c r="F5" s="32">
        <f t="shared" si="0"/>
        <v>12</v>
      </c>
      <c r="G5" s="32">
        <f t="shared" si="0"/>
        <v>11</v>
      </c>
      <c r="H5" s="32">
        <f t="shared" si="0"/>
        <v>15</v>
      </c>
      <c r="I5" s="32">
        <f t="shared" si="0"/>
        <v>24</v>
      </c>
      <c r="J5" s="32">
        <f t="shared" si="0"/>
        <v>59</v>
      </c>
      <c r="K5" s="32">
        <f t="shared" si="0"/>
        <v>44.5</v>
      </c>
      <c r="L5" s="32">
        <f t="shared" si="0"/>
        <v>135.5</v>
      </c>
      <c r="M5" s="32">
        <f t="shared" si="0"/>
        <v>127</v>
      </c>
      <c r="N5" s="32">
        <f t="shared" si="0"/>
        <v>157.69999999999999</v>
      </c>
      <c r="O5" s="32">
        <f t="shared" si="0"/>
        <v>136.9</v>
      </c>
      <c r="P5" s="32">
        <f t="shared" si="0"/>
        <v>148.30000000000001</v>
      </c>
      <c r="Q5" s="32">
        <f t="shared" si="0"/>
        <v>145.69999999999999</v>
      </c>
      <c r="R5" s="32">
        <f t="shared" si="0"/>
        <v>205.5</v>
      </c>
      <c r="S5" s="32">
        <f t="shared" si="0"/>
        <v>120.2</v>
      </c>
      <c r="T5" s="32">
        <f t="shared" si="0"/>
        <v>132.69999999999999</v>
      </c>
      <c r="U5" s="32">
        <f t="shared" si="0"/>
        <v>120</v>
      </c>
      <c r="V5" s="32">
        <f t="shared" si="0"/>
        <v>100.1</v>
      </c>
      <c r="W5" s="32">
        <f t="shared" si="0"/>
        <v>106.4</v>
      </c>
      <c r="X5" s="32">
        <f t="shared" si="0"/>
        <v>139.30000000000001</v>
      </c>
      <c r="Y5" s="32">
        <f t="shared" si="0"/>
        <v>186.4</v>
      </c>
      <c r="Z5" s="32">
        <f t="shared" si="0"/>
        <v>232.20000000000002</v>
      </c>
      <c r="AA5" s="32">
        <f t="shared" si="0"/>
        <v>257.39999999999998</v>
      </c>
      <c r="AB5" s="32">
        <f t="shared" si="0"/>
        <v>211</v>
      </c>
      <c r="AC5" s="32">
        <f t="shared" si="0"/>
        <v>151.76</v>
      </c>
      <c r="AD5" s="32">
        <f t="shared" si="0"/>
        <v>127.4</v>
      </c>
      <c r="AE5" s="32">
        <f t="shared" si="0"/>
        <v>76</v>
      </c>
      <c r="AF5" s="32">
        <f t="shared" si="0"/>
        <v>50.51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3"/>
      <c r="E6" s="183"/>
      <c r="F6" s="183"/>
      <c r="G6" s="183"/>
      <c r="H6" s="183"/>
      <c r="I6" s="18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956MW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Load=831</v>
      </c>
      <c r="B7" s="36">
        <f t="shared" ref="B7:AF7" si="1">B65</f>
        <v>919.54</v>
      </c>
      <c r="C7" s="36">
        <f t="shared" si="1"/>
        <v>900.74</v>
      </c>
      <c r="D7" s="36">
        <f t="shared" si="1"/>
        <v>864.44</v>
      </c>
      <c r="E7" s="36">
        <f t="shared" si="1"/>
        <v>864.04</v>
      </c>
      <c r="F7" s="36">
        <f t="shared" si="1"/>
        <v>843.64</v>
      </c>
      <c r="G7" s="36">
        <f t="shared" si="1"/>
        <v>830.93999999999994</v>
      </c>
      <c r="H7" s="36">
        <f t="shared" si="1"/>
        <v>841.24</v>
      </c>
      <c r="I7" s="36">
        <f t="shared" si="1"/>
        <v>862.44</v>
      </c>
      <c r="J7" s="36">
        <f t="shared" si="1"/>
        <v>883.54</v>
      </c>
      <c r="K7" s="36">
        <f t="shared" si="1"/>
        <v>888.33999999999992</v>
      </c>
      <c r="L7" s="36">
        <f>L65</f>
        <v>945.33999999999992</v>
      </c>
      <c r="M7" s="36">
        <f t="shared" si="1"/>
        <v>955.83999999999992</v>
      </c>
      <c r="N7" s="36">
        <f t="shared" si="1"/>
        <v>987.63999999999987</v>
      </c>
      <c r="O7" s="36">
        <f t="shared" si="1"/>
        <v>965.84</v>
      </c>
      <c r="P7" s="36">
        <f t="shared" si="1"/>
        <v>980.44</v>
      </c>
      <c r="Q7" s="36">
        <f t="shared" si="1"/>
        <v>920.33999999999992</v>
      </c>
      <c r="R7" s="36">
        <f t="shared" si="1"/>
        <v>989.04</v>
      </c>
      <c r="S7" s="36">
        <f t="shared" si="1"/>
        <v>974.44</v>
      </c>
      <c r="T7" s="36">
        <f t="shared" si="1"/>
        <v>981.24</v>
      </c>
      <c r="U7" s="36">
        <f t="shared" si="1"/>
        <v>930.83999999999992</v>
      </c>
      <c r="V7" s="36">
        <f t="shared" si="1"/>
        <v>912.84000000000015</v>
      </c>
      <c r="W7" s="36">
        <f t="shared" si="1"/>
        <v>927.83999999999992</v>
      </c>
      <c r="X7" s="36">
        <f t="shared" si="1"/>
        <v>951.64</v>
      </c>
      <c r="Y7" s="36">
        <f t="shared" si="1"/>
        <v>1021.54</v>
      </c>
      <c r="Z7" s="36">
        <f t="shared" si="1"/>
        <v>1134.04</v>
      </c>
      <c r="AA7" s="36">
        <f t="shared" si="1"/>
        <v>1161.3399999999999</v>
      </c>
      <c r="AB7" s="36">
        <f t="shared" si="1"/>
        <v>1091.24</v>
      </c>
      <c r="AC7" s="36">
        <f t="shared" si="1"/>
        <v>1008.2</v>
      </c>
      <c r="AD7" s="36">
        <f t="shared" si="1"/>
        <v>985.33999999999992</v>
      </c>
      <c r="AE7" s="36">
        <f t="shared" si="1"/>
        <v>934.64</v>
      </c>
      <c r="AF7" s="36">
        <f t="shared" si="1"/>
        <v>905.65000000000009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60</v>
      </c>
      <c r="C11" s="48">
        <v>60</v>
      </c>
      <c r="D11" s="48">
        <v>60</v>
      </c>
      <c r="E11" s="48">
        <v>60</v>
      </c>
      <c r="F11" s="48">
        <v>60</v>
      </c>
      <c r="G11" s="48">
        <v>60</v>
      </c>
      <c r="H11" s="48">
        <v>60</v>
      </c>
      <c r="I11" s="48">
        <v>60</v>
      </c>
      <c r="J11" s="48">
        <v>60</v>
      </c>
      <c r="K11" s="48">
        <v>60</v>
      </c>
      <c r="L11" s="49">
        <v>47</v>
      </c>
      <c r="M11" s="49">
        <v>47</v>
      </c>
      <c r="N11" s="49">
        <v>47</v>
      </c>
      <c r="O11" s="49">
        <v>48</v>
      </c>
      <c r="P11" s="49">
        <v>48</v>
      </c>
      <c r="Q11" s="49">
        <v>48</v>
      </c>
      <c r="R11" s="49">
        <v>48</v>
      </c>
      <c r="S11" s="50">
        <v>48</v>
      </c>
      <c r="T11" s="50">
        <v>48</v>
      </c>
      <c r="U11" s="50">
        <v>48</v>
      </c>
      <c r="V11" s="50">
        <v>48</v>
      </c>
      <c r="W11" s="50">
        <v>48</v>
      </c>
      <c r="X11" s="50">
        <v>48</v>
      </c>
      <c r="Y11" s="50">
        <v>48</v>
      </c>
      <c r="Z11" s="50">
        <v>48</v>
      </c>
      <c r="AA11" s="48">
        <v>48</v>
      </c>
      <c r="AB11" s="48">
        <v>48</v>
      </c>
      <c r="AC11" s="48">
        <v>48</v>
      </c>
      <c r="AD11" s="48">
        <v>48</v>
      </c>
      <c r="AE11" s="48">
        <v>48</v>
      </c>
      <c r="AF11" s="48">
        <v>48</v>
      </c>
      <c r="AG11" s="51">
        <v>60</v>
      </c>
      <c r="AH11" s="52">
        <f>MAX(B11:AF11)</f>
        <v>60</v>
      </c>
      <c r="AI11" s="53">
        <f>MIN(B11:AF11)</f>
        <v>47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50.2</v>
      </c>
      <c r="C12" s="56">
        <v>50.2</v>
      </c>
      <c r="D12" s="56">
        <v>50.2</v>
      </c>
      <c r="E12" s="56">
        <v>50.2</v>
      </c>
      <c r="F12" s="56">
        <v>50.2</v>
      </c>
      <c r="G12" s="56">
        <v>50.2</v>
      </c>
      <c r="H12" s="56">
        <v>50.2</v>
      </c>
      <c r="I12" s="56">
        <v>50.2</v>
      </c>
      <c r="J12" s="56">
        <v>50.5</v>
      </c>
      <c r="K12" s="56">
        <v>50.5</v>
      </c>
      <c r="L12" s="49">
        <v>50.6</v>
      </c>
      <c r="M12" s="49">
        <v>50.6</v>
      </c>
      <c r="N12" s="49">
        <v>50.5</v>
      </c>
      <c r="O12" s="49">
        <v>50.5</v>
      </c>
      <c r="P12" s="49">
        <v>50.5</v>
      </c>
      <c r="Q12" s="49">
        <v>50.4</v>
      </c>
      <c r="R12" s="49">
        <v>50.3</v>
      </c>
      <c r="S12" s="49">
        <v>50.4</v>
      </c>
      <c r="T12" s="49">
        <v>50.5</v>
      </c>
      <c r="U12" s="49">
        <v>50.4</v>
      </c>
      <c r="V12" s="49">
        <v>50.6</v>
      </c>
      <c r="W12" s="49">
        <v>50.7</v>
      </c>
      <c r="X12" s="49">
        <v>50.5</v>
      </c>
      <c r="Y12" s="49">
        <v>50.6</v>
      </c>
      <c r="Z12" s="49">
        <v>50.1</v>
      </c>
      <c r="AA12" s="56">
        <v>50.7</v>
      </c>
      <c r="AB12" s="56">
        <v>50.7</v>
      </c>
      <c r="AC12" s="56">
        <v>50.4</v>
      </c>
      <c r="AD12" s="56">
        <v>50.3</v>
      </c>
      <c r="AE12" s="56">
        <v>50.3</v>
      </c>
      <c r="AF12" s="56">
        <v>50.3</v>
      </c>
      <c r="AG12" s="57">
        <v>50</v>
      </c>
      <c r="AH12" s="52">
        <f t="shared" ref="AH12:AH77" si="2">MAX(B12:AF12)</f>
        <v>50.7</v>
      </c>
      <c r="AI12" s="53">
        <f t="shared" ref="AI12:AI77" si="3">MIN(B12:AF12)</f>
        <v>50.1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45.8</v>
      </c>
      <c r="C13" s="56">
        <v>45.8</v>
      </c>
      <c r="D13" s="56">
        <v>45.8</v>
      </c>
      <c r="E13" s="56">
        <v>45.8</v>
      </c>
      <c r="F13" s="56">
        <v>45.3</v>
      </c>
      <c r="G13" s="56">
        <v>45.2</v>
      </c>
      <c r="H13" s="56">
        <v>45.3</v>
      </c>
      <c r="I13" s="56">
        <v>45.3</v>
      </c>
      <c r="J13" s="56">
        <v>45</v>
      </c>
      <c r="K13" s="56">
        <v>45</v>
      </c>
      <c r="L13" s="49">
        <v>45.3</v>
      </c>
      <c r="M13" s="49">
        <v>45.3</v>
      </c>
      <c r="N13" s="49">
        <v>44.8</v>
      </c>
      <c r="O13" s="49">
        <v>43.2</v>
      </c>
      <c r="P13" s="49">
        <v>43.6</v>
      </c>
      <c r="Q13" s="49">
        <v>43.8</v>
      </c>
      <c r="R13" s="49">
        <v>43.7</v>
      </c>
      <c r="S13" s="49">
        <v>43.3</v>
      </c>
      <c r="T13" s="49">
        <v>44</v>
      </c>
      <c r="U13" s="49">
        <v>45.2</v>
      </c>
      <c r="V13" s="49">
        <v>45.3</v>
      </c>
      <c r="W13" s="49">
        <v>43.3</v>
      </c>
      <c r="X13" s="49">
        <v>43.5</v>
      </c>
      <c r="Y13" s="49">
        <v>43.5</v>
      </c>
      <c r="Z13" s="49">
        <v>43.3</v>
      </c>
      <c r="AA13" s="56">
        <v>43.3</v>
      </c>
      <c r="AB13" s="56">
        <v>43.3</v>
      </c>
      <c r="AC13" s="56">
        <v>43.4</v>
      </c>
      <c r="AD13" s="56">
        <v>43.5</v>
      </c>
      <c r="AE13" s="56">
        <v>43.5</v>
      </c>
      <c r="AF13" s="56">
        <v>43.5</v>
      </c>
      <c r="AG13" s="59">
        <v>45</v>
      </c>
      <c r="AH13" s="52">
        <f t="shared" si="2"/>
        <v>45.8</v>
      </c>
      <c r="AI13" s="53">
        <f t="shared" si="3"/>
        <v>43.2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19.5</v>
      </c>
      <c r="C14" s="56">
        <v>19.5</v>
      </c>
      <c r="D14" s="56">
        <v>21</v>
      </c>
      <c r="E14" s="56">
        <v>21</v>
      </c>
      <c r="F14" s="56">
        <v>21</v>
      </c>
      <c r="G14" s="56">
        <v>21</v>
      </c>
      <c r="H14" s="56">
        <v>21</v>
      </c>
      <c r="I14" s="56">
        <v>21</v>
      </c>
      <c r="J14" s="56">
        <v>21</v>
      </c>
      <c r="K14" s="56">
        <v>21</v>
      </c>
      <c r="L14" s="49">
        <v>21</v>
      </c>
      <c r="M14" s="49">
        <v>21</v>
      </c>
      <c r="N14" s="49">
        <v>20</v>
      </c>
      <c r="O14" s="49">
        <v>21</v>
      </c>
      <c r="P14" s="49">
        <v>21</v>
      </c>
      <c r="Q14" s="49">
        <v>21</v>
      </c>
      <c r="R14" s="49">
        <v>21</v>
      </c>
      <c r="S14" s="49">
        <v>21</v>
      </c>
      <c r="T14" s="49">
        <v>21</v>
      </c>
      <c r="U14" s="49">
        <v>21</v>
      </c>
      <c r="V14" s="49">
        <v>21</v>
      </c>
      <c r="W14" s="49">
        <v>21</v>
      </c>
      <c r="X14" s="49">
        <v>21</v>
      </c>
      <c r="Y14" s="49">
        <v>21</v>
      </c>
      <c r="Z14" s="49">
        <v>21</v>
      </c>
      <c r="AA14" s="49">
        <v>21</v>
      </c>
      <c r="AB14" s="49">
        <v>21</v>
      </c>
      <c r="AC14" s="49">
        <v>21</v>
      </c>
      <c r="AD14" s="49">
        <v>21</v>
      </c>
      <c r="AE14" s="49">
        <v>21</v>
      </c>
      <c r="AF14" s="49">
        <v>21</v>
      </c>
      <c r="AG14" s="59">
        <v>25</v>
      </c>
      <c r="AH14" s="52">
        <f t="shared" si="2"/>
        <v>21</v>
      </c>
      <c r="AI14" s="53">
        <f t="shared" si="3"/>
        <v>19.5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26.2</v>
      </c>
      <c r="C15" s="56">
        <v>26.2</v>
      </c>
      <c r="D15" s="56">
        <v>26.3</v>
      </c>
      <c r="E15" s="56">
        <v>26.2</v>
      </c>
      <c r="F15" s="56">
        <v>26.2</v>
      </c>
      <c r="G15" s="56">
        <v>26.2</v>
      </c>
      <c r="H15" s="56">
        <v>26.2</v>
      </c>
      <c r="I15" s="56">
        <v>26.2</v>
      </c>
      <c r="J15" s="56">
        <v>26.2</v>
      </c>
      <c r="K15" s="56">
        <v>26.2</v>
      </c>
      <c r="L15" s="49">
        <v>25.1</v>
      </c>
      <c r="M15" s="49">
        <v>25.1</v>
      </c>
      <c r="N15" s="49">
        <v>25.1</v>
      </c>
      <c r="O15" s="49">
        <v>25.1</v>
      </c>
      <c r="P15" s="49">
        <v>25</v>
      </c>
      <c r="Q15" s="49">
        <v>25.2</v>
      </c>
      <c r="R15" s="49">
        <v>25.2</v>
      </c>
      <c r="S15" s="49">
        <v>25.2</v>
      </c>
      <c r="T15" s="49">
        <v>25.5</v>
      </c>
      <c r="U15" s="49">
        <v>25.5</v>
      </c>
      <c r="V15" s="49">
        <v>25.4</v>
      </c>
      <c r="W15" s="49">
        <v>25.5</v>
      </c>
      <c r="X15" s="49">
        <v>25.5</v>
      </c>
      <c r="Y15" s="49">
        <v>25.7</v>
      </c>
      <c r="Z15" s="49">
        <v>25.1</v>
      </c>
      <c r="AA15" s="49">
        <v>25</v>
      </c>
      <c r="AB15" s="49">
        <v>25</v>
      </c>
      <c r="AC15" s="49">
        <v>25.5</v>
      </c>
      <c r="AD15" s="49">
        <v>25.4</v>
      </c>
      <c r="AE15" s="49">
        <v>25.3</v>
      </c>
      <c r="AF15" s="49">
        <v>25.5</v>
      </c>
      <c r="AG15" s="59">
        <v>25</v>
      </c>
      <c r="AH15" s="52">
        <f t="shared" si="2"/>
        <v>26.3</v>
      </c>
      <c r="AI15" s="53">
        <f t="shared" si="3"/>
        <v>25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71">
        <v>6.2</v>
      </c>
      <c r="AD16" s="71">
        <v>6.2</v>
      </c>
      <c r="AE16" s="71">
        <v>6.2</v>
      </c>
      <c r="AF16" s="49">
        <v>6.2</v>
      </c>
      <c r="AG16" s="59">
        <v>23.5</v>
      </c>
      <c r="AH16" s="52">
        <f>MAX(B16:AF16)</f>
        <v>6.2</v>
      </c>
      <c r="AI16" s="53">
        <f>MIN(B16:AF16)</f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22.1</v>
      </c>
      <c r="C17" s="56">
        <v>22.1</v>
      </c>
      <c r="D17" s="56">
        <v>22.1</v>
      </c>
      <c r="E17" s="56">
        <v>22.1</v>
      </c>
      <c r="F17" s="56">
        <v>22.1</v>
      </c>
      <c r="G17" s="56">
        <v>22.1</v>
      </c>
      <c r="H17" s="56">
        <v>22.1</v>
      </c>
      <c r="I17" s="56">
        <v>22.1</v>
      </c>
      <c r="J17" s="56">
        <v>22.1</v>
      </c>
      <c r="K17" s="56">
        <v>22.1</v>
      </c>
      <c r="L17" s="49">
        <v>22.1</v>
      </c>
      <c r="M17" s="49">
        <v>22.1</v>
      </c>
      <c r="N17" s="49">
        <v>22.1</v>
      </c>
      <c r="O17" s="49">
        <v>22.1</v>
      </c>
      <c r="P17" s="49">
        <v>22.1</v>
      </c>
      <c r="Q17" s="49">
        <v>22.1</v>
      </c>
      <c r="R17" s="49">
        <v>25</v>
      </c>
      <c r="S17" s="49">
        <v>24.7</v>
      </c>
      <c r="T17" s="49">
        <v>24.8</v>
      </c>
      <c r="U17" s="49">
        <v>24.7</v>
      </c>
      <c r="V17" s="49">
        <v>24.5</v>
      </c>
      <c r="W17" s="49">
        <v>25.1</v>
      </c>
      <c r="X17" s="49">
        <v>25.2</v>
      </c>
      <c r="Y17" s="49">
        <v>25.1</v>
      </c>
      <c r="Z17" s="49">
        <v>25.4</v>
      </c>
      <c r="AA17" s="49">
        <v>25.1</v>
      </c>
      <c r="AB17" s="49">
        <v>25.1</v>
      </c>
      <c r="AC17" s="49">
        <v>25</v>
      </c>
      <c r="AD17" s="49">
        <v>25.5</v>
      </c>
      <c r="AE17" s="49">
        <v>25.5</v>
      </c>
      <c r="AF17" s="49">
        <v>25.5</v>
      </c>
      <c r="AG17" s="59">
        <v>22.1</v>
      </c>
      <c r="AH17" s="52">
        <f t="shared" si="2"/>
        <v>25.5</v>
      </c>
      <c r="AI17" s="53">
        <f t="shared" si="3"/>
        <v>22.1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8</v>
      </c>
      <c r="C18" s="49">
        <v>16</v>
      </c>
      <c r="D18" s="49">
        <v>16</v>
      </c>
      <c r="E18" s="49">
        <v>16</v>
      </c>
      <c r="F18" s="49">
        <v>16</v>
      </c>
      <c r="G18" s="49">
        <v>16</v>
      </c>
      <c r="H18" s="49">
        <v>16</v>
      </c>
      <c r="I18" s="49">
        <v>16</v>
      </c>
      <c r="J18" s="49">
        <v>16</v>
      </c>
      <c r="K18" s="49">
        <v>16</v>
      </c>
      <c r="L18" s="49">
        <v>16</v>
      </c>
      <c r="M18" s="49">
        <v>15</v>
      </c>
      <c r="N18" s="49">
        <v>15</v>
      </c>
      <c r="O18" s="49">
        <v>16</v>
      </c>
      <c r="P18" s="49">
        <v>16</v>
      </c>
      <c r="Q18" s="49">
        <v>16</v>
      </c>
      <c r="R18" s="49">
        <v>16</v>
      </c>
      <c r="S18" s="49">
        <v>16</v>
      </c>
      <c r="T18" s="49">
        <v>16</v>
      </c>
      <c r="U18" s="49">
        <v>16</v>
      </c>
      <c r="V18" s="49">
        <v>16</v>
      </c>
      <c r="W18" s="49">
        <v>16</v>
      </c>
      <c r="X18" s="49">
        <v>16</v>
      </c>
      <c r="Y18" s="49">
        <v>16</v>
      </c>
      <c r="Z18" s="49">
        <v>16</v>
      </c>
      <c r="AA18" s="49">
        <v>16</v>
      </c>
      <c r="AB18" s="49">
        <v>16</v>
      </c>
      <c r="AC18" s="49">
        <v>16</v>
      </c>
      <c r="AD18" s="49">
        <v>16</v>
      </c>
      <c r="AE18" s="49">
        <v>16</v>
      </c>
      <c r="AF18" s="49">
        <v>16</v>
      </c>
      <c r="AG18" s="59">
        <v>22.1</v>
      </c>
      <c r="AH18" s="52">
        <f t="shared" si="2"/>
        <v>16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25.6</v>
      </c>
      <c r="C19" s="49">
        <v>22.5</v>
      </c>
      <c r="D19" s="49">
        <v>22.5</v>
      </c>
      <c r="E19" s="49">
        <v>19.8</v>
      </c>
      <c r="F19" s="49">
        <v>22.5</v>
      </c>
      <c r="G19" s="49">
        <v>22.5</v>
      </c>
      <c r="H19" s="49">
        <v>22.5</v>
      </c>
      <c r="I19" s="49">
        <v>18.7</v>
      </c>
      <c r="J19" s="49">
        <v>18.2</v>
      </c>
      <c r="K19" s="49">
        <v>22.5</v>
      </c>
      <c r="L19" s="49">
        <v>16.399999999999999</v>
      </c>
      <c r="M19" s="49">
        <v>16.399999999999999</v>
      </c>
      <c r="N19" s="49">
        <v>16.100000000000001</v>
      </c>
      <c r="O19" s="49">
        <v>14.5</v>
      </c>
      <c r="P19" s="49">
        <v>15.2</v>
      </c>
      <c r="Q19" s="49">
        <v>15.2</v>
      </c>
      <c r="R19" s="49">
        <v>17.100000000000001</v>
      </c>
      <c r="S19" s="49">
        <v>16.5</v>
      </c>
      <c r="T19" s="49">
        <v>16.3</v>
      </c>
      <c r="U19" s="49">
        <v>18.899999999999999</v>
      </c>
      <c r="V19" s="49">
        <v>18</v>
      </c>
      <c r="W19" s="49">
        <v>18</v>
      </c>
      <c r="X19" s="49">
        <v>18</v>
      </c>
      <c r="Y19" s="49">
        <v>18</v>
      </c>
      <c r="Z19" s="49">
        <v>18</v>
      </c>
      <c r="AA19" s="49">
        <v>18</v>
      </c>
      <c r="AB19" s="49">
        <v>18</v>
      </c>
      <c r="AC19" s="49">
        <v>18</v>
      </c>
      <c r="AD19" s="49">
        <v>18</v>
      </c>
      <c r="AE19" s="49">
        <v>18</v>
      </c>
      <c r="AF19" s="49">
        <v>18</v>
      </c>
      <c r="AG19" s="59">
        <v>22</v>
      </c>
      <c r="AH19" s="52">
        <f t="shared" si="2"/>
        <v>25.6</v>
      </c>
      <c r="AI19" s="53">
        <f t="shared" si="3"/>
        <v>14.5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13</v>
      </c>
      <c r="C20" s="56">
        <v>13</v>
      </c>
      <c r="D20" s="56">
        <v>13</v>
      </c>
      <c r="E20" s="56">
        <v>13</v>
      </c>
      <c r="F20" s="56">
        <v>13</v>
      </c>
      <c r="G20" s="56">
        <v>13</v>
      </c>
      <c r="H20" s="56">
        <v>13</v>
      </c>
      <c r="I20" s="56">
        <v>13</v>
      </c>
      <c r="J20" s="56">
        <v>13</v>
      </c>
      <c r="K20" s="56">
        <v>13</v>
      </c>
      <c r="L20" s="56">
        <v>22</v>
      </c>
      <c r="M20" s="56">
        <v>22</v>
      </c>
      <c r="N20" s="56">
        <v>22</v>
      </c>
      <c r="O20" s="56">
        <v>22</v>
      </c>
      <c r="P20" s="56">
        <v>22</v>
      </c>
      <c r="Q20" s="56">
        <v>22</v>
      </c>
      <c r="R20" s="56">
        <v>22</v>
      </c>
      <c r="S20" s="56">
        <v>22</v>
      </c>
      <c r="T20" s="56">
        <v>22</v>
      </c>
      <c r="U20" s="56">
        <v>22</v>
      </c>
      <c r="V20" s="56">
        <v>22</v>
      </c>
      <c r="W20" s="56">
        <v>22</v>
      </c>
      <c r="X20" s="56">
        <v>22</v>
      </c>
      <c r="Y20" s="56">
        <v>22</v>
      </c>
      <c r="Z20" s="56">
        <v>22</v>
      </c>
      <c r="AA20" s="56">
        <v>22</v>
      </c>
      <c r="AB20" s="56">
        <v>22</v>
      </c>
      <c r="AC20" s="56">
        <v>22</v>
      </c>
      <c r="AD20" s="56">
        <v>22</v>
      </c>
      <c r="AE20" s="56">
        <v>22</v>
      </c>
      <c r="AF20" s="56">
        <v>22</v>
      </c>
      <c r="AG20" s="59">
        <v>22</v>
      </c>
      <c r="AH20" s="52">
        <f t="shared" si="2"/>
        <v>22</v>
      </c>
      <c r="AI20" s="53">
        <f t="shared" si="3"/>
        <v>13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7</v>
      </c>
      <c r="C21" s="49">
        <v>7.5</v>
      </c>
      <c r="D21" s="49">
        <v>7.5</v>
      </c>
      <c r="E21" s="49">
        <v>7.5</v>
      </c>
      <c r="F21" s="49">
        <v>7.5</v>
      </c>
      <c r="G21" s="49">
        <v>7.5</v>
      </c>
      <c r="H21" s="49">
        <v>7.5</v>
      </c>
      <c r="I21" s="49">
        <v>7.5</v>
      </c>
      <c r="J21" s="49">
        <v>7.5</v>
      </c>
      <c r="K21" s="49">
        <v>7.5</v>
      </c>
      <c r="L21" s="49">
        <v>7.5</v>
      </c>
      <c r="M21" s="49">
        <v>7.5</v>
      </c>
      <c r="N21" s="49">
        <v>7.5</v>
      </c>
      <c r="O21" s="49">
        <v>7.5</v>
      </c>
      <c r="P21" s="49">
        <v>7.5</v>
      </c>
      <c r="Q21" s="49">
        <v>7.5</v>
      </c>
      <c r="R21" s="49">
        <v>7.5</v>
      </c>
      <c r="S21" s="49">
        <v>7.5</v>
      </c>
      <c r="T21" s="49">
        <v>7.5</v>
      </c>
      <c r="U21" s="49">
        <v>7.5</v>
      </c>
      <c r="V21" s="49">
        <v>7.5</v>
      </c>
      <c r="W21" s="49">
        <v>7.5</v>
      </c>
      <c r="X21" s="49">
        <v>7.5</v>
      </c>
      <c r="Y21" s="49">
        <v>7.5</v>
      </c>
      <c r="Z21" s="49">
        <v>7.5</v>
      </c>
      <c r="AA21" s="49">
        <v>7.5</v>
      </c>
      <c r="AB21" s="49">
        <v>7.5</v>
      </c>
      <c r="AC21" s="49">
        <v>7.5</v>
      </c>
      <c r="AD21" s="49">
        <v>7.5</v>
      </c>
      <c r="AE21" s="49">
        <v>7.5</v>
      </c>
      <c r="AF21" s="49">
        <v>7.5</v>
      </c>
      <c r="AG21" s="59">
        <v>14.9</v>
      </c>
      <c r="AH21" s="52">
        <f t="shared" si="2"/>
        <v>7.5</v>
      </c>
      <c r="AI21" s="53">
        <f t="shared" si="3"/>
        <v>7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49">
        <v>10</v>
      </c>
      <c r="C22" s="49">
        <v>10</v>
      </c>
      <c r="D22" s="49">
        <v>10</v>
      </c>
      <c r="E22" s="49">
        <v>10</v>
      </c>
      <c r="F22" s="49">
        <v>10</v>
      </c>
      <c r="G22" s="49">
        <v>10</v>
      </c>
      <c r="H22" s="49">
        <v>10</v>
      </c>
      <c r="I22" s="49">
        <v>10</v>
      </c>
      <c r="J22" s="49">
        <v>10</v>
      </c>
      <c r="K22" s="49">
        <v>10</v>
      </c>
      <c r="L22" s="49">
        <v>10</v>
      </c>
      <c r="M22" s="49">
        <v>10</v>
      </c>
      <c r="N22" s="49">
        <v>10</v>
      </c>
      <c r="O22" s="49">
        <v>10</v>
      </c>
      <c r="P22" s="49">
        <v>10</v>
      </c>
      <c r="Q22" s="49">
        <v>10</v>
      </c>
      <c r="R22" s="49">
        <v>10</v>
      </c>
      <c r="S22" s="49">
        <v>10</v>
      </c>
      <c r="T22" s="49">
        <v>10</v>
      </c>
      <c r="U22" s="49">
        <v>10</v>
      </c>
      <c r="V22" s="49">
        <v>10</v>
      </c>
      <c r="W22" s="49">
        <v>10</v>
      </c>
      <c r="X22" s="49">
        <v>10</v>
      </c>
      <c r="Y22" s="49">
        <v>10</v>
      </c>
      <c r="Z22" s="49">
        <v>10</v>
      </c>
      <c r="AA22" s="49">
        <v>10</v>
      </c>
      <c r="AB22" s="49">
        <v>10</v>
      </c>
      <c r="AC22" s="49">
        <v>10</v>
      </c>
      <c r="AD22" s="49">
        <v>10</v>
      </c>
      <c r="AE22" s="49">
        <v>10</v>
      </c>
      <c r="AF22" s="49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49">
        <v>10</v>
      </c>
      <c r="C23" s="49">
        <v>10</v>
      </c>
      <c r="D23" s="49">
        <v>10</v>
      </c>
      <c r="E23" s="49">
        <v>10</v>
      </c>
      <c r="F23" s="49">
        <v>10</v>
      </c>
      <c r="G23" s="49">
        <v>10</v>
      </c>
      <c r="H23" s="49">
        <v>10</v>
      </c>
      <c r="I23" s="49">
        <v>10</v>
      </c>
      <c r="J23" s="49">
        <v>10</v>
      </c>
      <c r="K23" s="49">
        <v>10</v>
      </c>
      <c r="L23" s="49">
        <v>10</v>
      </c>
      <c r="M23" s="49">
        <v>10</v>
      </c>
      <c r="N23" s="49">
        <v>10</v>
      </c>
      <c r="O23" s="49">
        <v>10</v>
      </c>
      <c r="P23" s="49">
        <v>10</v>
      </c>
      <c r="Q23" s="49">
        <v>10</v>
      </c>
      <c r="R23" s="49">
        <v>10</v>
      </c>
      <c r="S23" s="49">
        <v>10</v>
      </c>
      <c r="T23" s="49">
        <v>10</v>
      </c>
      <c r="U23" s="49">
        <v>10</v>
      </c>
      <c r="V23" s="49">
        <v>10</v>
      </c>
      <c r="W23" s="49">
        <v>10</v>
      </c>
      <c r="X23" s="49">
        <v>10</v>
      </c>
      <c r="Y23" s="49">
        <v>10</v>
      </c>
      <c r="Z23" s="49">
        <v>10</v>
      </c>
      <c r="AA23" s="49">
        <v>10</v>
      </c>
      <c r="AB23" s="49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</v>
      </c>
      <c r="AH23" s="52">
        <f t="shared" si="2"/>
        <v>10</v>
      </c>
      <c r="AI23" s="53">
        <f t="shared" si="3"/>
        <v>10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12</v>
      </c>
      <c r="K24" s="49">
        <v>12</v>
      </c>
      <c r="L24" s="49">
        <v>12</v>
      </c>
      <c r="M24" s="49">
        <v>12</v>
      </c>
      <c r="N24" s="49">
        <v>12</v>
      </c>
      <c r="O24" s="49">
        <v>12</v>
      </c>
      <c r="P24" s="49">
        <v>12</v>
      </c>
      <c r="Q24" s="49">
        <v>12</v>
      </c>
      <c r="R24" s="49">
        <v>12</v>
      </c>
      <c r="S24" s="49">
        <v>12</v>
      </c>
      <c r="T24" s="49">
        <v>12</v>
      </c>
      <c r="U24" s="49">
        <v>12</v>
      </c>
      <c r="V24" s="49">
        <v>12</v>
      </c>
      <c r="W24" s="49">
        <v>12</v>
      </c>
      <c r="X24" s="49">
        <v>12</v>
      </c>
      <c r="Y24" s="49">
        <v>12</v>
      </c>
      <c r="Z24" s="49">
        <v>12</v>
      </c>
      <c r="AA24" s="49">
        <v>12</v>
      </c>
      <c r="AB24" s="49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49">
        <v>2.2000000000000002</v>
      </c>
      <c r="C25" s="49">
        <v>2.2000000000000002</v>
      </c>
      <c r="D25" s="49">
        <v>2.2000000000000002</v>
      </c>
      <c r="E25" s="49">
        <v>2.2000000000000002</v>
      </c>
      <c r="F25" s="49">
        <v>2.2000000000000002</v>
      </c>
      <c r="G25" s="49">
        <v>2.2000000000000002</v>
      </c>
      <c r="H25" s="49">
        <v>2.2000000000000002</v>
      </c>
      <c r="I25" s="49">
        <v>2.2000000000000002</v>
      </c>
      <c r="J25" s="49">
        <v>2.2000000000000002</v>
      </c>
      <c r="K25" s="49">
        <v>2.2000000000000002</v>
      </c>
      <c r="L25" s="49">
        <v>2.2000000000000002</v>
      </c>
      <c r="M25" s="49">
        <v>2.2000000000000002</v>
      </c>
      <c r="N25" s="49">
        <v>2.2000000000000002</v>
      </c>
      <c r="O25" s="49">
        <v>2.2000000000000002</v>
      </c>
      <c r="P25" s="49">
        <v>2.2000000000000002</v>
      </c>
      <c r="Q25" s="49">
        <v>2.2000000000000002</v>
      </c>
      <c r="R25" s="49">
        <v>2.2000000000000002</v>
      </c>
      <c r="S25" s="49">
        <v>2.2000000000000002</v>
      </c>
      <c r="T25" s="49">
        <v>2.2000000000000002</v>
      </c>
      <c r="U25" s="49">
        <v>2.2000000000000002</v>
      </c>
      <c r="V25" s="49">
        <v>2.2000000000000002</v>
      </c>
      <c r="W25" s="49">
        <v>2.2000000000000002</v>
      </c>
      <c r="X25" s="49">
        <v>2.2000000000000002</v>
      </c>
      <c r="Y25" s="49">
        <v>2.2000000000000002</v>
      </c>
      <c r="Z25" s="49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49">
        <v>10</v>
      </c>
      <c r="N26" s="49">
        <v>10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4</v>
      </c>
      <c r="C27" s="49">
        <v>4</v>
      </c>
      <c r="D27" s="49">
        <v>4</v>
      </c>
      <c r="E27" s="49">
        <v>4</v>
      </c>
      <c r="F27" s="49">
        <v>4</v>
      </c>
      <c r="G27" s="49">
        <v>4</v>
      </c>
      <c r="H27" s="49">
        <v>4</v>
      </c>
      <c r="I27" s="49">
        <v>4</v>
      </c>
      <c r="J27" s="49">
        <v>4</v>
      </c>
      <c r="K27" s="49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180</v>
      </c>
      <c r="C28" s="56">
        <v>180</v>
      </c>
      <c r="D28" s="56">
        <v>180</v>
      </c>
      <c r="E28" s="56">
        <v>175</v>
      </c>
      <c r="F28" s="56">
        <v>170</v>
      </c>
      <c r="G28" s="56">
        <v>170</v>
      </c>
      <c r="H28" s="56">
        <v>170</v>
      </c>
      <c r="I28" s="56">
        <v>170</v>
      </c>
      <c r="J28" s="56">
        <v>160</v>
      </c>
      <c r="K28" s="56">
        <v>170</v>
      </c>
      <c r="L28" s="56">
        <v>170</v>
      </c>
      <c r="M28" s="56">
        <v>170</v>
      </c>
      <c r="N28" s="56">
        <v>170</v>
      </c>
      <c r="O28" s="56">
        <v>170</v>
      </c>
      <c r="P28" s="56">
        <v>170</v>
      </c>
      <c r="Q28" s="56">
        <v>170</v>
      </c>
      <c r="R28" s="56">
        <v>170</v>
      </c>
      <c r="S28" s="56">
        <v>170</v>
      </c>
      <c r="T28" s="56">
        <v>170</v>
      </c>
      <c r="U28" s="56">
        <v>170</v>
      </c>
      <c r="V28" s="56">
        <v>170</v>
      </c>
      <c r="W28" s="56">
        <v>170</v>
      </c>
      <c r="X28" s="56">
        <v>170</v>
      </c>
      <c r="Y28" s="56">
        <v>170</v>
      </c>
      <c r="Z28" s="56">
        <v>184</v>
      </c>
      <c r="AA28" s="56">
        <v>184</v>
      </c>
      <c r="AB28" s="56">
        <v>184</v>
      </c>
      <c r="AC28" s="56">
        <v>184</v>
      </c>
      <c r="AD28" s="56">
        <v>184</v>
      </c>
      <c r="AE28" s="56">
        <v>184</v>
      </c>
      <c r="AF28" s="56">
        <v>184</v>
      </c>
      <c r="AG28" s="59">
        <v>85</v>
      </c>
      <c r="AH28" s="52">
        <f t="shared" si="2"/>
        <v>184</v>
      </c>
      <c r="AI28" s="53">
        <f t="shared" si="3"/>
        <v>160</v>
      </c>
      <c r="AK28" s="54"/>
    </row>
    <row r="29" spans="1:88" ht="15.75" thickBot="1" x14ac:dyDescent="0.3">
      <c r="A29" s="66" t="s">
        <v>36</v>
      </c>
      <c r="B29" s="67">
        <v>140.6</v>
      </c>
      <c r="C29" s="56">
        <v>144.6</v>
      </c>
      <c r="D29" s="56">
        <v>144.30000000000001</v>
      </c>
      <c r="E29" s="56">
        <v>138.80000000000001</v>
      </c>
      <c r="F29" s="56">
        <v>135.4</v>
      </c>
      <c r="G29" s="56">
        <v>133.1</v>
      </c>
      <c r="H29" s="56">
        <v>128.4</v>
      </c>
      <c r="I29" s="56">
        <v>134.80000000000001</v>
      </c>
      <c r="J29" s="56">
        <v>120.4</v>
      </c>
      <c r="K29" s="56">
        <v>115</v>
      </c>
      <c r="L29" s="67">
        <v>128.9</v>
      </c>
      <c r="M29" s="67">
        <v>119.8</v>
      </c>
      <c r="N29" s="67">
        <v>114.2</v>
      </c>
      <c r="O29" s="67">
        <v>117.9</v>
      </c>
      <c r="P29" s="67">
        <v>116.5</v>
      </c>
      <c r="Q29" s="67">
        <v>116.2</v>
      </c>
      <c r="R29" s="67">
        <v>107.1</v>
      </c>
      <c r="S29" s="67">
        <v>116.3</v>
      </c>
      <c r="T29" s="67">
        <v>107.9</v>
      </c>
      <c r="U29" s="67">
        <v>108.4</v>
      </c>
      <c r="V29" s="67">
        <v>114.3</v>
      </c>
      <c r="W29" s="67">
        <v>114.7</v>
      </c>
      <c r="X29" s="67">
        <v>112</v>
      </c>
      <c r="Y29" s="67">
        <v>111.6</v>
      </c>
      <c r="Z29" s="67">
        <v>111</v>
      </c>
      <c r="AA29" s="67">
        <v>110.3</v>
      </c>
      <c r="AB29" s="67">
        <v>115.9</v>
      </c>
      <c r="AC29" s="67">
        <v>118.9</v>
      </c>
      <c r="AD29" s="67">
        <v>117.8</v>
      </c>
      <c r="AE29" s="56">
        <v>120.5</v>
      </c>
      <c r="AF29" s="56">
        <v>125.8</v>
      </c>
      <c r="AG29" s="59">
        <v>240</v>
      </c>
      <c r="AH29" s="52">
        <f t="shared" si="2"/>
        <v>144.6</v>
      </c>
      <c r="AI29" s="53">
        <f t="shared" si="3"/>
        <v>107.1</v>
      </c>
      <c r="AK29" s="54"/>
    </row>
    <row r="30" spans="1:88" ht="15.75" thickBot="1" x14ac:dyDescent="0.3">
      <c r="A30" s="68" t="s">
        <v>37</v>
      </c>
      <c r="B30" s="69">
        <f>SUM(B11:B28)</f>
        <v>511.79999999999995</v>
      </c>
      <c r="C30" s="69">
        <f t="shared" ref="C30:AF30" si="4">SUM(C11:C28)</f>
        <v>517.20000000000005</v>
      </c>
      <c r="D30" s="69">
        <f t="shared" si="4"/>
        <v>518.79999999999995</v>
      </c>
      <c r="E30" s="69">
        <f t="shared" si="4"/>
        <v>510.99999999999994</v>
      </c>
      <c r="F30" s="69">
        <f t="shared" si="4"/>
        <v>508.2</v>
      </c>
      <c r="G30" s="69">
        <f t="shared" si="4"/>
        <v>508.09999999999997</v>
      </c>
      <c r="H30" s="69">
        <f t="shared" si="4"/>
        <v>508.2</v>
      </c>
      <c r="I30" s="69">
        <f t="shared" si="4"/>
        <v>504.4</v>
      </c>
      <c r="J30" s="69">
        <f t="shared" si="4"/>
        <v>493.9</v>
      </c>
      <c r="K30" s="69">
        <f t="shared" si="4"/>
        <v>508.2</v>
      </c>
      <c r="L30" s="69">
        <f t="shared" si="4"/>
        <v>497.39999999999992</v>
      </c>
      <c r="M30" s="69">
        <f t="shared" si="4"/>
        <v>496.39999999999992</v>
      </c>
      <c r="N30" s="69">
        <f t="shared" si="4"/>
        <v>494.49999999999994</v>
      </c>
      <c r="O30" s="69">
        <f t="shared" si="4"/>
        <v>494.29999999999995</v>
      </c>
      <c r="P30" s="69">
        <f t="shared" si="4"/>
        <v>495.29999999999995</v>
      </c>
      <c r="Q30" s="69">
        <f t="shared" si="4"/>
        <v>495.59999999999997</v>
      </c>
      <c r="R30" s="69">
        <f t="shared" si="4"/>
        <v>500.2</v>
      </c>
      <c r="S30" s="69">
        <f t="shared" si="4"/>
        <v>498.99999999999994</v>
      </c>
      <c r="T30" s="69">
        <f t="shared" si="4"/>
        <v>500</v>
      </c>
      <c r="U30" s="69">
        <f t="shared" si="4"/>
        <v>503.59999999999997</v>
      </c>
      <c r="V30" s="69">
        <f>SUM(V11:V28)</f>
        <v>502.7</v>
      </c>
      <c r="W30" s="69">
        <f t="shared" si="4"/>
        <v>501.49999999999994</v>
      </c>
      <c r="X30" s="69">
        <f t="shared" si="4"/>
        <v>501.59999999999997</v>
      </c>
      <c r="Y30" s="69">
        <f t="shared" si="4"/>
        <v>501.79999999999995</v>
      </c>
      <c r="Z30" s="69">
        <f t="shared" si="4"/>
        <v>514.79999999999995</v>
      </c>
      <c r="AA30" s="69">
        <f t="shared" si="4"/>
        <v>515</v>
      </c>
      <c r="AB30" s="69">
        <f t="shared" si="4"/>
        <v>515</v>
      </c>
      <c r="AC30" s="69">
        <f t="shared" si="4"/>
        <v>515.20000000000005</v>
      </c>
      <c r="AD30" s="69">
        <f t="shared" si="4"/>
        <v>515.59999999999991</v>
      </c>
      <c r="AE30" s="69">
        <f t="shared" si="4"/>
        <v>515.5</v>
      </c>
      <c r="AF30" s="69">
        <f t="shared" si="4"/>
        <v>515.70000000000005</v>
      </c>
      <c r="AG30" s="59">
        <f>SUM(AG11:AG29)</f>
        <v>729.2</v>
      </c>
      <c r="AH30" s="52">
        <f t="shared" si="2"/>
        <v>518.79999999999995</v>
      </c>
      <c r="AI30" s="53">
        <f t="shared" si="3"/>
        <v>493.9</v>
      </c>
      <c r="AK30" s="54"/>
    </row>
    <row r="31" spans="1:88" x14ac:dyDescent="0.25">
      <c r="A31" s="55" t="s">
        <v>38</v>
      </c>
      <c r="B31" s="48">
        <v>97</v>
      </c>
      <c r="C31" s="56">
        <v>96.9</v>
      </c>
      <c r="D31" s="56">
        <v>96.9</v>
      </c>
      <c r="E31" s="56">
        <v>97</v>
      </c>
      <c r="F31" s="56">
        <v>64</v>
      </c>
      <c r="G31" s="56">
        <v>61.1</v>
      </c>
      <c r="H31" s="56">
        <v>80</v>
      </c>
      <c r="I31" s="56">
        <v>97</v>
      </c>
      <c r="J31" s="56">
        <v>97</v>
      </c>
      <c r="K31" s="56">
        <v>96.6</v>
      </c>
      <c r="L31" s="49">
        <v>97.1</v>
      </c>
      <c r="M31" s="49">
        <v>97.1</v>
      </c>
      <c r="N31" s="49">
        <v>97.5</v>
      </c>
      <c r="O31" s="49">
        <v>97</v>
      </c>
      <c r="P31" s="49">
        <v>97</v>
      </c>
      <c r="Q31" s="49">
        <v>71.400000000000006</v>
      </c>
      <c r="R31" s="49">
        <v>60.4</v>
      </c>
      <c r="S31" s="49">
        <v>80.900000000000006</v>
      </c>
      <c r="T31" s="49">
        <v>85.9</v>
      </c>
      <c r="U31" s="49">
        <v>91</v>
      </c>
      <c r="V31" s="49">
        <v>90.8</v>
      </c>
      <c r="W31" s="49">
        <v>96.8</v>
      </c>
      <c r="X31" s="49">
        <v>95.1</v>
      </c>
      <c r="Y31" s="49">
        <v>97</v>
      </c>
      <c r="Z31" s="49">
        <v>97.1</v>
      </c>
      <c r="AA31" s="48">
        <v>97</v>
      </c>
      <c r="AB31" s="48">
        <v>97</v>
      </c>
      <c r="AC31" s="48">
        <v>96.9</v>
      </c>
      <c r="AD31" s="48">
        <v>97</v>
      </c>
      <c r="AE31" s="48">
        <v>97</v>
      </c>
      <c r="AF31" s="48">
        <v>96.9</v>
      </c>
      <c r="AG31" s="57">
        <v>144</v>
      </c>
      <c r="AH31" s="52">
        <f t="shared" si="2"/>
        <v>97.5</v>
      </c>
      <c r="AI31" s="53">
        <f t="shared" si="3"/>
        <v>60.4</v>
      </c>
      <c r="AK31" s="54"/>
    </row>
    <row r="32" spans="1:88" x14ac:dyDescent="0.25">
      <c r="A32" s="58" t="s">
        <v>39</v>
      </c>
      <c r="B32" s="56">
        <v>70</v>
      </c>
      <c r="C32" s="56">
        <v>68</v>
      </c>
      <c r="D32" s="56">
        <v>65</v>
      </c>
      <c r="E32" s="56">
        <v>60.7</v>
      </c>
      <c r="F32" s="56">
        <v>46.7</v>
      </c>
      <c r="G32" s="56">
        <v>60</v>
      </c>
      <c r="H32" s="56">
        <v>70.3</v>
      </c>
      <c r="I32" s="56">
        <v>69.5</v>
      </c>
      <c r="J32" s="56">
        <v>69.599999999999994</v>
      </c>
      <c r="K32" s="56">
        <v>70.400000000000006</v>
      </c>
      <c r="L32" s="70">
        <v>70.2</v>
      </c>
      <c r="M32" s="70">
        <v>70.2</v>
      </c>
      <c r="N32" s="70">
        <v>70.2</v>
      </c>
      <c r="O32" s="70">
        <v>71</v>
      </c>
      <c r="P32" s="70">
        <v>72.099999999999994</v>
      </c>
      <c r="Q32" s="70">
        <v>50.3</v>
      </c>
      <c r="R32" s="70">
        <v>49.9</v>
      </c>
      <c r="S32" s="70">
        <v>53.5</v>
      </c>
      <c r="T32" s="70">
        <v>69.099999999999994</v>
      </c>
      <c r="U32" s="70">
        <v>69.599999999999994</v>
      </c>
      <c r="V32" s="70">
        <v>70.2</v>
      </c>
      <c r="W32" s="70">
        <v>69.900000000000006</v>
      </c>
      <c r="X32" s="70">
        <v>67.7</v>
      </c>
      <c r="Y32" s="70">
        <v>67.400000000000006</v>
      </c>
      <c r="Z32" s="70">
        <v>70.099999999999994</v>
      </c>
      <c r="AA32" s="56">
        <v>69.599999999999994</v>
      </c>
      <c r="AB32" s="56">
        <v>69.599999999999994</v>
      </c>
      <c r="AC32" s="56">
        <v>70.5</v>
      </c>
      <c r="AD32" s="56">
        <v>70.099999999999994</v>
      </c>
      <c r="AE32" s="56">
        <v>70.8</v>
      </c>
      <c r="AF32" s="56">
        <v>69.2</v>
      </c>
      <c r="AG32" s="59">
        <v>70</v>
      </c>
      <c r="AH32" s="52">
        <f t="shared" si="2"/>
        <v>72.099999999999994</v>
      </c>
      <c r="AI32" s="53">
        <f t="shared" si="3"/>
        <v>46.7</v>
      </c>
      <c r="AK32" s="54"/>
    </row>
    <row r="33" spans="1:41" x14ac:dyDescent="0.25">
      <c r="A33" s="58" t="s">
        <v>40</v>
      </c>
      <c r="B33" s="56">
        <v>62</v>
      </c>
      <c r="C33" s="56">
        <v>62</v>
      </c>
      <c r="D33" s="56">
        <v>60</v>
      </c>
      <c r="E33" s="56">
        <v>63.3</v>
      </c>
      <c r="F33" s="56">
        <v>49</v>
      </c>
      <c r="G33" s="56">
        <v>62</v>
      </c>
      <c r="H33" s="56">
        <v>64</v>
      </c>
      <c r="I33" s="56">
        <v>63.6</v>
      </c>
      <c r="J33" s="56">
        <v>60.6</v>
      </c>
      <c r="K33" s="56">
        <v>62</v>
      </c>
      <c r="L33" s="70">
        <v>61.6</v>
      </c>
      <c r="M33" s="70">
        <v>61.6</v>
      </c>
      <c r="N33" s="70">
        <v>62.7</v>
      </c>
      <c r="O33" s="70">
        <v>61.1</v>
      </c>
      <c r="P33" s="70">
        <v>62.5</v>
      </c>
      <c r="Q33" s="70">
        <v>54.4</v>
      </c>
      <c r="R33" s="70">
        <v>60.5</v>
      </c>
      <c r="S33" s="70">
        <v>61.4</v>
      </c>
      <c r="T33" s="70">
        <v>45.9</v>
      </c>
      <c r="U33" s="70">
        <v>45.8</v>
      </c>
      <c r="V33" s="70">
        <v>47.3</v>
      </c>
      <c r="W33" s="70">
        <v>45.9</v>
      </c>
      <c r="X33" s="70">
        <v>47.1</v>
      </c>
      <c r="Y33" s="70">
        <v>61.4</v>
      </c>
      <c r="Z33" s="70">
        <v>63.4</v>
      </c>
      <c r="AA33" s="56">
        <v>63.1</v>
      </c>
      <c r="AB33" s="56">
        <v>63.5</v>
      </c>
      <c r="AC33" s="56">
        <v>63.2</v>
      </c>
      <c r="AD33" s="56">
        <v>62.7</v>
      </c>
      <c r="AE33" s="56">
        <v>62.7</v>
      </c>
      <c r="AF33" s="56">
        <v>60.7</v>
      </c>
      <c r="AG33" s="59">
        <v>69</v>
      </c>
      <c r="AH33" s="52">
        <f t="shared" si="2"/>
        <v>64</v>
      </c>
      <c r="AI33" s="53">
        <f t="shared" si="3"/>
        <v>45.8</v>
      </c>
      <c r="AK33" s="54"/>
    </row>
    <row r="34" spans="1:41" x14ac:dyDescent="0.25">
      <c r="A34" s="58" t="s">
        <v>41</v>
      </c>
      <c r="B34" s="56">
        <v>29.5</v>
      </c>
      <c r="C34" s="56">
        <v>29.6</v>
      </c>
      <c r="D34" s="56">
        <v>29.3</v>
      </c>
      <c r="E34" s="56">
        <v>29.3</v>
      </c>
      <c r="F34" s="56">
        <v>29.3</v>
      </c>
      <c r="G34" s="56">
        <v>29.3</v>
      </c>
      <c r="H34" s="56">
        <v>29.3</v>
      </c>
      <c r="I34" s="56">
        <v>29.5</v>
      </c>
      <c r="J34" s="56">
        <v>29.3</v>
      </c>
      <c r="K34" s="56">
        <v>29.5</v>
      </c>
      <c r="L34" s="70">
        <v>29.5</v>
      </c>
      <c r="M34" s="70">
        <v>29.5</v>
      </c>
      <c r="N34" s="70">
        <v>29.5</v>
      </c>
      <c r="O34" s="70">
        <v>29.7</v>
      </c>
      <c r="P34" s="70">
        <v>29.5</v>
      </c>
      <c r="Q34" s="70">
        <v>29.5</v>
      </c>
      <c r="R34" s="70">
        <v>29.5</v>
      </c>
      <c r="S34" s="70">
        <v>29.5</v>
      </c>
      <c r="T34" s="70">
        <v>29.2</v>
      </c>
      <c r="U34" s="70">
        <v>29.7</v>
      </c>
      <c r="V34" s="70">
        <v>29.7</v>
      </c>
      <c r="W34" s="70">
        <v>29.7</v>
      </c>
      <c r="X34" s="70">
        <v>29.5</v>
      </c>
      <c r="Y34" s="70">
        <v>29.7</v>
      </c>
      <c r="Z34" s="70">
        <v>29.5</v>
      </c>
      <c r="AA34" s="56">
        <v>29.7</v>
      </c>
      <c r="AB34" s="56">
        <v>29.7</v>
      </c>
      <c r="AC34" s="56">
        <v>29.7</v>
      </c>
      <c r="AD34" s="56">
        <v>29.7</v>
      </c>
      <c r="AE34" s="56">
        <v>29.7</v>
      </c>
      <c r="AF34" s="56">
        <v>29.7</v>
      </c>
      <c r="AG34" s="59">
        <v>60</v>
      </c>
      <c r="AH34" s="52">
        <f t="shared" si="2"/>
        <v>29.7</v>
      </c>
      <c r="AI34" s="53">
        <f t="shared" si="3"/>
        <v>29.2</v>
      </c>
      <c r="AK34" s="54"/>
    </row>
    <row r="35" spans="1:41" x14ac:dyDescent="0.25">
      <c r="A35" s="58" t="s">
        <v>42</v>
      </c>
      <c r="B35" s="56">
        <v>30</v>
      </c>
      <c r="C35" s="56">
        <v>30</v>
      </c>
      <c r="D35" s="56">
        <v>30</v>
      </c>
      <c r="E35" s="56">
        <v>30</v>
      </c>
      <c r="F35" s="56">
        <v>30</v>
      </c>
      <c r="G35" s="56">
        <v>20</v>
      </c>
      <c r="H35" s="56">
        <v>20</v>
      </c>
      <c r="I35" s="56">
        <v>20</v>
      </c>
      <c r="J35" s="56">
        <v>20</v>
      </c>
      <c r="K35" s="56">
        <v>23</v>
      </c>
      <c r="L35" s="49">
        <v>0</v>
      </c>
      <c r="M35" s="49">
        <v>20</v>
      </c>
      <c r="N35" s="49">
        <v>20</v>
      </c>
      <c r="O35" s="49">
        <v>20</v>
      </c>
      <c r="P35" s="49">
        <v>20</v>
      </c>
      <c r="Q35" s="49">
        <v>20.100000000000001</v>
      </c>
      <c r="R35" s="49">
        <v>29.8</v>
      </c>
      <c r="S35" s="49">
        <v>29.7</v>
      </c>
      <c r="T35" s="49">
        <v>24.8</v>
      </c>
      <c r="U35" s="49">
        <v>20</v>
      </c>
      <c r="V35" s="70">
        <v>21.1</v>
      </c>
      <c r="W35" s="70">
        <v>27.4</v>
      </c>
      <c r="X35" s="70">
        <v>20.5</v>
      </c>
      <c r="Y35" s="70">
        <v>27</v>
      </c>
      <c r="Z35" s="70">
        <v>27</v>
      </c>
      <c r="AA35" s="56">
        <v>29.9</v>
      </c>
      <c r="AB35" s="56">
        <v>30</v>
      </c>
      <c r="AC35" s="56">
        <v>30</v>
      </c>
      <c r="AD35" s="56">
        <v>29.9</v>
      </c>
      <c r="AE35" s="56">
        <v>30</v>
      </c>
      <c r="AF35" s="56">
        <v>30</v>
      </c>
      <c r="AG35" s="59">
        <v>30</v>
      </c>
      <c r="AH35" s="52">
        <f t="shared" si="2"/>
        <v>30</v>
      </c>
      <c r="AI35" s="53">
        <f t="shared" si="3"/>
        <v>0</v>
      </c>
      <c r="AK35" s="54"/>
    </row>
    <row r="36" spans="1:41" x14ac:dyDescent="0.25">
      <c r="A36" s="58" t="s">
        <v>43</v>
      </c>
      <c r="B36" s="56">
        <v>16.3</v>
      </c>
      <c r="C36" s="71">
        <v>16.5</v>
      </c>
      <c r="D36" s="71">
        <v>16.5</v>
      </c>
      <c r="E36" s="71">
        <v>16.5</v>
      </c>
      <c r="F36" s="71">
        <v>16.5</v>
      </c>
      <c r="G36" s="71">
        <v>16.5</v>
      </c>
      <c r="H36" s="71">
        <v>16.5</v>
      </c>
      <c r="I36" s="71">
        <v>16.5</v>
      </c>
      <c r="J36" s="71">
        <v>16.2</v>
      </c>
      <c r="K36" s="71">
        <v>16.2</v>
      </c>
      <c r="L36" s="49">
        <v>16.100000000000001</v>
      </c>
      <c r="M36" s="49">
        <v>16.100000000000001</v>
      </c>
      <c r="N36" s="49">
        <v>16.399999999999999</v>
      </c>
      <c r="O36" s="49">
        <v>16.7</v>
      </c>
      <c r="P36" s="49">
        <v>16.7</v>
      </c>
      <c r="Q36" s="49">
        <v>14.3</v>
      </c>
      <c r="R36" s="49">
        <v>14.2</v>
      </c>
      <c r="S36" s="49">
        <v>14.1</v>
      </c>
      <c r="T36" s="49">
        <v>15.7</v>
      </c>
      <c r="U36" s="49">
        <v>16.399999999999999</v>
      </c>
      <c r="V36" s="49">
        <v>16.3</v>
      </c>
      <c r="W36" s="49">
        <v>16.399999999999999</v>
      </c>
      <c r="X36" s="49">
        <v>16.600000000000001</v>
      </c>
      <c r="Y36" s="49">
        <v>16.600000000000001</v>
      </c>
      <c r="Z36" s="49">
        <v>16.7</v>
      </c>
      <c r="AA36" s="56">
        <v>16.600000000000001</v>
      </c>
      <c r="AB36" s="56">
        <v>16.600000000000001</v>
      </c>
      <c r="AC36" s="56">
        <v>16.7</v>
      </c>
      <c r="AD36" s="56">
        <v>16.7</v>
      </c>
      <c r="AE36" s="56">
        <v>16.7</v>
      </c>
      <c r="AF36" s="56">
        <v>16.7</v>
      </c>
      <c r="AG36" s="59">
        <v>24</v>
      </c>
      <c r="AH36" s="52">
        <f t="shared" si="2"/>
        <v>16.7</v>
      </c>
      <c r="AI36" s="53">
        <f t="shared" si="3"/>
        <v>14.1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13</v>
      </c>
      <c r="C38" s="56">
        <v>13</v>
      </c>
      <c r="D38" s="56">
        <v>13</v>
      </c>
      <c r="E38" s="56">
        <v>13</v>
      </c>
      <c r="F38" s="56">
        <v>13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49">
        <v>13</v>
      </c>
      <c r="M38" s="49">
        <v>13</v>
      </c>
      <c r="N38" s="49">
        <v>13</v>
      </c>
      <c r="O38" s="49">
        <v>13</v>
      </c>
      <c r="P38" s="49">
        <v>13</v>
      </c>
      <c r="Q38" s="49">
        <v>13</v>
      </c>
      <c r="R38" s="49">
        <v>13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49">
        <v>10</v>
      </c>
      <c r="AD38" s="49">
        <v>10</v>
      </c>
      <c r="AE38" s="49">
        <v>10</v>
      </c>
      <c r="AF38" s="49">
        <v>10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12</v>
      </c>
      <c r="C39" s="56">
        <v>13</v>
      </c>
      <c r="D39" s="56">
        <v>13</v>
      </c>
      <c r="E39" s="56">
        <v>13</v>
      </c>
      <c r="F39" s="56">
        <v>13</v>
      </c>
      <c r="G39" s="56">
        <v>13</v>
      </c>
      <c r="H39" s="56">
        <v>13</v>
      </c>
      <c r="I39" s="56">
        <v>13</v>
      </c>
      <c r="J39" s="56">
        <v>13</v>
      </c>
      <c r="K39" s="56">
        <v>13</v>
      </c>
      <c r="L39" s="49">
        <v>13</v>
      </c>
      <c r="M39" s="49">
        <v>13</v>
      </c>
      <c r="N39" s="49">
        <v>13</v>
      </c>
      <c r="O39" s="49">
        <v>13</v>
      </c>
      <c r="P39" s="49">
        <v>13</v>
      </c>
      <c r="Q39" s="49">
        <v>13</v>
      </c>
      <c r="R39" s="49">
        <v>13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49">
        <v>12</v>
      </c>
      <c r="AA39" s="49">
        <v>12</v>
      </c>
      <c r="AB39" s="49">
        <v>12</v>
      </c>
      <c r="AC39" s="49">
        <v>12</v>
      </c>
      <c r="AD39" s="49">
        <v>12</v>
      </c>
      <c r="AE39" s="49">
        <v>12</v>
      </c>
      <c r="AF39" s="49">
        <v>12</v>
      </c>
      <c r="AG39" s="59">
        <v>14</v>
      </c>
      <c r="AH39" s="52">
        <f t="shared" si="2"/>
        <v>13</v>
      </c>
      <c r="AI39" s="53">
        <f t="shared" si="3"/>
        <v>12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6.4</v>
      </c>
      <c r="C40" s="56">
        <v>8.4</v>
      </c>
      <c r="D40" s="56">
        <v>8.4</v>
      </c>
      <c r="E40" s="56">
        <v>8.4</v>
      </c>
      <c r="F40" s="56">
        <v>8.4</v>
      </c>
      <c r="G40" s="56">
        <v>8.4</v>
      </c>
      <c r="H40" s="56">
        <v>8.4</v>
      </c>
      <c r="I40" s="56">
        <v>8.4</v>
      </c>
      <c r="J40" s="56">
        <v>8.4</v>
      </c>
      <c r="K40" s="56">
        <v>8.4</v>
      </c>
      <c r="L40" s="49">
        <v>8.4</v>
      </c>
      <c r="M40" s="49">
        <v>8.4</v>
      </c>
      <c r="N40" s="49">
        <v>9.6</v>
      </c>
      <c r="O40" s="49">
        <v>9.6</v>
      </c>
      <c r="P40" s="49">
        <v>9.5</v>
      </c>
      <c r="Q40" s="49">
        <v>9.5</v>
      </c>
      <c r="R40" s="49">
        <v>9.5</v>
      </c>
      <c r="S40" s="49">
        <v>8.8000000000000007</v>
      </c>
      <c r="T40" s="49">
        <v>9</v>
      </c>
      <c r="U40" s="49">
        <v>9.1999999999999993</v>
      </c>
      <c r="V40" s="49">
        <v>9.1</v>
      </c>
      <c r="W40" s="49">
        <v>8.3000000000000007</v>
      </c>
      <c r="X40" s="49">
        <v>8.6999999999999993</v>
      </c>
      <c r="Y40" s="49">
        <v>8.6999999999999993</v>
      </c>
      <c r="Z40" s="49">
        <v>8.6999999999999993</v>
      </c>
      <c r="AA40" s="49">
        <v>8.6999999999999993</v>
      </c>
      <c r="AB40" s="49">
        <v>8.6999999999999993</v>
      </c>
      <c r="AC40" s="49">
        <v>8.6999999999999993</v>
      </c>
      <c r="AD40" s="49">
        <v>8.6999999999999993</v>
      </c>
      <c r="AE40" s="49">
        <v>8.6999999999999993</v>
      </c>
      <c r="AF40" s="49">
        <v>8.6999999999999993</v>
      </c>
      <c r="AG40" s="59">
        <v>10.050000000000001</v>
      </c>
      <c r="AH40" s="52">
        <f t="shared" si="2"/>
        <v>9.6</v>
      </c>
      <c r="AI40" s="53">
        <f t="shared" si="3"/>
        <v>6.4</v>
      </c>
      <c r="AK40" s="54"/>
    </row>
    <row r="41" spans="1:41" x14ac:dyDescent="0.25">
      <c r="A41" s="58" t="s">
        <v>48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49">
        <v>2</v>
      </c>
      <c r="AE41" s="49">
        <v>2</v>
      </c>
      <c r="AF41" s="49">
        <v>2</v>
      </c>
      <c r="AG41" s="59">
        <v>6.2</v>
      </c>
      <c r="AH41" s="52">
        <f t="shared" si="2"/>
        <v>2</v>
      </c>
      <c r="AI41" s="53">
        <f t="shared" si="3"/>
        <v>0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339.74</v>
      </c>
      <c r="C43" s="69">
        <f t="shared" ref="C43:AF43" si="6">SUM(C31:C42)</f>
        <v>340.94</v>
      </c>
      <c r="D43" s="69">
        <f t="shared" si="6"/>
        <v>335.64000000000004</v>
      </c>
      <c r="E43" s="69">
        <f t="shared" si="6"/>
        <v>334.74</v>
      </c>
      <c r="F43" s="69">
        <f t="shared" si="6"/>
        <v>273.44</v>
      </c>
      <c r="G43" s="69">
        <f t="shared" si="6"/>
        <v>286.83999999999997</v>
      </c>
      <c r="H43" s="69">
        <f t="shared" si="6"/>
        <v>318.04000000000002</v>
      </c>
      <c r="I43" s="69">
        <f t="shared" si="6"/>
        <v>334.04</v>
      </c>
      <c r="J43" s="69">
        <f t="shared" si="6"/>
        <v>330.64</v>
      </c>
      <c r="K43" s="69">
        <f t="shared" si="6"/>
        <v>335.64</v>
      </c>
      <c r="L43" s="69">
        <f t="shared" si="6"/>
        <v>312.44</v>
      </c>
      <c r="M43" s="69">
        <f t="shared" si="6"/>
        <v>332.44</v>
      </c>
      <c r="N43" s="69">
        <f t="shared" si="6"/>
        <v>335.44</v>
      </c>
      <c r="O43" s="69">
        <f t="shared" si="6"/>
        <v>334.64000000000004</v>
      </c>
      <c r="P43" s="69">
        <f t="shared" si="6"/>
        <v>336.84000000000003</v>
      </c>
      <c r="Q43" s="69">
        <f t="shared" si="6"/>
        <v>279.04000000000002</v>
      </c>
      <c r="R43" s="69">
        <f t="shared" si="6"/>
        <v>283.34000000000003</v>
      </c>
      <c r="S43" s="69">
        <f t="shared" si="6"/>
        <v>303.44000000000005</v>
      </c>
      <c r="T43" s="69">
        <f t="shared" si="6"/>
        <v>305.14000000000004</v>
      </c>
      <c r="U43" s="69">
        <f t="shared" si="6"/>
        <v>307.23999999999995</v>
      </c>
      <c r="V43" s="69">
        <f t="shared" si="6"/>
        <v>310.04000000000008</v>
      </c>
      <c r="W43" s="69">
        <f t="shared" si="6"/>
        <v>319.94</v>
      </c>
      <c r="X43" s="69">
        <f t="shared" si="6"/>
        <v>310.74</v>
      </c>
      <c r="Y43" s="69">
        <f t="shared" si="6"/>
        <v>333.34000000000003</v>
      </c>
      <c r="Z43" s="69">
        <f t="shared" si="6"/>
        <v>338.04</v>
      </c>
      <c r="AA43" s="69">
        <f t="shared" si="6"/>
        <v>340.14</v>
      </c>
      <c r="AB43" s="69">
        <f t="shared" si="6"/>
        <v>340.64000000000004</v>
      </c>
      <c r="AC43" s="69">
        <f t="shared" si="6"/>
        <v>341.24</v>
      </c>
      <c r="AD43" s="69">
        <f t="shared" si="6"/>
        <v>342.34</v>
      </c>
      <c r="AE43" s="69">
        <f t="shared" si="6"/>
        <v>343.14</v>
      </c>
      <c r="AF43" s="69">
        <f t="shared" si="6"/>
        <v>339.44</v>
      </c>
      <c r="AG43" s="74">
        <f>SUM(AG31:AG42)</f>
        <v>464.91</v>
      </c>
      <c r="AH43" s="52">
        <f t="shared" si="2"/>
        <v>343.14</v>
      </c>
      <c r="AI43" s="53">
        <f t="shared" si="3"/>
        <v>273.44</v>
      </c>
      <c r="AK43" s="54"/>
    </row>
    <row r="44" spans="1:41" x14ac:dyDescent="0.25">
      <c r="A44" s="55" t="s">
        <v>51</v>
      </c>
      <c r="B44" s="49">
        <v>0</v>
      </c>
      <c r="C44" s="49">
        <v>0</v>
      </c>
      <c r="D44" s="49">
        <v>0</v>
      </c>
      <c r="E44" s="49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49">
        <v>0</v>
      </c>
      <c r="R44" s="49">
        <v>0</v>
      </c>
      <c r="S44" s="49">
        <v>30.8</v>
      </c>
      <c r="T44" s="49">
        <v>25.1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29.7</v>
      </c>
      <c r="AA44" s="49">
        <v>29.4</v>
      </c>
      <c r="AB44" s="49">
        <v>13.5</v>
      </c>
      <c r="AC44" s="49">
        <v>0</v>
      </c>
      <c r="AD44" s="49">
        <v>0</v>
      </c>
      <c r="AE44" s="49">
        <v>0</v>
      </c>
      <c r="AF44" s="49">
        <v>0</v>
      </c>
      <c r="AG44" s="57">
        <v>60</v>
      </c>
      <c r="AH44" s="52">
        <f t="shared" si="2"/>
        <v>30.8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0</v>
      </c>
      <c r="C45" s="70">
        <v>0</v>
      </c>
      <c r="D45" s="70">
        <v>0</v>
      </c>
      <c r="E45" s="70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0">
        <v>0</v>
      </c>
      <c r="R45" s="70">
        <v>0</v>
      </c>
      <c r="S45" s="49">
        <v>15.4</v>
      </c>
      <c r="T45" s="49">
        <v>13.4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14.1</v>
      </c>
      <c r="AA45" s="70">
        <v>14.2</v>
      </c>
      <c r="AB45" s="70">
        <v>8.1</v>
      </c>
      <c r="AC45" s="70">
        <v>0</v>
      </c>
      <c r="AD45" s="70">
        <v>0</v>
      </c>
      <c r="AE45" s="70">
        <v>0</v>
      </c>
      <c r="AF45" s="70">
        <v>0</v>
      </c>
      <c r="AG45" s="59">
        <v>32</v>
      </c>
      <c r="AH45" s="52">
        <f t="shared" si="2"/>
        <v>15.4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0</v>
      </c>
      <c r="C46" s="77">
        <v>0</v>
      </c>
      <c r="D46" s="77">
        <v>0</v>
      </c>
      <c r="E46" s="77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5">
        <v>0</v>
      </c>
      <c r="M46" s="75">
        <v>0</v>
      </c>
      <c r="N46" s="75">
        <v>0</v>
      </c>
      <c r="O46" s="76">
        <v>0</v>
      </c>
      <c r="P46" s="76">
        <v>0</v>
      </c>
      <c r="Q46" s="77">
        <v>0</v>
      </c>
      <c r="R46" s="77">
        <v>0</v>
      </c>
      <c r="S46" s="49">
        <v>5.6</v>
      </c>
      <c r="T46" s="49">
        <v>4.9000000000000004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5.2</v>
      </c>
      <c r="AA46" s="77">
        <v>5.2</v>
      </c>
      <c r="AB46" s="77">
        <v>3</v>
      </c>
      <c r="AC46" s="77">
        <v>0</v>
      </c>
      <c r="AD46" s="77">
        <v>0</v>
      </c>
      <c r="AE46" s="77">
        <v>0</v>
      </c>
      <c r="AF46" s="77">
        <v>0</v>
      </c>
      <c r="AG46" s="78">
        <v>14</v>
      </c>
      <c r="AH46" s="52">
        <f t="shared" si="2"/>
        <v>5.6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51.800000000000004</v>
      </c>
      <c r="T47" s="69">
        <f t="shared" si="7"/>
        <v>43.4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49</v>
      </c>
      <c r="AA47" s="69">
        <f t="shared" si="7"/>
        <v>48.8</v>
      </c>
      <c r="AB47" s="69">
        <f t="shared" si="7"/>
        <v>24.6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51.800000000000004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53</v>
      </c>
      <c r="C48" s="49">
        <v>52.6</v>
      </c>
      <c r="D48" s="49">
        <v>50</v>
      </c>
      <c r="E48" s="49">
        <v>50.3</v>
      </c>
      <c r="F48" s="49">
        <v>46</v>
      </c>
      <c r="G48" s="49">
        <v>35</v>
      </c>
      <c r="H48" s="49">
        <v>30</v>
      </c>
      <c r="I48" s="49">
        <v>18</v>
      </c>
      <c r="J48" s="49">
        <v>24</v>
      </c>
      <c r="K48" s="49">
        <v>-22</v>
      </c>
      <c r="L48" s="49">
        <v>35.299999999999997</v>
      </c>
      <c r="M48" s="49">
        <v>25</v>
      </c>
      <c r="N48" s="49">
        <v>35.700000000000003</v>
      </c>
      <c r="O48" s="49">
        <v>25</v>
      </c>
      <c r="P48" s="49">
        <v>26.6</v>
      </c>
      <c r="Q48" s="49">
        <v>34.6</v>
      </c>
      <c r="R48" s="49">
        <v>49.3</v>
      </c>
      <c r="S48" s="49">
        <v>37.200000000000003</v>
      </c>
      <c r="T48" s="49">
        <v>41.7</v>
      </c>
      <c r="U48" s="49">
        <v>41</v>
      </c>
      <c r="V48" s="49">
        <v>40.1</v>
      </c>
      <c r="W48" s="49">
        <v>38.4</v>
      </c>
      <c r="X48" s="49">
        <v>43.3</v>
      </c>
      <c r="Y48" s="49">
        <v>36.4</v>
      </c>
      <c r="Z48" s="49">
        <v>30.8</v>
      </c>
      <c r="AA48" s="49">
        <v>71.400000000000006</v>
      </c>
      <c r="AB48" s="49">
        <v>71</v>
      </c>
      <c r="AC48" s="49">
        <v>70.760000000000005</v>
      </c>
      <c r="AD48" s="49">
        <v>61.4</v>
      </c>
      <c r="AE48" s="49">
        <v>41</v>
      </c>
      <c r="AF48" s="49">
        <v>36.51</v>
      </c>
      <c r="AG48" s="57"/>
      <c r="AH48" s="52">
        <f t="shared" si="2"/>
        <v>71.400000000000006</v>
      </c>
      <c r="AI48" s="53">
        <f t="shared" si="3"/>
        <v>-22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31.5</v>
      </c>
      <c r="L49" s="49">
        <v>26.9</v>
      </c>
      <c r="M49" s="49">
        <v>0</v>
      </c>
      <c r="N49" s="49">
        <v>0</v>
      </c>
      <c r="O49" s="49">
        <v>36.9</v>
      </c>
      <c r="P49" s="49">
        <v>39.700000000000003</v>
      </c>
      <c r="Q49" s="49">
        <v>37.1</v>
      </c>
      <c r="R49" s="49">
        <v>43.2</v>
      </c>
      <c r="S49" s="49">
        <v>0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0</v>
      </c>
      <c r="AG49" s="59"/>
      <c r="AH49" s="52">
        <f t="shared" si="2"/>
        <v>43.2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15</v>
      </c>
      <c r="C50" s="70">
        <v>-10</v>
      </c>
      <c r="D50" s="70">
        <v>-40</v>
      </c>
      <c r="E50" s="70">
        <v>-32</v>
      </c>
      <c r="F50" s="70">
        <v>-34</v>
      </c>
      <c r="G50" s="49">
        <v>-24</v>
      </c>
      <c r="H50" s="49">
        <v>-15</v>
      </c>
      <c r="I50" s="49">
        <v>6</v>
      </c>
      <c r="J50" s="49">
        <v>35</v>
      </c>
      <c r="K50" s="49">
        <v>35</v>
      </c>
      <c r="L50" s="70">
        <v>34</v>
      </c>
      <c r="M50" s="70">
        <v>102</v>
      </c>
      <c r="N50" s="70">
        <v>122</v>
      </c>
      <c r="O50" s="70">
        <v>75</v>
      </c>
      <c r="P50" s="70">
        <v>82</v>
      </c>
      <c r="Q50" s="70">
        <v>74</v>
      </c>
      <c r="R50" s="70">
        <v>113</v>
      </c>
      <c r="S50" s="70">
        <v>83</v>
      </c>
      <c r="T50" s="70">
        <v>91</v>
      </c>
      <c r="U50" s="80">
        <v>79</v>
      </c>
      <c r="V50" s="80">
        <v>60</v>
      </c>
      <c r="W50" s="80">
        <v>68</v>
      </c>
      <c r="X50" s="80">
        <v>96</v>
      </c>
      <c r="Y50" s="80">
        <v>150</v>
      </c>
      <c r="Z50" s="80">
        <v>201.4</v>
      </c>
      <c r="AA50" s="70">
        <v>186</v>
      </c>
      <c r="AB50" s="70">
        <v>140</v>
      </c>
      <c r="AC50" s="70">
        <v>81</v>
      </c>
      <c r="AD50" s="70">
        <v>66</v>
      </c>
      <c r="AE50" s="70">
        <v>35</v>
      </c>
      <c r="AF50" s="70">
        <v>14</v>
      </c>
      <c r="AG50" s="81"/>
      <c r="AH50" s="52">
        <f t="shared" si="2"/>
        <v>201.4</v>
      </c>
      <c r="AI50" s="53">
        <f t="shared" si="3"/>
        <v>-40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39.299999999999997</v>
      </c>
      <c r="M52" s="70">
        <v>0</v>
      </c>
      <c r="N52" s="70">
        <v>0</v>
      </c>
      <c r="O52" s="49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39.299999999999997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70">
        <v>0</v>
      </c>
      <c r="AD57" s="70">
        <v>0</v>
      </c>
      <c r="AE57" s="70">
        <v>0</v>
      </c>
      <c r="AF57" s="70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49">
        <v>0</v>
      </c>
      <c r="J58" s="49">
        <v>0</v>
      </c>
      <c r="K58" s="49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68</v>
      </c>
      <c r="C59" s="69">
        <f t="shared" ref="C59:AF59" si="8">SUM(C48:C58)</f>
        <v>42.6</v>
      </c>
      <c r="D59" s="69">
        <f t="shared" si="8"/>
        <v>10</v>
      </c>
      <c r="E59" s="69">
        <f t="shared" si="8"/>
        <v>18.299999999999997</v>
      </c>
      <c r="F59" s="69">
        <f t="shared" si="8"/>
        <v>12</v>
      </c>
      <c r="G59" s="69">
        <f t="shared" si="8"/>
        <v>11</v>
      </c>
      <c r="H59" s="69">
        <f t="shared" si="8"/>
        <v>15</v>
      </c>
      <c r="I59" s="69">
        <f t="shared" si="8"/>
        <v>24</v>
      </c>
      <c r="J59" s="69">
        <f t="shared" si="8"/>
        <v>59</v>
      </c>
      <c r="K59" s="69">
        <f t="shared" si="8"/>
        <v>44.5</v>
      </c>
      <c r="L59" s="69">
        <f t="shared" si="8"/>
        <v>135.5</v>
      </c>
      <c r="M59" s="69">
        <f t="shared" si="8"/>
        <v>127</v>
      </c>
      <c r="N59" s="69">
        <f t="shared" si="8"/>
        <v>157.69999999999999</v>
      </c>
      <c r="O59" s="69">
        <f t="shared" si="8"/>
        <v>136.9</v>
      </c>
      <c r="P59" s="69">
        <f t="shared" si="8"/>
        <v>148.30000000000001</v>
      </c>
      <c r="Q59" s="69">
        <f t="shared" si="8"/>
        <v>145.69999999999999</v>
      </c>
      <c r="R59" s="69">
        <f t="shared" si="8"/>
        <v>205.5</v>
      </c>
      <c r="S59" s="69">
        <f t="shared" si="8"/>
        <v>120.2</v>
      </c>
      <c r="T59" s="69">
        <f t="shared" si="8"/>
        <v>132.69999999999999</v>
      </c>
      <c r="U59" s="69">
        <f t="shared" si="8"/>
        <v>120</v>
      </c>
      <c r="V59" s="69">
        <f t="shared" si="8"/>
        <v>100.1</v>
      </c>
      <c r="W59" s="69">
        <f t="shared" si="8"/>
        <v>106.4</v>
      </c>
      <c r="X59" s="69">
        <f t="shared" si="8"/>
        <v>139.30000000000001</v>
      </c>
      <c r="Y59" s="69">
        <f t="shared" si="8"/>
        <v>186.4</v>
      </c>
      <c r="Z59" s="69">
        <f t="shared" si="8"/>
        <v>232.20000000000002</v>
      </c>
      <c r="AA59" s="69">
        <f t="shared" si="8"/>
        <v>257.39999999999998</v>
      </c>
      <c r="AB59" s="69">
        <f t="shared" si="8"/>
        <v>211</v>
      </c>
      <c r="AC59" s="69">
        <f t="shared" si="8"/>
        <v>151.76</v>
      </c>
      <c r="AD59" s="69">
        <f t="shared" si="8"/>
        <v>127.4</v>
      </c>
      <c r="AE59" s="69">
        <f t="shared" si="8"/>
        <v>76</v>
      </c>
      <c r="AF59" s="69">
        <f t="shared" si="8"/>
        <v>50.51</v>
      </c>
      <c r="AG59" s="74">
        <f>SUM(AG48:AG58)</f>
        <v>0</v>
      </c>
      <c r="AH59" s="52">
        <f t="shared" si="2"/>
        <v>257.39999999999998</v>
      </c>
      <c r="AI59" s="53">
        <f t="shared" si="3"/>
        <v>10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>
        <v>50</v>
      </c>
      <c r="G64" s="89">
        <v>25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50</v>
      </c>
      <c r="AI64" s="53">
        <f t="shared" si="3"/>
        <v>25</v>
      </c>
    </row>
    <row r="65" spans="1:35" ht="15.75" thickBot="1" x14ac:dyDescent="0.3">
      <c r="A65" s="90" t="s">
        <v>72</v>
      </c>
      <c r="B65" s="91">
        <f>B63+B59+B47+B43+B30+B64</f>
        <v>919.54</v>
      </c>
      <c r="C65" s="91">
        <f t="shared" ref="C65:AF65" si="10">C63+C59+C47+C43+C30+C64</f>
        <v>900.74</v>
      </c>
      <c r="D65" s="91">
        <f t="shared" si="10"/>
        <v>864.44</v>
      </c>
      <c r="E65" s="91">
        <f t="shared" si="10"/>
        <v>864.04</v>
      </c>
      <c r="F65" s="91">
        <f t="shared" si="10"/>
        <v>843.64</v>
      </c>
      <c r="G65" s="91">
        <f t="shared" si="10"/>
        <v>830.93999999999994</v>
      </c>
      <c r="H65" s="91">
        <f t="shared" si="10"/>
        <v>841.24</v>
      </c>
      <c r="I65" s="91">
        <f t="shared" si="10"/>
        <v>862.44</v>
      </c>
      <c r="J65" s="91">
        <f t="shared" si="10"/>
        <v>883.54</v>
      </c>
      <c r="K65" s="91">
        <f t="shared" si="10"/>
        <v>888.33999999999992</v>
      </c>
      <c r="L65" s="91">
        <f t="shared" si="10"/>
        <v>945.33999999999992</v>
      </c>
      <c r="M65" s="91">
        <f t="shared" si="10"/>
        <v>955.83999999999992</v>
      </c>
      <c r="N65" s="91">
        <f t="shared" si="10"/>
        <v>987.63999999999987</v>
      </c>
      <c r="O65" s="91">
        <f t="shared" si="10"/>
        <v>965.84</v>
      </c>
      <c r="P65" s="91">
        <f t="shared" si="10"/>
        <v>980.44</v>
      </c>
      <c r="Q65" s="91">
        <f t="shared" si="10"/>
        <v>920.33999999999992</v>
      </c>
      <c r="R65" s="91">
        <f t="shared" si="10"/>
        <v>989.04</v>
      </c>
      <c r="S65" s="91">
        <f t="shared" si="10"/>
        <v>974.44</v>
      </c>
      <c r="T65" s="91">
        <f t="shared" si="10"/>
        <v>981.24</v>
      </c>
      <c r="U65" s="91">
        <f t="shared" si="10"/>
        <v>930.83999999999992</v>
      </c>
      <c r="V65" s="91">
        <f t="shared" si="10"/>
        <v>912.84000000000015</v>
      </c>
      <c r="W65" s="91">
        <f t="shared" si="10"/>
        <v>927.83999999999992</v>
      </c>
      <c r="X65" s="91">
        <f t="shared" si="10"/>
        <v>951.64</v>
      </c>
      <c r="Y65" s="91">
        <f t="shared" si="10"/>
        <v>1021.54</v>
      </c>
      <c r="Z65" s="91">
        <f t="shared" si="10"/>
        <v>1134.04</v>
      </c>
      <c r="AA65" s="91">
        <f t="shared" si="10"/>
        <v>1161.3399999999999</v>
      </c>
      <c r="AB65" s="91">
        <f t="shared" si="10"/>
        <v>1091.24</v>
      </c>
      <c r="AC65" s="91">
        <f t="shared" si="10"/>
        <v>1008.2</v>
      </c>
      <c r="AD65" s="91">
        <f t="shared" si="10"/>
        <v>985.33999999999992</v>
      </c>
      <c r="AE65" s="91">
        <f t="shared" si="10"/>
        <v>934.64</v>
      </c>
      <c r="AF65" s="91">
        <f t="shared" si="10"/>
        <v>905.65000000000009</v>
      </c>
      <c r="AG65" s="74">
        <f>AG63+AG59+AG47+AG43+AG30+AG64</f>
        <v>1355.5100000000002</v>
      </c>
      <c r="AH65" s="52">
        <f t="shared" si="2"/>
        <v>1161.3399999999999</v>
      </c>
      <c r="AI65" s="53">
        <f t="shared" si="3"/>
        <v>830.93999999999994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10</v>
      </c>
      <c r="D69" s="82">
        <f t="shared" si="17"/>
        <v>40</v>
      </c>
      <c r="E69" s="82">
        <f t="shared" si="17"/>
        <v>32</v>
      </c>
      <c r="F69" s="82">
        <f t="shared" si="17"/>
        <v>34</v>
      </c>
      <c r="G69" s="82">
        <f t="shared" si="17"/>
        <v>24</v>
      </c>
      <c r="H69" s="82">
        <f t="shared" si="17"/>
        <v>15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40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10</v>
      </c>
      <c r="D71" s="69">
        <f t="shared" si="18"/>
        <v>40</v>
      </c>
      <c r="E71" s="69">
        <f t="shared" si="18"/>
        <v>32</v>
      </c>
      <c r="F71" s="69">
        <f t="shared" si="18"/>
        <v>34</v>
      </c>
      <c r="G71" s="69">
        <f t="shared" si="18"/>
        <v>24</v>
      </c>
      <c r="H71" s="69">
        <f t="shared" si="18"/>
        <v>15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40</v>
      </c>
      <c r="AI71" s="53">
        <f t="shared" si="3"/>
        <v>0</v>
      </c>
    </row>
    <row r="72" spans="1:35" x14ac:dyDescent="0.25">
      <c r="A72" s="93" t="s">
        <v>79</v>
      </c>
      <c r="B72" s="96">
        <v>49.969000000000001</v>
      </c>
      <c r="C72" s="94">
        <v>50.064999999999998</v>
      </c>
      <c r="D72" s="94">
        <v>50.04</v>
      </c>
      <c r="E72" s="94">
        <v>50.009</v>
      </c>
      <c r="F72" s="94">
        <v>49.911999999999999</v>
      </c>
      <c r="G72" s="94">
        <v>49.960999999999999</v>
      </c>
      <c r="H72" s="94">
        <v>50.01</v>
      </c>
      <c r="I72" s="94">
        <v>50.027000000000001</v>
      </c>
      <c r="J72" s="94">
        <v>49.975999999999999</v>
      </c>
      <c r="K72" s="94">
        <v>50.031999999999996</v>
      </c>
      <c r="L72" s="94">
        <v>49.968000000000004</v>
      </c>
      <c r="M72" s="94">
        <v>50.075000000000003</v>
      </c>
      <c r="N72" s="94">
        <v>50.07</v>
      </c>
      <c r="O72" s="94">
        <v>50.045999999999999</v>
      </c>
      <c r="P72" s="94">
        <v>49.884</v>
      </c>
      <c r="Q72" s="95">
        <v>49.975999999999999</v>
      </c>
      <c r="R72" s="94">
        <v>49.993000000000002</v>
      </c>
      <c r="S72" s="94">
        <v>50.048999999999999</v>
      </c>
      <c r="T72" s="94">
        <v>50.012999999999998</v>
      </c>
      <c r="U72" s="94">
        <v>50.01</v>
      </c>
      <c r="V72" s="94">
        <v>50.000999999999998</v>
      </c>
      <c r="W72" s="94">
        <v>49.968000000000004</v>
      </c>
      <c r="X72" s="94">
        <v>50.02</v>
      </c>
      <c r="Y72" s="94">
        <v>49.942999999999998</v>
      </c>
      <c r="Z72" s="94">
        <v>49.999000000000002</v>
      </c>
      <c r="AA72" s="94">
        <v>49.97</v>
      </c>
      <c r="AB72" s="94">
        <v>49.935000000000002</v>
      </c>
      <c r="AC72" s="94">
        <v>49.97</v>
      </c>
      <c r="AD72" s="94">
        <v>49.93</v>
      </c>
      <c r="AE72" s="94">
        <v>49.854999999999997</v>
      </c>
      <c r="AF72" s="96">
        <v>50.027000000000001</v>
      </c>
      <c r="AG72" s="97"/>
      <c r="AH72" s="52">
        <f t="shared" si="2"/>
        <v>50.075000000000003</v>
      </c>
      <c r="AI72" s="53">
        <f t="shared" si="3"/>
        <v>49.854999999999997</v>
      </c>
    </row>
    <row r="73" spans="1:35" x14ac:dyDescent="0.25">
      <c r="A73" s="98" t="s">
        <v>80</v>
      </c>
      <c r="B73" s="100">
        <v>128.19999999999999</v>
      </c>
      <c r="C73" s="70">
        <v>128.6</v>
      </c>
      <c r="D73" s="70">
        <v>128.30000000000001</v>
      </c>
      <c r="E73" s="70">
        <v>128.19999999999999</v>
      </c>
      <c r="F73" s="70">
        <v>128.19999999999999</v>
      </c>
      <c r="G73" s="70">
        <v>128</v>
      </c>
      <c r="H73" s="70">
        <v>127.6</v>
      </c>
      <c r="I73" s="70">
        <v>126.3</v>
      </c>
      <c r="J73" s="70">
        <v>125.5</v>
      </c>
      <c r="K73" s="70">
        <v>126.1</v>
      </c>
      <c r="L73" s="70">
        <v>124.2</v>
      </c>
      <c r="M73" s="70">
        <v>126</v>
      </c>
      <c r="N73" s="70">
        <v>123.9</v>
      </c>
      <c r="O73" s="70">
        <v>124.6</v>
      </c>
      <c r="P73" s="70">
        <v>124</v>
      </c>
      <c r="Q73" s="99">
        <v>124.3</v>
      </c>
      <c r="R73" s="99">
        <v>123.8</v>
      </c>
      <c r="S73" s="99">
        <v>124.7</v>
      </c>
      <c r="T73" s="99">
        <v>126.8</v>
      </c>
      <c r="U73" s="99">
        <v>127.1</v>
      </c>
      <c r="V73" s="99">
        <v>127</v>
      </c>
      <c r="W73" s="99">
        <v>126.9</v>
      </c>
      <c r="X73" s="99">
        <v>126.6</v>
      </c>
      <c r="Y73" s="99">
        <v>127</v>
      </c>
      <c r="Z73" s="99">
        <v>126.6</v>
      </c>
      <c r="AA73" s="70">
        <v>125.9</v>
      </c>
      <c r="AB73" s="70">
        <v>125.6</v>
      </c>
      <c r="AC73" s="70">
        <v>125.3</v>
      </c>
      <c r="AD73" s="70">
        <v>124.2</v>
      </c>
      <c r="AE73" s="70">
        <v>124.2</v>
      </c>
      <c r="AF73" s="100">
        <v>124</v>
      </c>
      <c r="AG73" s="101"/>
      <c r="AH73" s="52">
        <f t="shared" si="2"/>
        <v>128.6</v>
      </c>
      <c r="AI73" s="53">
        <f t="shared" si="3"/>
        <v>123.8</v>
      </c>
    </row>
    <row r="74" spans="1:35" x14ac:dyDescent="0.25">
      <c r="A74" s="98" t="s">
        <v>81</v>
      </c>
      <c r="B74" s="100">
        <v>131.30000000000001</v>
      </c>
      <c r="C74" s="70">
        <v>131.6</v>
      </c>
      <c r="D74" s="70">
        <v>131.5</v>
      </c>
      <c r="E74" s="70">
        <v>131.19999999999999</v>
      </c>
      <c r="F74" s="70">
        <v>130.9</v>
      </c>
      <c r="G74" s="70">
        <v>130.6</v>
      </c>
      <c r="H74" s="70">
        <v>130</v>
      </c>
      <c r="I74" s="70">
        <v>129</v>
      </c>
      <c r="J74" s="70">
        <v>128.19999999999999</v>
      </c>
      <c r="K74" s="70">
        <v>128.4</v>
      </c>
      <c r="L74" s="70">
        <v>126.5</v>
      </c>
      <c r="M74" s="70">
        <v>129</v>
      </c>
      <c r="N74" s="70">
        <v>126.1</v>
      </c>
      <c r="O74" s="70">
        <v>127.8</v>
      </c>
      <c r="P74" s="70">
        <v>127.3</v>
      </c>
      <c r="Q74" s="99">
        <v>127.4</v>
      </c>
      <c r="R74" s="99">
        <v>127.1</v>
      </c>
      <c r="S74" s="99">
        <v>127.7</v>
      </c>
      <c r="T74" s="99">
        <v>129.30000000000001</v>
      </c>
      <c r="U74" s="99">
        <v>129.6</v>
      </c>
      <c r="V74" s="99">
        <v>129.5</v>
      </c>
      <c r="W74" s="99">
        <v>129.30000000000001</v>
      </c>
      <c r="X74" s="99">
        <v>129.19999999999999</v>
      </c>
      <c r="Y74" s="99">
        <v>129.5</v>
      </c>
      <c r="Z74" s="99">
        <v>129.1</v>
      </c>
      <c r="AA74" s="70">
        <v>128.30000000000001</v>
      </c>
      <c r="AB74" s="70">
        <v>128.30000000000001</v>
      </c>
      <c r="AC74" s="70">
        <v>128.19999999999999</v>
      </c>
      <c r="AD74" s="70">
        <v>128</v>
      </c>
      <c r="AE74" s="70">
        <v>127.9</v>
      </c>
      <c r="AF74" s="100">
        <v>127.9</v>
      </c>
      <c r="AG74" s="101"/>
      <c r="AH74" s="52">
        <f t="shared" si="2"/>
        <v>131.6</v>
      </c>
      <c r="AI74" s="53">
        <f t="shared" si="3"/>
        <v>126.1</v>
      </c>
    </row>
    <row r="75" spans="1:35" x14ac:dyDescent="0.25">
      <c r="A75" s="98" t="s">
        <v>82</v>
      </c>
      <c r="B75" s="100">
        <v>128.1</v>
      </c>
      <c r="C75" s="70">
        <v>129.4</v>
      </c>
      <c r="D75" s="70">
        <v>127</v>
      </c>
      <c r="E75" s="70">
        <v>129.9</v>
      </c>
      <c r="F75" s="70">
        <v>130.9</v>
      </c>
      <c r="G75" s="70">
        <v>128.80000000000001</v>
      </c>
      <c r="H75" s="70">
        <v>130.6</v>
      </c>
      <c r="I75" s="70">
        <v>127.5</v>
      </c>
      <c r="J75" s="70">
        <v>127.7</v>
      </c>
      <c r="K75" s="70">
        <v>131</v>
      </c>
      <c r="L75" s="70">
        <v>130.5</v>
      </c>
      <c r="M75" s="70">
        <v>128.80000000000001</v>
      </c>
      <c r="N75" s="70">
        <v>129</v>
      </c>
      <c r="O75" s="70">
        <v>130.6</v>
      </c>
      <c r="P75" s="70">
        <v>129.19999999999999</v>
      </c>
      <c r="Q75" s="70">
        <v>130</v>
      </c>
      <c r="R75" s="70">
        <v>129.1</v>
      </c>
      <c r="S75" s="70">
        <v>127.1</v>
      </c>
      <c r="T75" s="99">
        <v>128.19999999999999</v>
      </c>
      <c r="U75" s="99">
        <v>129.6</v>
      </c>
      <c r="V75" s="99">
        <v>130.4</v>
      </c>
      <c r="W75" s="99">
        <v>129.9</v>
      </c>
      <c r="X75" s="99">
        <v>127.3</v>
      </c>
      <c r="Y75" s="99">
        <v>128</v>
      </c>
      <c r="Z75" s="99">
        <v>128.5</v>
      </c>
      <c r="AA75" s="70">
        <v>129.19999999999999</v>
      </c>
      <c r="AB75" s="70">
        <v>129.80000000000001</v>
      </c>
      <c r="AC75" s="70">
        <v>127.3</v>
      </c>
      <c r="AD75" s="70">
        <v>127.5</v>
      </c>
      <c r="AE75" s="70">
        <v>127.4</v>
      </c>
      <c r="AF75" s="100">
        <v>127.7</v>
      </c>
      <c r="AG75" s="101"/>
      <c r="AH75" s="52">
        <f t="shared" si="2"/>
        <v>131</v>
      </c>
      <c r="AI75" s="53">
        <f t="shared" si="3"/>
        <v>127</v>
      </c>
    </row>
    <row r="76" spans="1:35" x14ac:dyDescent="0.25">
      <c r="A76" s="102" t="s">
        <v>83</v>
      </c>
      <c r="B76" s="100">
        <v>130.9</v>
      </c>
      <c r="C76" s="70">
        <v>132.30000000000001</v>
      </c>
      <c r="D76" s="70">
        <v>130.69999999999999</v>
      </c>
      <c r="E76" s="70">
        <v>132.6</v>
      </c>
      <c r="F76" s="70">
        <v>133.9</v>
      </c>
      <c r="G76" s="70">
        <v>132</v>
      </c>
      <c r="H76" s="70">
        <v>132.80000000000001</v>
      </c>
      <c r="I76" s="70">
        <v>130.19999999999999</v>
      </c>
      <c r="J76" s="70">
        <v>131.9</v>
      </c>
      <c r="K76" s="70">
        <v>133.5</v>
      </c>
      <c r="L76" s="70">
        <v>132.9</v>
      </c>
      <c r="M76" s="70">
        <v>135.80000000000001</v>
      </c>
      <c r="N76" s="70">
        <v>132.9</v>
      </c>
      <c r="O76" s="70">
        <v>134.30000000000001</v>
      </c>
      <c r="P76" s="70">
        <v>133.6</v>
      </c>
      <c r="Q76" s="70">
        <v>132.9</v>
      </c>
      <c r="R76" s="70">
        <v>131.9</v>
      </c>
      <c r="S76" s="70">
        <v>129.5</v>
      </c>
      <c r="T76" s="99">
        <v>129.9</v>
      </c>
      <c r="U76" s="99">
        <v>131.69999999999999</v>
      </c>
      <c r="V76" s="99">
        <v>133.1</v>
      </c>
      <c r="W76" s="99">
        <v>132.4</v>
      </c>
      <c r="X76" s="99">
        <v>129.9</v>
      </c>
      <c r="Y76" s="99">
        <v>131.9</v>
      </c>
      <c r="Z76" s="99">
        <v>132.4</v>
      </c>
      <c r="AA76" s="70">
        <v>131.69999999999999</v>
      </c>
      <c r="AB76" s="70">
        <v>132.9</v>
      </c>
      <c r="AC76" s="70">
        <v>132</v>
      </c>
      <c r="AD76" s="70">
        <v>132.9</v>
      </c>
      <c r="AE76" s="70">
        <v>130.6</v>
      </c>
      <c r="AF76" s="100">
        <v>131</v>
      </c>
      <c r="AG76" s="101"/>
      <c r="AH76" s="52">
        <f t="shared" si="2"/>
        <v>135.80000000000001</v>
      </c>
      <c r="AI76" s="53">
        <f t="shared" si="3"/>
        <v>129.5</v>
      </c>
    </row>
    <row r="77" spans="1:35" x14ac:dyDescent="0.25">
      <c r="A77" s="102" t="s">
        <v>84</v>
      </c>
      <c r="B77" s="104">
        <v>132.80000000000001</v>
      </c>
      <c r="C77" s="103">
        <v>136.69999999999999</v>
      </c>
      <c r="D77" s="103">
        <v>134.30000000000001</v>
      </c>
      <c r="E77" s="103">
        <v>135.6</v>
      </c>
      <c r="F77" s="103">
        <v>133.6</v>
      </c>
      <c r="G77" s="103">
        <v>131.6</v>
      </c>
      <c r="H77" s="103">
        <v>133.9</v>
      </c>
      <c r="I77" s="103">
        <v>135.19999999999999</v>
      </c>
      <c r="J77" s="103">
        <v>136.19999999999999</v>
      </c>
      <c r="K77" s="103">
        <v>133.9</v>
      </c>
      <c r="L77" s="103">
        <v>134.5</v>
      </c>
      <c r="M77" s="103">
        <v>134</v>
      </c>
      <c r="N77" s="103">
        <v>131.6</v>
      </c>
      <c r="O77" s="103">
        <v>135.30000000000001</v>
      </c>
      <c r="P77" s="103">
        <v>135.30000000000001</v>
      </c>
      <c r="Q77" s="103">
        <v>132.1</v>
      </c>
      <c r="R77" s="103">
        <v>135.30000000000001</v>
      </c>
      <c r="S77" s="103">
        <v>131.69999999999999</v>
      </c>
      <c r="T77" s="99">
        <v>132.6</v>
      </c>
      <c r="U77" s="99">
        <v>135.6</v>
      </c>
      <c r="V77" s="99">
        <v>135.4</v>
      </c>
      <c r="W77" s="99">
        <v>134.69999999999999</v>
      </c>
      <c r="X77" s="99">
        <v>135.1</v>
      </c>
      <c r="Y77" s="99">
        <v>136.19999999999999</v>
      </c>
      <c r="Z77" s="99">
        <v>131.5</v>
      </c>
      <c r="AA77" s="103">
        <v>131.4</v>
      </c>
      <c r="AB77" s="103">
        <v>129.69999999999999</v>
      </c>
      <c r="AC77" s="103">
        <v>129</v>
      </c>
      <c r="AD77" s="103">
        <v>97</v>
      </c>
      <c r="AE77" s="103">
        <v>134.5</v>
      </c>
      <c r="AF77" s="104">
        <v>130.80000000000001</v>
      </c>
      <c r="AG77" s="105"/>
      <c r="AH77" s="52">
        <f t="shared" si="2"/>
        <v>136.69999999999999</v>
      </c>
      <c r="AI77" s="53">
        <f t="shared" si="3"/>
        <v>97</v>
      </c>
    </row>
    <row r="78" spans="1:35" x14ac:dyDescent="0.25">
      <c r="A78" s="98" t="s">
        <v>85</v>
      </c>
      <c r="B78" s="100">
        <v>126.6</v>
      </c>
      <c r="C78" s="70">
        <v>131.9</v>
      </c>
      <c r="D78" s="70">
        <v>131.30000000000001</v>
      </c>
      <c r="E78" s="70">
        <v>134.30000000000001</v>
      </c>
      <c r="F78" s="70">
        <v>135.19999999999999</v>
      </c>
      <c r="G78" s="70">
        <v>132.19999999999999</v>
      </c>
      <c r="H78" s="70">
        <v>134.19999999999999</v>
      </c>
      <c r="I78" s="70">
        <v>133.80000000000001</v>
      </c>
      <c r="J78" s="70">
        <v>133.1</v>
      </c>
      <c r="K78" s="70">
        <v>129.6</v>
      </c>
      <c r="L78" s="70">
        <v>140.19999999999999</v>
      </c>
      <c r="M78" s="70">
        <v>136</v>
      </c>
      <c r="N78" s="70">
        <v>140.80000000000001</v>
      </c>
      <c r="O78" s="70">
        <v>135.4</v>
      </c>
      <c r="P78" s="70">
        <v>133.1</v>
      </c>
      <c r="Q78" s="70">
        <v>130.69999999999999</v>
      </c>
      <c r="R78" s="70">
        <v>127.5</v>
      </c>
      <c r="S78" s="70">
        <v>129.9</v>
      </c>
      <c r="T78" s="99">
        <v>129</v>
      </c>
      <c r="U78" s="99">
        <v>130.9</v>
      </c>
      <c r="V78" s="99">
        <v>132.6</v>
      </c>
      <c r="W78" s="99">
        <v>131.1</v>
      </c>
      <c r="X78" s="99">
        <v>131.69999999999999</v>
      </c>
      <c r="Y78" s="99">
        <v>132.69999999999999</v>
      </c>
      <c r="Z78" s="99">
        <v>135.1</v>
      </c>
      <c r="AA78" s="70">
        <v>132.1</v>
      </c>
      <c r="AB78" s="70">
        <v>131.6</v>
      </c>
      <c r="AC78" s="70">
        <v>130.6</v>
      </c>
      <c r="AD78" s="70">
        <v>127.4</v>
      </c>
      <c r="AE78" s="70">
        <v>127.7</v>
      </c>
      <c r="AF78" s="100">
        <v>122.7</v>
      </c>
      <c r="AG78" s="101"/>
      <c r="AH78" s="52">
        <f>MAX(B78:AF78)</f>
        <v>140.80000000000001</v>
      </c>
      <c r="AI78" s="53">
        <f>MIN(B78:AF78)</f>
        <v>122.7</v>
      </c>
    </row>
    <row r="79" spans="1:35" ht="15.75" thickBot="1" x14ac:dyDescent="0.3">
      <c r="A79" s="98" t="s">
        <v>86</v>
      </c>
      <c r="B79" s="107">
        <v>67.2</v>
      </c>
      <c r="C79" s="106">
        <v>67.3</v>
      </c>
      <c r="D79" s="106">
        <v>67.3</v>
      </c>
      <c r="E79" s="106">
        <v>67.2</v>
      </c>
      <c r="F79" s="106">
        <v>67.099999999999994</v>
      </c>
      <c r="G79" s="106">
        <v>66.8</v>
      </c>
      <c r="H79" s="106">
        <v>66.5</v>
      </c>
      <c r="I79" s="106">
        <v>65.8</v>
      </c>
      <c r="J79" s="106">
        <v>65.400000000000006</v>
      </c>
      <c r="K79" s="106">
        <v>65.400000000000006</v>
      </c>
      <c r="L79" s="106">
        <v>64.3</v>
      </c>
      <c r="M79" s="106">
        <v>66</v>
      </c>
      <c r="N79" s="106"/>
      <c r="O79" s="106"/>
      <c r="P79" s="106"/>
      <c r="Q79" s="106"/>
      <c r="R79" s="106"/>
      <c r="S79" s="106">
        <v>65.2</v>
      </c>
      <c r="T79" s="106">
        <v>66</v>
      </c>
      <c r="U79" s="106">
        <v>66.3</v>
      </c>
      <c r="V79" s="106">
        <v>66.3</v>
      </c>
      <c r="W79" s="106">
        <v>66.2</v>
      </c>
      <c r="X79" s="106">
        <v>66.099999999999994</v>
      </c>
      <c r="Y79" s="106">
        <v>66.2</v>
      </c>
      <c r="Z79" s="106">
        <v>66</v>
      </c>
      <c r="AA79" s="106">
        <v>65.400000000000006</v>
      </c>
      <c r="AB79" s="106">
        <v>65.5</v>
      </c>
      <c r="AC79" s="106">
        <v>65.5</v>
      </c>
      <c r="AD79" s="106">
        <v>65.400000000000006</v>
      </c>
      <c r="AE79" s="106">
        <v>65.400000000000006</v>
      </c>
      <c r="AF79" s="107">
        <v>65.5</v>
      </c>
      <c r="AG79" s="108"/>
      <c r="AH79" s="52">
        <f>MAX(B79:AF79)</f>
        <v>67.3</v>
      </c>
      <c r="AI79" s="53">
        <f>MIN(B79:AF79)</f>
        <v>64.3</v>
      </c>
    </row>
    <row r="80" spans="1:35" x14ac:dyDescent="0.25">
      <c r="A80" s="109" t="s">
        <v>87</v>
      </c>
      <c r="B80" s="110">
        <f>SUMIF(B48:B57,"&gt;0")</f>
        <v>68</v>
      </c>
      <c r="C80" s="110">
        <f t="shared" ref="C80:AF80" si="19">SUMIF(C48:C57,"&gt;0")</f>
        <v>52.6</v>
      </c>
      <c r="D80" s="110">
        <f t="shared" si="19"/>
        <v>50</v>
      </c>
      <c r="E80" s="110">
        <f t="shared" si="19"/>
        <v>50.3</v>
      </c>
      <c r="F80" s="110">
        <f t="shared" si="19"/>
        <v>46</v>
      </c>
      <c r="G80" s="110">
        <f t="shared" si="19"/>
        <v>35</v>
      </c>
      <c r="H80" s="110">
        <f t="shared" si="19"/>
        <v>30</v>
      </c>
      <c r="I80" s="110">
        <f t="shared" si="19"/>
        <v>24</v>
      </c>
      <c r="J80" s="110">
        <f t="shared" si="19"/>
        <v>59</v>
      </c>
      <c r="K80" s="110">
        <f t="shared" si="19"/>
        <v>66.5</v>
      </c>
      <c r="L80" s="110">
        <f t="shared" si="19"/>
        <v>135.5</v>
      </c>
      <c r="M80" s="110">
        <f t="shared" si="19"/>
        <v>127</v>
      </c>
      <c r="N80" s="110">
        <f t="shared" si="19"/>
        <v>157.69999999999999</v>
      </c>
      <c r="O80" s="110">
        <f t="shared" si="19"/>
        <v>136.9</v>
      </c>
      <c r="P80" s="110">
        <f t="shared" si="19"/>
        <v>148.30000000000001</v>
      </c>
      <c r="Q80" s="110">
        <f t="shared" si="19"/>
        <v>145.69999999999999</v>
      </c>
      <c r="R80" s="110">
        <f t="shared" si="19"/>
        <v>205.5</v>
      </c>
      <c r="S80" s="110">
        <f t="shared" si="19"/>
        <v>120.2</v>
      </c>
      <c r="T80" s="110">
        <f t="shared" si="19"/>
        <v>132.69999999999999</v>
      </c>
      <c r="U80" s="110">
        <f t="shared" si="19"/>
        <v>120</v>
      </c>
      <c r="V80" s="110">
        <f t="shared" si="19"/>
        <v>100.1</v>
      </c>
      <c r="W80" s="110">
        <f t="shared" si="19"/>
        <v>106.4</v>
      </c>
      <c r="X80" s="110">
        <f t="shared" si="19"/>
        <v>139.30000000000001</v>
      </c>
      <c r="Y80" s="110">
        <f t="shared" si="19"/>
        <v>186.4</v>
      </c>
      <c r="Z80" s="110">
        <f t="shared" si="19"/>
        <v>232.20000000000002</v>
      </c>
      <c r="AA80" s="110">
        <f t="shared" si="19"/>
        <v>257.39999999999998</v>
      </c>
      <c r="AB80" s="110">
        <f t="shared" si="19"/>
        <v>211</v>
      </c>
      <c r="AC80" s="110">
        <f t="shared" si="19"/>
        <v>151.76</v>
      </c>
      <c r="AD80" s="110">
        <f t="shared" si="19"/>
        <v>127.4</v>
      </c>
      <c r="AE80" s="110">
        <f t="shared" si="19"/>
        <v>76</v>
      </c>
      <c r="AF80" s="110">
        <f t="shared" si="19"/>
        <v>50.51</v>
      </c>
      <c r="AG80" s="111"/>
      <c r="AH80" s="52">
        <f>MAX(B80:AF80)</f>
        <v>257.39999999999998</v>
      </c>
      <c r="AI80" s="53">
        <f>MIN(B80:AF80)</f>
        <v>24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214.62</v>
      </c>
      <c r="C82" s="115">
        <f t="shared" ref="C82:AF82" si="20">C11+C13+C17+C34+C36+C38+C40+C94+C108+C110+C121+C127+C130+C139+C143+C144+C147+C154+C159+C162+C163+C164+C172+C177+C83+C84+C85+C86+C99</f>
        <v>219.01999999999998</v>
      </c>
      <c r="D82" s="115">
        <f t="shared" si="20"/>
        <v>217.22000000000003</v>
      </c>
      <c r="E82" s="115">
        <f t="shared" si="20"/>
        <v>216.92000000000002</v>
      </c>
      <c r="F82" s="115">
        <f t="shared" si="20"/>
        <v>220.82000000000002</v>
      </c>
      <c r="G82" s="115">
        <f t="shared" si="20"/>
        <v>229.51999999999998</v>
      </c>
      <c r="H82" s="115">
        <f t="shared" si="20"/>
        <v>237.01999999999998</v>
      </c>
      <c r="I82" s="115">
        <f t="shared" si="20"/>
        <v>244.11999999999998</v>
      </c>
      <c r="J82" s="115">
        <f t="shared" si="20"/>
        <v>247.01999999999998</v>
      </c>
      <c r="K82" s="115">
        <f t="shared" si="20"/>
        <v>258.61999999999995</v>
      </c>
      <c r="L82" s="115">
        <f t="shared" si="20"/>
        <v>253.51999999999998</v>
      </c>
      <c r="M82" s="115">
        <f t="shared" si="20"/>
        <v>253.51999999999998</v>
      </c>
      <c r="N82" s="115">
        <f t="shared" si="20"/>
        <v>265.02</v>
      </c>
      <c r="O82" s="115">
        <f t="shared" si="20"/>
        <v>270.71999999999991</v>
      </c>
      <c r="P82" s="115">
        <f t="shared" si="20"/>
        <v>265.71999999999991</v>
      </c>
      <c r="Q82" s="115">
        <f t="shared" si="20"/>
        <v>259.82</v>
      </c>
      <c r="R82" s="115">
        <f t="shared" si="20"/>
        <v>262.71999999999991</v>
      </c>
      <c r="S82" s="115">
        <f t="shared" si="20"/>
        <v>270.41999999999996</v>
      </c>
      <c r="T82" s="115">
        <f t="shared" si="20"/>
        <v>264.61999999999989</v>
      </c>
      <c r="U82" s="115">
        <f t="shared" si="20"/>
        <v>262.21999999999997</v>
      </c>
      <c r="V82" s="115">
        <f t="shared" si="20"/>
        <v>259.21999999999997</v>
      </c>
      <c r="W82" s="115">
        <f t="shared" si="20"/>
        <v>259.62</v>
      </c>
      <c r="X82" s="115">
        <f t="shared" si="20"/>
        <v>266.91999999999996</v>
      </c>
      <c r="Y82" s="115">
        <f t="shared" si="20"/>
        <v>279.91999999999996</v>
      </c>
      <c r="Z82" s="115">
        <f t="shared" si="20"/>
        <v>299.61999999999995</v>
      </c>
      <c r="AA82" s="115">
        <f t="shared" si="20"/>
        <v>293.01999999999992</v>
      </c>
      <c r="AB82" s="115">
        <f t="shared" si="20"/>
        <v>254.81999999999996</v>
      </c>
      <c r="AC82" s="115">
        <f t="shared" si="20"/>
        <v>253.31999999999996</v>
      </c>
      <c r="AD82" s="115">
        <f t="shared" si="20"/>
        <v>239.51999999999995</v>
      </c>
      <c r="AE82" s="115">
        <f t="shared" si="20"/>
        <v>228.01999999999995</v>
      </c>
      <c r="AF82" s="115">
        <f t="shared" si="20"/>
        <v>220.21999999999991</v>
      </c>
      <c r="AG82" s="116"/>
      <c r="AH82" s="52">
        <f>MAX(B82:AF82)</f>
        <v>299.61999999999995</v>
      </c>
      <c r="AI82" s="53">
        <f>MIN(B82:AF82)</f>
        <v>214.62</v>
      </c>
    </row>
    <row r="83" spans="1:37" x14ac:dyDescent="0.25">
      <c r="A83" s="117" t="s">
        <v>89</v>
      </c>
      <c r="B83" s="119">
        <v>55</v>
      </c>
      <c r="C83" s="118">
        <v>54.4</v>
      </c>
      <c r="D83" s="118">
        <v>56.1</v>
      </c>
      <c r="E83" s="118">
        <v>64</v>
      </c>
      <c r="F83" s="118">
        <v>60.5</v>
      </c>
      <c r="G83" s="118">
        <v>63</v>
      </c>
      <c r="H83" s="118">
        <v>67.2</v>
      </c>
      <c r="I83" s="118">
        <v>67.099999999999994</v>
      </c>
      <c r="J83" s="118">
        <v>69.5</v>
      </c>
      <c r="K83" s="118">
        <v>56.7</v>
      </c>
      <c r="L83" s="118">
        <v>70.8</v>
      </c>
      <c r="M83" s="118">
        <v>70.8</v>
      </c>
      <c r="N83" s="118">
        <v>74.2</v>
      </c>
      <c r="O83" s="118">
        <v>76.099999999999994</v>
      </c>
      <c r="P83" s="118">
        <v>80</v>
      </c>
      <c r="Q83" s="118">
        <v>76</v>
      </c>
      <c r="R83" s="118">
        <v>74.400000000000006</v>
      </c>
      <c r="S83" s="118">
        <v>75.3</v>
      </c>
      <c r="T83" s="118">
        <v>69.599999999999994</v>
      </c>
      <c r="U83" s="118">
        <v>73.5</v>
      </c>
      <c r="V83" s="118">
        <v>73.900000000000006</v>
      </c>
      <c r="W83" s="118">
        <v>66.900000000000006</v>
      </c>
      <c r="X83" s="118">
        <v>74.7</v>
      </c>
      <c r="Y83" s="118">
        <v>75.400000000000006</v>
      </c>
      <c r="Z83" s="118">
        <v>62</v>
      </c>
      <c r="AA83" s="50">
        <v>62.7</v>
      </c>
      <c r="AB83" s="50">
        <v>71.599999999999994</v>
      </c>
      <c r="AC83" s="50">
        <v>67.099999999999994</v>
      </c>
      <c r="AD83" s="50">
        <v>66</v>
      </c>
      <c r="AE83" s="50">
        <v>67.8</v>
      </c>
      <c r="AF83" s="119">
        <v>69.599999999999994</v>
      </c>
      <c r="AG83" s="120">
        <v>75</v>
      </c>
      <c r="AH83" s="52">
        <f>IF(ABS(MAX(B83:AF83))&gt;ABS(MIN(B83:AF83)),MAX(B83:AF83),MIN(B83:AF83))</f>
        <v>80</v>
      </c>
      <c r="AI83" s="121">
        <f>INDEX($B$9:$AF$9,1,MATCH(AH83,B83:AF83,0))</f>
        <v>0.5</v>
      </c>
    </row>
    <row r="84" spans="1:37" x14ac:dyDescent="0.25">
      <c r="A84" s="122" t="s">
        <v>90</v>
      </c>
      <c r="B84" s="123">
        <v>-65</v>
      </c>
      <c r="C84" s="83">
        <v>-62</v>
      </c>
      <c r="D84" s="83">
        <v>-65</v>
      </c>
      <c r="E84" s="83">
        <v>-72</v>
      </c>
      <c r="F84" s="83">
        <v>-66.099999999999994</v>
      </c>
      <c r="G84" s="83">
        <v>-60</v>
      </c>
      <c r="H84" s="83">
        <v>-58</v>
      </c>
      <c r="I84" s="83">
        <v>-50</v>
      </c>
      <c r="J84" s="83">
        <v>-50</v>
      </c>
      <c r="K84" s="83">
        <v>-28.5</v>
      </c>
      <c r="L84" s="83">
        <v>-34</v>
      </c>
      <c r="M84" s="83">
        <v>-34</v>
      </c>
      <c r="N84" s="83">
        <v>-30</v>
      </c>
      <c r="O84" s="83">
        <v>-26</v>
      </c>
      <c r="P84" s="83">
        <v>-34</v>
      </c>
      <c r="Q84" s="83">
        <v>-33</v>
      </c>
      <c r="R84" s="83">
        <v>-31.7</v>
      </c>
      <c r="S84" s="83">
        <v>-34</v>
      </c>
      <c r="T84" s="83">
        <v>-35</v>
      </c>
      <c r="U84" s="83">
        <v>-33</v>
      </c>
      <c r="V84" s="83">
        <v>-35</v>
      </c>
      <c r="W84" s="83">
        <v>-27</v>
      </c>
      <c r="X84" s="83">
        <v>-29</v>
      </c>
      <c r="Y84" s="83">
        <v>-19.600000000000001</v>
      </c>
      <c r="Z84" s="83">
        <v>-5</v>
      </c>
      <c r="AA84" s="70">
        <v>-9</v>
      </c>
      <c r="AB84" s="70">
        <v>-36.299999999999997</v>
      </c>
      <c r="AC84" s="70">
        <v>-30</v>
      </c>
      <c r="AD84" s="70">
        <v>-40</v>
      </c>
      <c r="AE84" s="70">
        <v>-50</v>
      </c>
      <c r="AF84" s="123">
        <v>-60</v>
      </c>
      <c r="AG84" s="120">
        <v>240</v>
      </c>
      <c r="AH84" s="52">
        <f>IF(ABS(MAX(B84:AF84))&gt;ABS(MIN(B84:AF84)),MAX(B84:AF84),MIN(B84:AF84))</f>
        <v>-72</v>
      </c>
      <c r="AI84" s="121">
        <f>INDEX($B$9:$AF$9,1,MATCH(AH84,B84:AF84,0))</f>
        <v>0.16666666666666699</v>
      </c>
    </row>
    <row r="85" spans="1:37" x14ac:dyDescent="0.25">
      <c r="A85" s="122" t="s">
        <v>91</v>
      </c>
      <c r="B85" s="123">
        <v>0.5</v>
      </c>
      <c r="C85" s="83">
        <v>0.2</v>
      </c>
      <c r="D85" s="83">
        <v>0</v>
      </c>
      <c r="E85" s="83">
        <v>-1.2</v>
      </c>
      <c r="F85" s="83">
        <v>0.8</v>
      </c>
      <c r="G85" s="83">
        <v>1</v>
      </c>
      <c r="H85" s="83">
        <v>2.2000000000000002</v>
      </c>
      <c r="I85" s="83">
        <v>3.8</v>
      </c>
      <c r="J85" s="83">
        <v>5.0999999999999996</v>
      </c>
      <c r="K85" s="83">
        <v>7.8</v>
      </c>
      <c r="L85" s="83">
        <v>6.9</v>
      </c>
      <c r="M85" s="83">
        <v>6.9</v>
      </c>
      <c r="N85" s="83">
        <v>10</v>
      </c>
      <c r="O85" s="83">
        <v>9.9</v>
      </c>
      <c r="P85" s="83">
        <v>8.9</v>
      </c>
      <c r="Q85" s="83">
        <v>8.1999999999999993</v>
      </c>
      <c r="R85" s="83">
        <v>8.6999999999999993</v>
      </c>
      <c r="S85" s="83">
        <v>22.3</v>
      </c>
      <c r="T85" s="83">
        <v>20.9</v>
      </c>
      <c r="U85" s="83">
        <v>10.1</v>
      </c>
      <c r="V85" s="83">
        <v>9</v>
      </c>
      <c r="W85" s="83">
        <v>10.5</v>
      </c>
      <c r="X85" s="83">
        <v>11.3</v>
      </c>
      <c r="Y85" s="83">
        <v>14.1</v>
      </c>
      <c r="Z85" s="83">
        <v>32.6</v>
      </c>
      <c r="AA85" s="70">
        <v>29.5</v>
      </c>
      <c r="AB85" s="70">
        <v>9.6999999999999993</v>
      </c>
      <c r="AC85" s="70">
        <v>6.3</v>
      </c>
      <c r="AD85" s="70">
        <v>3</v>
      </c>
      <c r="AE85" s="70">
        <v>-0.3</v>
      </c>
      <c r="AF85" s="123">
        <v>0.1</v>
      </c>
      <c r="AG85" s="120">
        <v>60</v>
      </c>
      <c r="AH85" s="52">
        <f>IF(ABS(MAX(B85:AF85))&gt;ABS(MIN(B85:AF85)),MAX(B85:AF85),MIN(B85:AF85))</f>
        <v>32.6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0</v>
      </c>
      <c r="AI86" s="121" t="e">
        <f>INDEX($B$9:$AF$9,1,MATCH(AH86,B86:AF86,0))</f>
        <v>#N/A</v>
      </c>
    </row>
    <row r="87" spans="1:37" ht="15.75" thickBot="1" x14ac:dyDescent="0.3">
      <c r="A87" s="124" t="s">
        <v>93</v>
      </c>
      <c r="B87" s="126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>
        <v>14.8</v>
      </c>
      <c r="AF87" s="126">
        <v>7.3</v>
      </c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955.83999999999992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18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18)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18)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919.54</v>
      </c>
      <c r="U193" s="173">
        <f t="shared" si="37"/>
        <v>900.74</v>
      </c>
      <c r="V193" s="173">
        <f t="shared" si="37"/>
        <v>864.44</v>
      </c>
      <c r="W193" s="173">
        <f t="shared" si="37"/>
        <v>864.04</v>
      </c>
      <c r="X193" s="173">
        <f t="shared" si="37"/>
        <v>843.64</v>
      </c>
      <c r="Y193" s="173">
        <f t="shared" si="37"/>
        <v>830.93999999999994</v>
      </c>
      <c r="Z193" s="173">
        <f t="shared" si="37"/>
        <v>841.24</v>
      </c>
      <c r="AA193" s="173">
        <f t="shared" si="37"/>
        <v>862.44</v>
      </c>
      <c r="AB193" s="173">
        <f t="shared" si="37"/>
        <v>883.54</v>
      </c>
      <c r="AC193" s="173">
        <f t="shared" si="37"/>
        <v>888.33999999999992</v>
      </c>
      <c r="AD193" s="173">
        <f t="shared" si="37"/>
        <v>945.33999999999992</v>
      </c>
      <c r="AE193" s="173">
        <f t="shared" si="37"/>
        <v>955.83999999999992</v>
      </c>
      <c r="AF193" s="173">
        <f t="shared" si="37"/>
        <v>987.63999999999987</v>
      </c>
      <c r="AG193" s="173">
        <f t="shared" si="37"/>
        <v>965.84</v>
      </c>
      <c r="AH193" s="173">
        <f t="shared" si="37"/>
        <v>980.44</v>
      </c>
      <c r="AI193" s="173">
        <f t="shared" si="37"/>
        <v>920.33999999999992</v>
      </c>
      <c r="AJ193" s="173">
        <f t="shared" si="37"/>
        <v>989.04</v>
      </c>
      <c r="AK193" s="173">
        <f t="shared" si="37"/>
        <v>974.44</v>
      </c>
      <c r="AL193" s="173">
        <f t="shared" si="37"/>
        <v>981.24</v>
      </c>
      <c r="AM193" s="173">
        <f t="shared" si="37"/>
        <v>930.83999999999992</v>
      </c>
      <c r="AN193" s="173">
        <f t="shared" si="37"/>
        <v>912.84000000000015</v>
      </c>
      <c r="AO193" s="173">
        <f t="shared" si="37"/>
        <v>927.83999999999992</v>
      </c>
      <c r="AP193" s="173">
        <f t="shared" si="37"/>
        <v>951.64</v>
      </c>
      <c r="AQ193" s="173">
        <f t="shared" si="37"/>
        <v>1021.54</v>
      </c>
      <c r="AR193" s="173">
        <f t="shared" si="37"/>
        <v>1134.04</v>
      </c>
      <c r="AS193" s="173">
        <f t="shared" si="37"/>
        <v>1161.3399999999999</v>
      </c>
      <c r="AT193" s="173">
        <f t="shared" si="37"/>
        <v>1091.24</v>
      </c>
      <c r="AU193" s="173">
        <f t="shared" si="37"/>
        <v>1008.2</v>
      </c>
      <c r="AV193" s="173">
        <f t="shared" si="37"/>
        <v>985.33999999999992</v>
      </c>
      <c r="AW193" s="173">
        <f t="shared" si="37"/>
        <v>934.64</v>
      </c>
      <c r="AX193" s="173">
        <f t="shared" si="37"/>
        <v>905.65000000000009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794" priority="203">
      <formula>S$9&gt;=20/24</formula>
    </cfRule>
    <cfRule type="expression" dxfId="2793" priority="204">
      <formula>AND(S$9&gt;=14/24,S$9&lt;20/24)</formula>
    </cfRule>
    <cfRule type="expression" dxfId="2792" priority="205">
      <formula>AND(S$9&gt;=8/24,S$9&lt;14/24)</formula>
    </cfRule>
    <cfRule type="expression" dxfId="2791" priority="206">
      <formula>S$9&lt;8/24</formula>
    </cfRule>
  </conditionalFormatting>
  <conditionalFormatting sqref="B8:AF10 AA70:AF70 C70:Q70 C47:AF47 C71:AF71 C48:K50 C72:Q72 C173:AF179 L29:Q29 L49:T50 V35:W35 S34:W34 X34:Z35 S11:T11 C59:AF69 U11:Z12 C51:P51 C73:Z79 AA72:AF79 N31:Q31 N34:Q37 N32:Z33 L31:M34 O53:O58 C52:O52 P52:P58 R37 S37:AF39 U16:AB16 AD16:AE16 L44:AF46 AB48:AF50 Q51:AF58">
    <cfRule type="expression" dxfId="2790" priority="199">
      <formula>B$9&gt;=20/24</formula>
    </cfRule>
    <cfRule type="expression" dxfId="2789" priority="200">
      <formula>AND(B$9&gt;=14/24,B$9&lt;20/24)</formula>
    </cfRule>
    <cfRule type="expression" dxfId="2788" priority="201">
      <formula>AND(B$9&gt;=8/24,B$9&lt;14/24)</formula>
    </cfRule>
    <cfRule type="expression" dxfId="2787" priority="202">
      <formula>B$9&lt;8/24</formula>
    </cfRule>
  </conditionalFormatting>
  <conditionalFormatting sqref="B171:AF171">
    <cfRule type="expression" dxfId="2786" priority="195">
      <formula>B$9&gt;=20/24</formula>
    </cfRule>
    <cfRule type="expression" dxfId="2785" priority="196">
      <formula>AND(B$9&gt;=14/24,B$9&lt;20/24)</formula>
    </cfRule>
    <cfRule type="expression" dxfId="2784" priority="197">
      <formula>AND(B$9&gt;=8/24,B$9&lt;14/24)</formula>
    </cfRule>
    <cfRule type="expression" dxfId="2783" priority="198">
      <formula>B$9&lt;8/24</formula>
    </cfRule>
  </conditionalFormatting>
  <conditionalFormatting sqref="AL4:AL6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782" priority="190">
      <formula>L$9&gt;=20/24</formula>
    </cfRule>
    <cfRule type="expression" dxfId="2781" priority="191">
      <formula>AND(L$9&gt;=14/24,L$9&lt;20/24)</formula>
    </cfRule>
    <cfRule type="expression" dxfId="2780" priority="192">
      <formula>AND(L$9&gt;=8/24,L$9&lt;14/24)</formula>
    </cfRule>
    <cfRule type="expression" dxfId="2779" priority="193">
      <formula>L$9&lt;8/24</formula>
    </cfRule>
  </conditionalFormatting>
  <conditionalFormatting sqref="L35:M35">
    <cfRule type="expression" dxfId="2778" priority="186">
      <formula>L$9&gt;=20/24</formula>
    </cfRule>
    <cfRule type="expression" dxfId="2777" priority="187">
      <formula>AND(L$9&gt;=14/24,L$9&lt;20/24)</formula>
    </cfRule>
    <cfRule type="expression" dxfId="2776" priority="188">
      <formula>AND(L$9&gt;=8/24,L$9&lt;14/24)</formula>
    </cfRule>
    <cfRule type="expression" dxfId="2775" priority="189">
      <formula>L$9&lt;8/24</formula>
    </cfRule>
  </conditionalFormatting>
  <conditionalFormatting sqref="U13:Z13">
    <cfRule type="expression" dxfId="2774" priority="182">
      <formula>U$9&gt;=20/24</formula>
    </cfRule>
    <cfRule type="expression" dxfId="2773" priority="183">
      <formula>AND(U$9&gt;=14/24,U$9&lt;20/24)</formula>
    </cfRule>
    <cfRule type="expression" dxfId="2772" priority="184">
      <formula>AND(U$9&gt;=8/24,U$9&lt;14/24)</formula>
    </cfRule>
    <cfRule type="expression" dxfId="2771" priority="185">
      <formula>U$9&lt;8/24</formula>
    </cfRule>
  </conditionalFormatting>
  <conditionalFormatting sqref="R31:Z31">
    <cfRule type="expression" dxfId="2770" priority="178">
      <formula>R$9&gt;=20/24</formula>
    </cfRule>
    <cfRule type="expression" dxfId="2769" priority="179">
      <formula>AND(R$9&gt;=14/24,R$9&lt;20/24)</formula>
    </cfRule>
    <cfRule type="expression" dxfId="2768" priority="180">
      <formula>AND(R$9&gt;=8/24,R$9&lt;14/24)</formula>
    </cfRule>
    <cfRule type="expression" dxfId="2767" priority="181">
      <formula>R$9&lt;8/24</formula>
    </cfRule>
  </conditionalFormatting>
  <conditionalFormatting sqref="R48:AA48">
    <cfRule type="expression" dxfId="2766" priority="174">
      <formula>R$9&gt;=20/24</formula>
    </cfRule>
    <cfRule type="expression" dxfId="2765" priority="175">
      <formula>AND(R$9&gt;=14/24,R$9&lt;20/24)</formula>
    </cfRule>
    <cfRule type="expression" dxfId="2764" priority="176">
      <formula>AND(R$9&gt;=8/24,R$9&lt;14/24)</formula>
    </cfRule>
    <cfRule type="expression" dxfId="2763" priority="177">
      <formula>R$9&lt;8/24</formula>
    </cfRule>
  </conditionalFormatting>
  <conditionalFormatting sqref="R70:Z70">
    <cfRule type="expression" dxfId="2762" priority="170">
      <formula>R$9&gt;=20/24</formula>
    </cfRule>
    <cfRule type="expression" dxfId="2761" priority="171">
      <formula>AND(R$9&gt;=14/24,R$9&lt;20/24)</formula>
    </cfRule>
    <cfRule type="expression" dxfId="2760" priority="172">
      <formula>AND(R$9&gt;=8/24,R$9&lt;14/24)</formula>
    </cfRule>
    <cfRule type="expression" dxfId="2759" priority="173">
      <formula>R$9&lt;8/24</formula>
    </cfRule>
  </conditionalFormatting>
  <conditionalFormatting sqref="R72:Z72">
    <cfRule type="expression" dxfId="2758" priority="166">
      <formula>R$9&gt;=20/24</formula>
    </cfRule>
    <cfRule type="expression" dxfId="2757" priority="167">
      <formula>AND(R$9&gt;=14/24,R$9&lt;20/24)</formula>
    </cfRule>
    <cfRule type="expression" dxfId="2756" priority="168">
      <formula>AND(R$9&gt;=8/24,R$9&lt;14/24)</formula>
    </cfRule>
    <cfRule type="expression" dxfId="2755" priority="169">
      <formula>R$9&lt;8/24</formula>
    </cfRule>
  </conditionalFormatting>
  <conditionalFormatting sqref="N19:Q19 L20:Q20 L11:R17 R19:R20">
    <cfRule type="expression" dxfId="2754" priority="162">
      <formula>L$9&gt;=20/24</formula>
    </cfRule>
    <cfRule type="expression" dxfId="2753" priority="163">
      <formula>AND(L$9&gt;=14/24,L$9&lt;20/24)</formula>
    </cfRule>
    <cfRule type="expression" dxfId="2752" priority="164">
      <formula>AND(L$9&gt;=8/24,L$9&lt;14/24)</formula>
    </cfRule>
    <cfRule type="expression" dxfId="2751" priority="165">
      <formula>L$9&lt;8/24</formula>
    </cfRule>
  </conditionalFormatting>
  <conditionalFormatting sqref="S40:AF40">
    <cfRule type="expression" dxfId="2750" priority="158">
      <formula>S$9&gt;=20/24</formula>
    </cfRule>
    <cfRule type="expression" dxfId="2749" priority="159">
      <formula>AND(S$9&gt;=14/24,S$9&lt;20/24)</formula>
    </cfRule>
    <cfRule type="expression" dxfId="2748" priority="160">
      <formula>AND(S$9&gt;=8/24,S$9&lt;14/24)</formula>
    </cfRule>
    <cfRule type="expression" dxfId="2747" priority="161">
      <formula>S$9&lt;8/24</formula>
    </cfRule>
  </conditionalFormatting>
  <conditionalFormatting sqref="S41:AF41">
    <cfRule type="expression" dxfId="2746" priority="154">
      <formula>S$9&gt;=20/24</formula>
    </cfRule>
    <cfRule type="expression" dxfId="2745" priority="155">
      <formula>AND(S$9&gt;=14/24,S$9&lt;20/24)</formula>
    </cfRule>
    <cfRule type="expression" dxfId="2744" priority="156">
      <formula>AND(S$9&gt;=8/24,S$9&lt;14/24)</formula>
    </cfRule>
    <cfRule type="expression" dxfId="2743" priority="157">
      <formula>S$9&lt;8/24</formula>
    </cfRule>
  </conditionalFormatting>
  <conditionalFormatting sqref="L36:M37">
    <cfRule type="expression" dxfId="2742" priority="150">
      <formula>L$9&gt;=20/24</formula>
    </cfRule>
    <cfRule type="expression" dxfId="2741" priority="151">
      <formula>AND(L$9&gt;=14/24,L$9&lt;20/24)</formula>
    </cfRule>
    <cfRule type="expression" dxfId="2740" priority="152">
      <formula>AND(L$9&gt;=8/24,L$9&lt;14/24)</formula>
    </cfRule>
    <cfRule type="expression" dxfId="2739" priority="153">
      <formula>L$9&lt;8/24</formula>
    </cfRule>
  </conditionalFormatting>
  <conditionalFormatting sqref="R29:AD29">
    <cfRule type="expression" dxfId="2738" priority="146">
      <formula>R$9&gt;=20/24</formula>
    </cfRule>
    <cfRule type="expression" dxfId="2737" priority="147">
      <formula>AND(R$9&gt;=14/24,R$9&lt;20/24)</formula>
    </cfRule>
    <cfRule type="expression" dxfId="2736" priority="148">
      <formula>AND(R$9&gt;=8/24,R$9&lt;14/24)</formula>
    </cfRule>
    <cfRule type="expression" dxfId="2735" priority="149">
      <formula>R$9&lt;8/24</formula>
    </cfRule>
  </conditionalFormatting>
  <conditionalFormatting sqref="S12:T19 U14:AF15 U17:AF19">
    <cfRule type="expression" dxfId="2734" priority="142">
      <formula>S$9&gt;=20/24</formula>
    </cfRule>
    <cfRule type="expression" dxfId="2733" priority="143">
      <formula>AND(S$9&gt;=14/24,S$9&lt;20/24)</formula>
    </cfRule>
    <cfRule type="expression" dxfId="2732" priority="144">
      <formula>AND(S$9&gt;=8/24,S$9&lt;14/24)</formula>
    </cfRule>
    <cfRule type="expression" dxfId="2731" priority="145">
      <formula>S$9&lt;8/24</formula>
    </cfRule>
  </conditionalFormatting>
  <conditionalFormatting sqref="R34:R36 S35:U39 V36:Z39 AA37:AF39">
    <cfRule type="expression" dxfId="2730" priority="138">
      <formula>R$9&gt;=20/24</formula>
    </cfRule>
    <cfRule type="expression" dxfId="2729" priority="139">
      <formula>AND(R$9&gt;=14/24,R$9&lt;20/24)</formula>
    </cfRule>
    <cfRule type="expression" dxfId="2728" priority="140">
      <formula>AND(R$9&gt;=8/24,R$9&lt;14/24)</formula>
    </cfRule>
    <cfRule type="expression" dxfId="2727" priority="141">
      <formula>R$9&lt;8/24</formula>
    </cfRule>
  </conditionalFormatting>
  <conditionalFormatting sqref="S40:AF40">
    <cfRule type="expression" dxfId="2726" priority="134">
      <formula>S$9&gt;=20/24</formula>
    </cfRule>
    <cfRule type="expression" dxfId="2725" priority="135">
      <formula>AND(S$9&gt;=14/24,S$9&lt;20/24)</formula>
    </cfRule>
    <cfRule type="expression" dxfId="2724" priority="136">
      <formula>AND(S$9&gt;=8/24,S$9&lt;14/24)</formula>
    </cfRule>
    <cfRule type="expression" dxfId="2723" priority="137">
      <formula>S$9&lt;8/24</formula>
    </cfRule>
  </conditionalFormatting>
  <conditionalFormatting sqref="S41:AF41">
    <cfRule type="expression" dxfId="2722" priority="130">
      <formula>S$9&gt;=20/24</formula>
    </cfRule>
    <cfRule type="expression" dxfId="2721" priority="131">
      <formula>AND(S$9&gt;=14/24,S$9&lt;20/24)</formula>
    </cfRule>
    <cfRule type="expression" dxfId="2720" priority="132">
      <formula>AND(S$9&gt;=8/24,S$9&lt;14/24)</formula>
    </cfRule>
    <cfRule type="expression" dxfId="2719" priority="133">
      <formula>S$9&lt;8/24</formula>
    </cfRule>
  </conditionalFormatting>
  <conditionalFormatting sqref="AA83:AF86">
    <cfRule type="expression" dxfId="2718" priority="126">
      <formula>AA$9&gt;=20/24</formula>
    </cfRule>
    <cfRule type="expression" dxfId="2717" priority="127">
      <formula>AND(AA$9&gt;=14/24,AA$9&lt;20/24)</formula>
    </cfRule>
    <cfRule type="expression" dxfId="2716" priority="128">
      <formula>AND(AA$9&gt;=8/24,AA$9&lt;14/24)</formula>
    </cfRule>
    <cfRule type="expression" dxfId="2715" priority="129">
      <formula>AA$9&lt;8/24</formula>
    </cfRule>
  </conditionalFormatting>
  <conditionalFormatting sqref="C56:K58 C53:L53 C54:K54 L54:L58 M53:N58">
    <cfRule type="expression" dxfId="2714" priority="122">
      <formula>C$9&gt;=20/24</formula>
    </cfRule>
    <cfRule type="expression" dxfId="2713" priority="123">
      <formula>AND(C$9&gt;=14/24,C$9&lt;20/24)</formula>
    </cfRule>
    <cfRule type="expression" dxfId="2712" priority="124">
      <formula>AND(C$9&gt;=8/24,C$9&lt;14/24)</formula>
    </cfRule>
    <cfRule type="expression" dxfId="2711" priority="125">
      <formula>C$9&lt;8/24</formula>
    </cfRule>
  </conditionalFormatting>
  <conditionalFormatting sqref="C83:K86">
    <cfRule type="expression" dxfId="2710" priority="118">
      <formula>C$9&gt;=20/24</formula>
    </cfRule>
    <cfRule type="expression" dxfId="2709" priority="119">
      <formula>AND(C$9&gt;=14/24,C$9&lt;20/24)</formula>
    </cfRule>
    <cfRule type="expression" dxfId="2708" priority="120">
      <formula>AND(C$9&gt;=8/24,C$9&lt;14/24)</formula>
    </cfRule>
    <cfRule type="expression" dxfId="2707" priority="121">
      <formula>C$9&lt;8/24</formula>
    </cfRule>
  </conditionalFormatting>
  <conditionalFormatting sqref="L83:Q86">
    <cfRule type="expression" dxfId="2706" priority="114">
      <formula>L$9&gt;=20/24</formula>
    </cfRule>
    <cfRule type="expression" dxfId="2705" priority="115">
      <formula>AND(L$9&gt;=14/24,L$9&lt;20/24)</formula>
    </cfRule>
    <cfRule type="expression" dxfId="2704" priority="116">
      <formula>AND(L$9&gt;=8/24,L$9&lt;14/24)</formula>
    </cfRule>
    <cfRule type="expression" dxfId="2703" priority="117">
      <formula>L$9&lt;8/24</formula>
    </cfRule>
  </conditionalFormatting>
  <conditionalFormatting sqref="R83:Z86">
    <cfRule type="expression" dxfId="2702" priority="110">
      <formula>R$9&gt;=20/24</formula>
    </cfRule>
    <cfRule type="expression" dxfId="2701" priority="111">
      <formula>AND(R$9&gt;=14/24,R$9&lt;20/24)</formula>
    </cfRule>
    <cfRule type="expression" dxfId="2700" priority="112">
      <formula>AND(R$9&gt;=8/24,R$9&lt;14/24)</formula>
    </cfRule>
    <cfRule type="expression" dxfId="2699" priority="113">
      <formula>R$9&lt;8/24</formula>
    </cfRule>
  </conditionalFormatting>
  <conditionalFormatting sqref="AG42 C40:K40 C42:AF43 C29:AF30 C47:AF47 C34:L37 D33:L33 L14:L17 D15:K16 F11:L13 N19:Q19 C31:L32 M31:AF36 B17:K17 C20:Q20 R19:R20 M37:R37 S18:AF19 S37:AF41 F44:AF46 M11:AF17">
    <cfRule type="expression" dxfId="2698" priority="109">
      <formula>B11&gt;$AG11</formula>
    </cfRule>
  </conditionalFormatting>
  <conditionalFormatting sqref="T192:AX192">
    <cfRule type="expression" dxfId="2697" priority="105">
      <formula>T$9&gt;=20/24</formula>
    </cfRule>
    <cfRule type="expression" dxfId="2696" priority="106">
      <formula>AND(T$9&gt;=14/24,T$9&lt;20/24)</formula>
    </cfRule>
    <cfRule type="expression" dxfId="2695" priority="107">
      <formula>AND(T$9&gt;=8/24,T$9&lt;14/24)</formula>
    </cfRule>
    <cfRule type="expression" dxfId="2694" priority="108">
      <formula>T$9&lt;8/24</formula>
    </cfRule>
  </conditionalFormatting>
  <conditionalFormatting sqref="A11:A86 A88:A180">
    <cfRule type="expression" dxfId="2693" priority="104">
      <formula>$AH11=0</formula>
    </cfRule>
  </conditionalFormatting>
  <conditionalFormatting sqref="AA87:AF87">
    <cfRule type="expression" dxfId="2692" priority="100">
      <formula>AA$9&gt;=20/24</formula>
    </cfRule>
    <cfRule type="expression" dxfId="2691" priority="101">
      <formula>AND(AA$9&gt;=14/24,AA$9&lt;20/24)</formula>
    </cfRule>
    <cfRule type="expression" dxfId="2690" priority="102">
      <formula>AND(AA$9&gt;=8/24,AA$9&lt;14/24)</formula>
    </cfRule>
    <cfRule type="expression" dxfId="2689" priority="103">
      <formula>AA$9&lt;8/24</formula>
    </cfRule>
  </conditionalFormatting>
  <conditionalFormatting sqref="C87:K87">
    <cfRule type="expression" dxfId="2688" priority="96">
      <formula>C$9&gt;=20/24</formula>
    </cfRule>
    <cfRule type="expression" dxfId="2687" priority="97">
      <formula>AND(C$9&gt;=14/24,C$9&lt;20/24)</formula>
    </cfRule>
    <cfRule type="expression" dxfId="2686" priority="98">
      <formula>AND(C$9&gt;=8/24,C$9&lt;14/24)</formula>
    </cfRule>
    <cfRule type="expression" dxfId="2685" priority="99">
      <formula>C$9&lt;8/24</formula>
    </cfRule>
  </conditionalFormatting>
  <conditionalFormatting sqref="L87:Q87">
    <cfRule type="expression" dxfId="2684" priority="92">
      <formula>L$9&gt;=20/24</formula>
    </cfRule>
    <cfRule type="expression" dxfId="2683" priority="93">
      <formula>AND(L$9&gt;=14/24,L$9&lt;20/24)</formula>
    </cfRule>
    <cfRule type="expression" dxfId="2682" priority="94">
      <formula>AND(L$9&gt;=8/24,L$9&lt;14/24)</formula>
    </cfRule>
    <cfRule type="expression" dxfId="2681" priority="95">
      <formula>L$9&lt;8/24</formula>
    </cfRule>
  </conditionalFormatting>
  <conditionalFormatting sqref="R87:Z87">
    <cfRule type="expression" dxfId="2680" priority="88">
      <formula>R$9&gt;=20/24</formula>
    </cfRule>
    <cfRule type="expression" dxfId="2679" priority="89">
      <formula>AND(R$9&gt;=14/24,R$9&lt;20/24)</formula>
    </cfRule>
    <cfRule type="expression" dxfId="2678" priority="90">
      <formula>AND(R$9&gt;=8/24,R$9&lt;14/24)</formula>
    </cfRule>
    <cfRule type="expression" dxfId="2677" priority="91">
      <formula>R$9&lt;8/24</formula>
    </cfRule>
  </conditionalFormatting>
  <conditionalFormatting sqref="A87">
    <cfRule type="expression" dxfId="2676" priority="87">
      <formula>$AH87=0</formula>
    </cfRule>
  </conditionalFormatting>
  <conditionalFormatting sqref="B44:B79 C55:K55 C44:E46">
    <cfRule type="expression" dxfId="2675" priority="83">
      <formula>B$9&gt;=20/24</formula>
    </cfRule>
    <cfRule type="expression" dxfId="2674" priority="84">
      <formula>AND(B$9&gt;=14/24,B$9&lt;20/24)</formula>
    </cfRule>
    <cfRule type="expression" dxfId="2673" priority="85">
      <formula>AND(B$9&gt;=8/24,B$9&lt;14/24)</formula>
    </cfRule>
    <cfRule type="expression" dxfId="2672" priority="86">
      <formula>B$9&lt;8/24</formula>
    </cfRule>
  </conditionalFormatting>
  <conditionalFormatting sqref="B29">
    <cfRule type="expression" dxfId="2671" priority="79">
      <formula>B$9&gt;=20/24</formula>
    </cfRule>
    <cfRule type="expression" dxfId="2670" priority="80">
      <formula>AND(B$9&gt;=14/24,B$9&lt;20/24)</formula>
    </cfRule>
    <cfRule type="expression" dxfId="2669" priority="81">
      <formula>AND(B$9&gt;=8/24,B$9&lt;14/24)</formula>
    </cfRule>
    <cfRule type="expression" dxfId="2668" priority="82">
      <formula>B$9&lt;8/24</formula>
    </cfRule>
  </conditionalFormatting>
  <conditionalFormatting sqref="B16:C16 C18:M19 B18:B21 C21:Q21 B22:Q27 N18:R18 R21:R27">
    <cfRule type="expression" dxfId="2667" priority="75">
      <formula>B$9&gt;=20/24</formula>
    </cfRule>
    <cfRule type="expression" dxfId="2666" priority="76">
      <formula>AND(B$9&gt;=14/24,B$9&lt;20/24)</formula>
    </cfRule>
    <cfRule type="expression" dxfId="2665" priority="77">
      <formula>AND(B$9&gt;=8/24,B$9&lt;14/24)</formula>
    </cfRule>
    <cfRule type="expression" dxfId="2664" priority="78">
      <formula>B$9&lt;8/24</formula>
    </cfRule>
  </conditionalFormatting>
  <conditionalFormatting sqref="B83:B86">
    <cfRule type="expression" dxfId="2663" priority="71">
      <formula>B$9&gt;=20/24</formula>
    </cfRule>
    <cfRule type="expression" dxfId="2662" priority="72">
      <formula>AND(B$9&gt;=14/24,B$9&lt;20/24)</formula>
    </cfRule>
    <cfRule type="expression" dxfId="2661" priority="73">
      <formula>AND(B$9&gt;=8/24,B$9&lt;14/24)</formula>
    </cfRule>
    <cfRule type="expression" dxfId="2660" priority="74">
      <formula>B$9&lt;8/24</formula>
    </cfRule>
  </conditionalFormatting>
  <conditionalFormatting sqref="C38:K39 B11:C16 C44:E46 C33 B28:C28 D11:E13 D14:K14 C18:M19 B18:B21 C21:Q21 C23:Q28 B23:B47 B22:Q22 N18:R18 R21:R28 C41:Q41 T28 AA28:AF28">
    <cfRule type="expression" dxfId="2659" priority="70">
      <formula>B11&gt;$AG11</formula>
    </cfRule>
  </conditionalFormatting>
  <conditionalFormatting sqref="B87">
    <cfRule type="expression" dxfId="2658" priority="66">
      <formula>B$9&gt;=20/24</formula>
    </cfRule>
    <cfRule type="expression" dxfId="2657" priority="67">
      <formula>AND(B$9&gt;=14/24,B$9&lt;20/24)</formula>
    </cfRule>
    <cfRule type="expression" dxfId="2656" priority="68">
      <formula>AND(B$9&gt;=8/24,B$9&lt;14/24)</formula>
    </cfRule>
    <cfRule type="expression" dxfId="2655" priority="69">
      <formula>B$9&lt;8/24</formula>
    </cfRule>
  </conditionalFormatting>
  <conditionalFormatting sqref="B28:R28 T28 AA28:AF28">
    <cfRule type="expression" dxfId="2654" priority="62">
      <formula>B$9&gt;=20/24</formula>
    </cfRule>
    <cfRule type="expression" dxfId="2653" priority="63">
      <formula>AND(B$9&gt;=14/24,B$9&lt;20/24)</formula>
    </cfRule>
    <cfRule type="expression" dxfId="2652" priority="64">
      <formula>AND(B$9&gt;=8/24,B$9&lt;14/24)</formula>
    </cfRule>
    <cfRule type="expression" dxfId="2651" priority="65">
      <formula>B$9&lt;8/24</formula>
    </cfRule>
  </conditionalFormatting>
  <conditionalFormatting sqref="L38:R39">
    <cfRule type="expression" dxfId="2650" priority="58">
      <formula>L$9&gt;=20/24</formula>
    </cfRule>
    <cfRule type="expression" dxfId="2649" priority="59">
      <formula>AND(L$9&gt;=14/24,L$9&lt;20/24)</formula>
    </cfRule>
    <cfRule type="expression" dxfId="2648" priority="60">
      <formula>AND(L$9&gt;=8/24,L$9&lt;14/24)</formula>
    </cfRule>
    <cfRule type="expression" dxfId="2647" priority="61">
      <formula>L$9&lt;8/24</formula>
    </cfRule>
  </conditionalFormatting>
  <conditionalFormatting sqref="L40:R40">
    <cfRule type="expression" dxfId="2646" priority="54">
      <formula>L$9&gt;=20/24</formula>
    </cfRule>
    <cfRule type="expression" dxfId="2645" priority="55">
      <formula>AND(L$9&gt;=14/24,L$9&lt;20/24)</formula>
    </cfRule>
    <cfRule type="expression" dxfId="2644" priority="56">
      <formula>AND(L$9&gt;=8/24,L$9&lt;14/24)</formula>
    </cfRule>
    <cfRule type="expression" dxfId="2643" priority="57">
      <formula>L$9&lt;8/24</formula>
    </cfRule>
  </conditionalFormatting>
  <conditionalFormatting sqref="L38:R40">
    <cfRule type="expression" dxfId="2642" priority="53">
      <formula>L38&gt;$AG38</formula>
    </cfRule>
  </conditionalFormatting>
  <conditionalFormatting sqref="AA49:AA50">
    <cfRule type="expression" dxfId="2641" priority="49">
      <formula>AA$9&gt;=20/24</formula>
    </cfRule>
    <cfRule type="expression" dxfId="2640" priority="50">
      <formula>AND(AA$9&gt;=14/24,AA$9&lt;20/24)</formula>
    </cfRule>
    <cfRule type="expression" dxfId="2639" priority="51">
      <formula>AND(AA$9&gt;=8/24,AA$9&lt;14/24)</formula>
    </cfRule>
    <cfRule type="expression" dxfId="2638" priority="52">
      <formula>AA$9&lt;8/24</formula>
    </cfRule>
  </conditionalFormatting>
  <conditionalFormatting sqref="R41">
    <cfRule type="expression" dxfId="2637" priority="45">
      <formula>R$9&gt;=20/24</formula>
    </cfRule>
    <cfRule type="expression" dxfId="2636" priority="46">
      <formula>AND(R$9&gt;=14/24,R$9&lt;20/24)</formula>
    </cfRule>
    <cfRule type="expression" dxfId="2635" priority="47">
      <formula>AND(R$9&gt;=8/24,R$9&lt;14/24)</formula>
    </cfRule>
    <cfRule type="expression" dxfId="2634" priority="48">
      <formula>R$9&lt;8/24</formula>
    </cfRule>
  </conditionalFormatting>
  <conditionalFormatting sqref="R41">
    <cfRule type="expression" dxfId="2633" priority="41">
      <formula>R$9&gt;=20/24</formula>
    </cfRule>
    <cfRule type="expression" dxfId="2632" priority="42">
      <formula>AND(R$9&gt;=14/24,R$9&lt;20/24)</formula>
    </cfRule>
    <cfRule type="expression" dxfId="2631" priority="43">
      <formula>AND(R$9&gt;=8/24,R$9&lt;14/24)</formula>
    </cfRule>
    <cfRule type="expression" dxfId="2630" priority="44">
      <formula>R$9&lt;8/24</formula>
    </cfRule>
  </conditionalFormatting>
  <conditionalFormatting sqref="R41">
    <cfRule type="expression" dxfId="2629" priority="40">
      <formula>R41&gt;$AG41</formula>
    </cfRule>
  </conditionalFormatting>
  <conditionalFormatting sqref="S20">
    <cfRule type="expression" dxfId="2628" priority="36">
      <formula>S$9&gt;=20/24</formula>
    </cfRule>
    <cfRule type="expression" dxfId="2627" priority="37">
      <formula>AND(S$9&gt;=14/24,S$9&lt;20/24)</formula>
    </cfRule>
    <cfRule type="expression" dxfId="2626" priority="38">
      <formula>AND(S$9&gt;=8/24,S$9&lt;14/24)</formula>
    </cfRule>
    <cfRule type="expression" dxfId="2625" priority="39">
      <formula>S$9&lt;8/24</formula>
    </cfRule>
  </conditionalFormatting>
  <conditionalFormatting sqref="S20">
    <cfRule type="expression" dxfId="2624" priority="35">
      <formula>S20&gt;$AG20</formula>
    </cfRule>
  </conditionalFormatting>
  <conditionalFormatting sqref="S21:S27">
    <cfRule type="expression" dxfId="2623" priority="31">
      <formula>S$9&gt;=20/24</formula>
    </cfRule>
    <cfRule type="expression" dxfId="2622" priority="32">
      <formula>AND(S$9&gt;=14/24,S$9&lt;20/24)</formula>
    </cfRule>
    <cfRule type="expression" dxfId="2621" priority="33">
      <formula>AND(S$9&gt;=8/24,S$9&lt;14/24)</formula>
    </cfRule>
    <cfRule type="expression" dxfId="2620" priority="34">
      <formula>S$9&lt;8/24</formula>
    </cfRule>
  </conditionalFormatting>
  <conditionalFormatting sqref="S21:S28">
    <cfRule type="expression" dxfId="2619" priority="30">
      <formula>S21&gt;$AG21</formula>
    </cfRule>
  </conditionalFormatting>
  <conditionalFormatting sqref="S28">
    <cfRule type="expression" dxfId="2618" priority="26">
      <formula>S$9&gt;=20/24</formula>
    </cfRule>
    <cfRule type="expression" dxfId="2617" priority="27">
      <formula>AND(S$9&gt;=14/24,S$9&lt;20/24)</formula>
    </cfRule>
    <cfRule type="expression" dxfId="2616" priority="28">
      <formula>AND(S$9&gt;=8/24,S$9&lt;14/24)</formula>
    </cfRule>
    <cfRule type="expression" dxfId="2615" priority="29">
      <formula>S$9&lt;8/24</formula>
    </cfRule>
  </conditionalFormatting>
  <conditionalFormatting sqref="T20">
    <cfRule type="expression" dxfId="2614" priority="22">
      <formula>T$9&gt;=20/24</formula>
    </cfRule>
    <cfRule type="expression" dxfId="2613" priority="23">
      <formula>AND(T$9&gt;=14/24,T$9&lt;20/24)</formula>
    </cfRule>
    <cfRule type="expression" dxfId="2612" priority="24">
      <formula>AND(T$9&gt;=8/24,T$9&lt;14/24)</formula>
    </cfRule>
    <cfRule type="expression" dxfId="2611" priority="25">
      <formula>T$9&lt;8/24</formula>
    </cfRule>
  </conditionalFormatting>
  <conditionalFormatting sqref="T20">
    <cfRule type="expression" dxfId="2610" priority="21">
      <formula>T20&gt;$AG20</formula>
    </cfRule>
  </conditionalFormatting>
  <conditionalFormatting sqref="T21:T27">
    <cfRule type="expression" dxfId="2609" priority="17">
      <formula>T$9&gt;=20/24</formula>
    </cfRule>
    <cfRule type="expression" dxfId="2608" priority="18">
      <formula>AND(T$9&gt;=14/24,T$9&lt;20/24)</formula>
    </cfRule>
    <cfRule type="expression" dxfId="2607" priority="19">
      <formula>AND(T$9&gt;=8/24,T$9&lt;14/24)</formula>
    </cfRule>
    <cfRule type="expression" dxfId="2606" priority="20">
      <formula>T$9&lt;8/24</formula>
    </cfRule>
  </conditionalFormatting>
  <conditionalFormatting sqref="T21:T27">
    <cfRule type="expression" dxfId="2605" priority="16">
      <formula>T21&gt;$AG21</formula>
    </cfRule>
  </conditionalFormatting>
  <conditionalFormatting sqref="U28:Z28">
    <cfRule type="expression" dxfId="2604" priority="15">
      <formula>U28&gt;$AG28</formula>
    </cfRule>
  </conditionalFormatting>
  <conditionalFormatting sqref="U28:Z28">
    <cfRule type="expression" dxfId="2603" priority="11">
      <formula>U$9&gt;=20/24</formula>
    </cfRule>
    <cfRule type="expression" dxfId="2602" priority="12">
      <formula>AND(U$9&gt;=14/24,U$9&lt;20/24)</formula>
    </cfRule>
    <cfRule type="expression" dxfId="2601" priority="13">
      <formula>AND(U$9&gt;=8/24,U$9&lt;14/24)</formula>
    </cfRule>
    <cfRule type="expression" dxfId="2600" priority="14">
      <formula>U$9&lt;8/24</formula>
    </cfRule>
  </conditionalFormatting>
  <conditionalFormatting sqref="U20:AF20">
    <cfRule type="expression" dxfId="2599" priority="7">
      <formula>U$9&gt;=20/24</formula>
    </cfRule>
    <cfRule type="expression" dxfId="2598" priority="8">
      <formula>AND(U$9&gt;=14/24,U$9&lt;20/24)</formula>
    </cfRule>
    <cfRule type="expression" dxfId="2597" priority="9">
      <formula>AND(U$9&gt;=8/24,U$9&lt;14/24)</formula>
    </cfRule>
    <cfRule type="expression" dxfId="2596" priority="10">
      <formula>U$9&lt;8/24</formula>
    </cfRule>
  </conditionalFormatting>
  <conditionalFormatting sqref="U20:AF20">
    <cfRule type="expression" dxfId="2595" priority="6">
      <formula>U20&gt;$AG20</formula>
    </cfRule>
  </conditionalFormatting>
  <conditionalFormatting sqref="U21:AF27">
    <cfRule type="expression" dxfId="2594" priority="2">
      <formula>U$9&gt;=20/24</formula>
    </cfRule>
    <cfRule type="expression" dxfId="2593" priority="3">
      <formula>AND(U$9&gt;=14/24,U$9&lt;20/24)</formula>
    </cfRule>
    <cfRule type="expression" dxfId="2592" priority="4">
      <formula>AND(U$9&gt;=8/24,U$9&lt;14/24)</formula>
    </cfRule>
    <cfRule type="expression" dxfId="2591" priority="5">
      <formula>U$9&lt;8/24</formula>
    </cfRule>
  </conditionalFormatting>
  <conditionalFormatting sqref="U21:AF27">
    <cfRule type="expression" dxfId="2590" priority="1">
      <formula>U21&gt;$AG21</formula>
    </cfRule>
  </conditionalFormatting>
  <conditionalFormatting sqref="AF16">
    <cfRule type="expression" dxfId="2589" priority="319">
      <formula>AC$9&gt;=20/24</formula>
    </cfRule>
    <cfRule type="expression" dxfId="2588" priority="320">
      <formula>AND(AC$9&gt;=14/24,AC$9&lt;20/24)</formula>
    </cfRule>
    <cfRule type="expression" dxfId="2587" priority="321">
      <formula>AND(AC$9&gt;=8/24,AC$9&lt;14/24)</formula>
    </cfRule>
    <cfRule type="expression" dxfId="2586" priority="322">
      <formula>AC$9&lt;8/24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T9" sqref="T9:T1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19</v>
      </c>
      <c r="D4" s="324">
        <f ca="1">IFERROR(DATE(2021,5,14)+C4,"")</f>
        <v>44349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44.48</v>
      </c>
      <c r="C5" s="32">
        <f t="shared" ref="C5:AF5" si="0">C59</f>
        <v>33</v>
      </c>
      <c r="D5" s="32">
        <f t="shared" si="0"/>
        <v>40</v>
      </c>
      <c r="E5" s="32">
        <f t="shared" si="0"/>
        <v>36.32</v>
      </c>
      <c r="F5" s="32">
        <f t="shared" si="0"/>
        <v>38.979999999999997</v>
      </c>
      <c r="G5" s="32">
        <f t="shared" si="0"/>
        <v>34.880000000000003</v>
      </c>
      <c r="H5" s="32">
        <f t="shared" si="0"/>
        <v>46.93</v>
      </c>
      <c r="I5" s="32">
        <f t="shared" si="0"/>
        <v>59.78</v>
      </c>
      <c r="J5" s="32">
        <f t="shared" si="0"/>
        <v>101</v>
      </c>
      <c r="K5" s="32">
        <f t="shared" si="0"/>
        <v>116.13</v>
      </c>
      <c r="L5" s="32">
        <f t="shared" si="0"/>
        <v>184.4</v>
      </c>
      <c r="M5" s="32">
        <f t="shared" si="0"/>
        <v>188.2</v>
      </c>
      <c r="N5" s="32">
        <f t="shared" si="0"/>
        <v>164.17000000000002</v>
      </c>
      <c r="O5" s="32">
        <f t="shared" si="0"/>
        <v>187.3</v>
      </c>
      <c r="P5" s="32">
        <f t="shared" si="0"/>
        <v>199.7</v>
      </c>
      <c r="Q5" s="32">
        <f t="shared" si="0"/>
        <v>213.1</v>
      </c>
      <c r="R5" s="32">
        <f t="shared" si="0"/>
        <v>180.35</v>
      </c>
      <c r="S5" s="32">
        <f t="shared" si="0"/>
        <v>155.42000000000002</v>
      </c>
      <c r="T5" s="32">
        <f t="shared" si="0"/>
        <v>159.6</v>
      </c>
      <c r="U5" s="32">
        <f t="shared" si="0"/>
        <v>138.97999999999999</v>
      </c>
      <c r="V5" s="32">
        <f t="shared" si="0"/>
        <v>147.80000000000001</v>
      </c>
      <c r="W5" s="32">
        <f t="shared" si="0"/>
        <v>128.02000000000001</v>
      </c>
      <c r="X5" s="32">
        <f t="shared" si="0"/>
        <v>162.4</v>
      </c>
      <c r="Y5" s="32">
        <f t="shared" si="0"/>
        <v>255.29000000000002</v>
      </c>
      <c r="Z5" s="32">
        <f t="shared" si="0"/>
        <v>297.63</v>
      </c>
      <c r="AA5" s="32">
        <f t="shared" si="0"/>
        <v>347.1</v>
      </c>
      <c r="AB5" s="32">
        <f t="shared" si="0"/>
        <v>347.1</v>
      </c>
      <c r="AC5" s="32">
        <f t="shared" si="0"/>
        <v>295</v>
      </c>
      <c r="AD5" s="32">
        <f t="shared" si="0"/>
        <v>215.9</v>
      </c>
      <c r="AE5" s="32">
        <f t="shared" si="0"/>
        <v>192.7</v>
      </c>
      <c r="AF5" s="32">
        <f t="shared" si="0"/>
        <v>164.6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3"/>
      <c r="E6" s="183"/>
      <c r="F6" s="183"/>
      <c r="G6" s="183"/>
      <c r="H6" s="183"/>
      <c r="I6" s="18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1066MW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Load=870</v>
      </c>
      <c r="B7" s="36">
        <f t="shared" ref="B7:AF7" si="1">B65</f>
        <v>892.72</v>
      </c>
      <c r="C7" s="36">
        <f t="shared" si="1"/>
        <v>882.83999999999992</v>
      </c>
      <c r="D7" s="36">
        <f t="shared" si="1"/>
        <v>880.04</v>
      </c>
      <c r="E7" s="36">
        <f t="shared" si="1"/>
        <v>911.3599999999999</v>
      </c>
      <c r="F7" s="36">
        <f t="shared" si="1"/>
        <v>869.92000000000007</v>
      </c>
      <c r="G7" s="36">
        <f t="shared" si="1"/>
        <v>906.71999999999991</v>
      </c>
      <c r="H7" s="36">
        <f t="shared" si="1"/>
        <v>889.27</v>
      </c>
      <c r="I7" s="36">
        <f t="shared" si="1"/>
        <v>902.02</v>
      </c>
      <c r="J7" s="36">
        <f t="shared" si="1"/>
        <v>943.54000000000008</v>
      </c>
      <c r="K7" s="36">
        <f t="shared" si="1"/>
        <v>992.57</v>
      </c>
      <c r="L7" s="36">
        <f>L65</f>
        <v>1031.04</v>
      </c>
      <c r="M7" s="36">
        <f t="shared" si="1"/>
        <v>1065.6399999999999</v>
      </c>
      <c r="N7" s="36">
        <f t="shared" si="1"/>
        <v>1065.71</v>
      </c>
      <c r="O7" s="36">
        <f t="shared" si="1"/>
        <v>1087.44</v>
      </c>
      <c r="P7" s="36">
        <f t="shared" si="1"/>
        <v>1086.8399999999999</v>
      </c>
      <c r="Q7" s="36">
        <f t="shared" si="1"/>
        <v>1110.24</v>
      </c>
      <c r="R7" s="36">
        <f t="shared" si="1"/>
        <v>1068.69</v>
      </c>
      <c r="S7" s="36">
        <f t="shared" si="1"/>
        <v>1053.96</v>
      </c>
      <c r="T7" s="36">
        <f t="shared" si="1"/>
        <v>1054.54</v>
      </c>
      <c r="U7" s="36">
        <f t="shared" si="1"/>
        <v>1015.52</v>
      </c>
      <c r="V7" s="36">
        <f t="shared" si="1"/>
        <v>1022.54</v>
      </c>
      <c r="W7" s="36">
        <f t="shared" si="1"/>
        <v>1006.56</v>
      </c>
      <c r="X7" s="36">
        <f t="shared" si="1"/>
        <v>1027.3400000000001</v>
      </c>
      <c r="Y7" s="36">
        <f t="shared" si="1"/>
        <v>1147.6299999999999</v>
      </c>
      <c r="Z7" s="36">
        <f t="shared" si="1"/>
        <v>1245.77</v>
      </c>
      <c r="AA7" s="36">
        <f t="shared" si="1"/>
        <v>1297.44</v>
      </c>
      <c r="AB7" s="36">
        <f t="shared" si="1"/>
        <v>1297.44</v>
      </c>
      <c r="AC7" s="36">
        <f t="shared" si="1"/>
        <v>1203.6399999999999</v>
      </c>
      <c r="AD7" s="36">
        <f t="shared" si="1"/>
        <v>1146.74</v>
      </c>
      <c r="AE7" s="36">
        <f t="shared" si="1"/>
        <v>1094.8399999999999</v>
      </c>
      <c r="AF7" s="36">
        <f t="shared" si="1"/>
        <v>1071.04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48</v>
      </c>
      <c r="C11" s="48">
        <v>48</v>
      </c>
      <c r="D11" s="48">
        <v>48</v>
      </c>
      <c r="E11" s="48">
        <v>48</v>
      </c>
      <c r="F11" s="48">
        <v>48</v>
      </c>
      <c r="G11" s="48">
        <v>48</v>
      </c>
      <c r="H11" s="48">
        <v>48</v>
      </c>
      <c r="I11" s="48">
        <v>48</v>
      </c>
      <c r="J11" s="48">
        <v>48</v>
      </c>
      <c r="K11" s="48">
        <v>48</v>
      </c>
      <c r="L11" s="48">
        <v>52</v>
      </c>
      <c r="M11" s="48">
        <v>52</v>
      </c>
      <c r="N11" s="48">
        <v>52</v>
      </c>
      <c r="O11" s="48">
        <v>52</v>
      </c>
      <c r="P11" s="48">
        <v>52</v>
      </c>
      <c r="Q11" s="48">
        <v>52</v>
      </c>
      <c r="R11" s="50">
        <v>44</v>
      </c>
      <c r="S11" s="50">
        <v>42.4</v>
      </c>
      <c r="T11" s="50">
        <v>41.9</v>
      </c>
      <c r="U11" s="50">
        <v>41.1</v>
      </c>
      <c r="V11" s="50">
        <v>41.6</v>
      </c>
      <c r="W11" s="50">
        <v>41.6</v>
      </c>
      <c r="X11" s="50">
        <v>39.700000000000003</v>
      </c>
      <c r="Y11" s="50">
        <v>41.9</v>
      </c>
      <c r="Z11" s="50">
        <v>41.9</v>
      </c>
      <c r="AA11" s="48">
        <v>43.5</v>
      </c>
      <c r="AB11" s="48">
        <v>43.5</v>
      </c>
      <c r="AC11" s="48">
        <v>41.8</v>
      </c>
      <c r="AD11" s="48">
        <v>40.5</v>
      </c>
      <c r="AE11" s="48">
        <v>41.6</v>
      </c>
      <c r="AF11" s="48">
        <v>43.4</v>
      </c>
      <c r="AG11" s="51">
        <v>60</v>
      </c>
      <c r="AH11" s="52">
        <f>MAX(B11:AF11)</f>
        <v>52</v>
      </c>
      <c r="AI11" s="53">
        <f>MIN(B11:AF11)</f>
        <v>39.700000000000003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50.3</v>
      </c>
      <c r="C12" s="56">
        <v>50.3</v>
      </c>
      <c r="D12" s="56">
        <v>50.2</v>
      </c>
      <c r="E12" s="56">
        <v>50.3</v>
      </c>
      <c r="F12" s="56">
        <v>50.5</v>
      </c>
      <c r="G12" s="56">
        <v>50.4</v>
      </c>
      <c r="H12" s="56">
        <v>50.2</v>
      </c>
      <c r="I12" s="56">
        <v>50.4</v>
      </c>
      <c r="J12" s="56">
        <v>50.4</v>
      </c>
      <c r="K12" s="56">
        <v>50.6</v>
      </c>
      <c r="L12" s="56">
        <v>50.5</v>
      </c>
      <c r="M12" s="56">
        <v>50.5</v>
      </c>
      <c r="N12" s="56">
        <v>50.5</v>
      </c>
      <c r="O12" s="56">
        <v>50.1</v>
      </c>
      <c r="P12" s="56">
        <v>50.1</v>
      </c>
      <c r="Q12" s="56">
        <v>50.1</v>
      </c>
      <c r="R12" s="49">
        <v>50.4</v>
      </c>
      <c r="S12" s="49">
        <v>50.6</v>
      </c>
      <c r="T12" s="49">
        <v>50.2</v>
      </c>
      <c r="U12" s="49">
        <v>50.4</v>
      </c>
      <c r="V12" s="49">
        <v>50.4</v>
      </c>
      <c r="W12" s="49">
        <v>50.4</v>
      </c>
      <c r="X12" s="49">
        <v>50.4</v>
      </c>
      <c r="Y12" s="49">
        <v>50.3</v>
      </c>
      <c r="Z12" s="49">
        <v>50.3</v>
      </c>
      <c r="AA12" s="56">
        <v>50.2</v>
      </c>
      <c r="AB12" s="56">
        <v>50.2</v>
      </c>
      <c r="AC12" s="56">
        <v>50.2</v>
      </c>
      <c r="AD12" s="56">
        <v>50.5</v>
      </c>
      <c r="AE12" s="56">
        <v>50.4</v>
      </c>
      <c r="AF12" s="56">
        <v>50.4</v>
      </c>
      <c r="AG12" s="57">
        <v>50</v>
      </c>
      <c r="AH12" s="52">
        <f t="shared" ref="AH12:AH77" si="2">MAX(B12:AF12)</f>
        <v>50.6</v>
      </c>
      <c r="AI12" s="53">
        <f t="shared" ref="AI12:AI77" si="3">MIN(B12:AF12)</f>
        <v>50.1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43.5</v>
      </c>
      <c r="C13" s="56">
        <v>43.5</v>
      </c>
      <c r="D13" s="56">
        <v>43.4</v>
      </c>
      <c r="E13" s="56">
        <v>43.3</v>
      </c>
      <c r="F13" s="56">
        <v>43.4</v>
      </c>
      <c r="G13" s="56">
        <v>43.6</v>
      </c>
      <c r="H13" s="56">
        <v>43.3</v>
      </c>
      <c r="I13" s="56">
        <v>43.4</v>
      </c>
      <c r="J13" s="56">
        <v>43.5</v>
      </c>
      <c r="K13" s="56">
        <v>43.4</v>
      </c>
      <c r="L13" s="56">
        <v>43.3</v>
      </c>
      <c r="M13" s="56">
        <v>43.3</v>
      </c>
      <c r="N13" s="56">
        <v>43.3</v>
      </c>
      <c r="O13" s="56">
        <v>42.1</v>
      </c>
      <c r="P13" s="56">
        <v>42.1</v>
      </c>
      <c r="Q13" s="56">
        <v>42.1</v>
      </c>
      <c r="R13" s="49">
        <v>41.6</v>
      </c>
      <c r="S13" s="49">
        <v>41.6</v>
      </c>
      <c r="T13" s="49">
        <v>42.9</v>
      </c>
      <c r="U13" s="49">
        <v>41.7</v>
      </c>
      <c r="V13" s="49">
        <v>43.6</v>
      </c>
      <c r="W13" s="49">
        <v>42.7</v>
      </c>
      <c r="X13" s="49">
        <v>42.7</v>
      </c>
      <c r="Y13" s="49">
        <v>43</v>
      </c>
      <c r="Z13" s="49">
        <v>43.3</v>
      </c>
      <c r="AA13" s="56">
        <v>43.5</v>
      </c>
      <c r="AB13" s="56">
        <v>43.5</v>
      </c>
      <c r="AC13" s="56">
        <v>43.7</v>
      </c>
      <c r="AD13" s="56">
        <v>43.9</v>
      </c>
      <c r="AE13" s="56">
        <v>43.7</v>
      </c>
      <c r="AF13" s="56">
        <v>43.3</v>
      </c>
      <c r="AG13" s="59">
        <v>45</v>
      </c>
      <c r="AH13" s="52">
        <f t="shared" si="2"/>
        <v>43.9</v>
      </c>
      <c r="AI13" s="53">
        <f t="shared" si="3"/>
        <v>41.6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21</v>
      </c>
      <c r="C14" s="56">
        <v>21</v>
      </c>
      <c r="D14" s="56">
        <v>21</v>
      </c>
      <c r="E14" s="56">
        <v>21</v>
      </c>
      <c r="F14" s="56">
        <v>21</v>
      </c>
      <c r="G14" s="56">
        <v>21</v>
      </c>
      <c r="H14" s="56">
        <v>21</v>
      </c>
      <c r="I14" s="56">
        <v>21</v>
      </c>
      <c r="J14" s="56">
        <v>21</v>
      </c>
      <c r="K14" s="56">
        <v>21</v>
      </c>
      <c r="L14" s="56">
        <v>21</v>
      </c>
      <c r="M14" s="56">
        <v>21</v>
      </c>
      <c r="N14" s="56">
        <v>21</v>
      </c>
      <c r="O14" s="56">
        <v>21</v>
      </c>
      <c r="P14" s="56">
        <v>21</v>
      </c>
      <c r="Q14" s="56">
        <v>21</v>
      </c>
      <c r="R14" s="49">
        <v>21</v>
      </c>
      <c r="S14" s="49">
        <v>21</v>
      </c>
      <c r="T14" s="49">
        <v>21</v>
      </c>
      <c r="U14" s="49">
        <v>21</v>
      </c>
      <c r="V14" s="49">
        <v>21</v>
      </c>
      <c r="W14" s="49">
        <v>21</v>
      </c>
      <c r="X14" s="49">
        <v>21</v>
      </c>
      <c r="Y14" s="49">
        <v>21</v>
      </c>
      <c r="Z14" s="49">
        <v>21</v>
      </c>
      <c r="AA14" s="56">
        <v>21</v>
      </c>
      <c r="AB14" s="56">
        <v>21</v>
      </c>
      <c r="AC14" s="56">
        <v>21</v>
      </c>
      <c r="AD14" s="56">
        <v>21</v>
      </c>
      <c r="AE14" s="56">
        <v>21</v>
      </c>
      <c r="AF14" s="56">
        <v>21</v>
      </c>
      <c r="AG14" s="59">
        <v>25</v>
      </c>
      <c r="AH14" s="52">
        <f t="shared" si="2"/>
        <v>21</v>
      </c>
      <c r="AI14" s="53">
        <f t="shared" si="3"/>
        <v>21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25.5</v>
      </c>
      <c r="C15" s="56">
        <v>25</v>
      </c>
      <c r="D15" s="56">
        <v>24.3</v>
      </c>
      <c r="E15" s="56">
        <v>24.3</v>
      </c>
      <c r="F15" s="56">
        <v>24.1</v>
      </c>
      <c r="G15" s="56">
        <v>22.8</v>
      </c>
      <c r="H15" s="56">
        <v>24.2</v>
      </c>
      <c r="I15" s="56">
        <v>25.5</v>
      </c>
      <c r="J15" s="56">
        <v>25.6</v>
      </c>
      <c r="K15" s="56">
        <v>25.5</v>
      </c>
      <c r="L15" s="56">
        <v>25.7</v>
      </c>
      <c r="M15" s="56">
        <v>25.7</v>
      </c>
      <c r="N15" s="56">
        <v>25.7</v>
      </c>
      <c r="O15" s="56">
        <v>25.7</v>
      </c>
      <c r="P15" s="56">
        <v>25.7</v>
      </c>
      <c r="Q15" s="56">
        <v>25.7</v>
      </c>
      <c r="R15" s="56">
        <v>25.7</v>
      </c>
      <c r="S15" s="49">
        <v>24</v>
      </c>
      <c r="T15" s="49">
        <v>24</v>
      </c>
      <c r="U15" s="49">
        <v>24.3</v>
      </c>
      <c r="V15" s="49">
        <v>25.1</v>
      </c>
      <c r="W15" s="49">
        <v>25.5</v>
      </c>
      <c r="X15" s="49">
        <v>25.3</v>
      </c>
      <c r="Y15" s="49">
        <v>25.3</v>
      </c>
      <c r="Z15" s="49">
        <v>25.2</v>
      </c>
      <c r="AA15" s="56">
        <v>25.3</v>
      </c>
      <c r="AB15" s="56">
        <v>25.3</v>
      </c>
      <c r="AC15" s="56">
        <v>25.2</v>
      </c>
      <c r="AD15" s="56">
        <v>25.2</v>
      </c>
      <c r="AE15" s="56">
        <v>25.4</v>
      </c>
      <c r="AF15" s="56">
        <v>25.3</v>
      </c>
      <c r="AG15" s="59">
        <v>25</v>
      </c>
      <c r="AH15" s="52">
        <f t="shared" si="2"/>
        <v>25.7</v>
      </c>
      <c r="AI15" s="53">
        <f t="shared" si="3"/>
        <v>22.8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56">
        <v>6.2</v>
      </c>
      <c r="N16" s="56">
        <v>6.2</v>
      </c>
      <c r="O16" s="56">
        <v>6.2</v>
      </c>
      <c r="P16" s="56">
        <v>6.2</v>
      </c>
      <c r="Q16" s="56">
        <v>6.2</v>
      </c>
      <c r="R16" s="56">
        <v>6.2</v>
      </c>
      <c r="S16" s="56">
        <v>6.2</v>
      </c>
      <c r="T16" s="56">
        <v>6.2</v>
      </c>
      <c r="U16" s="56">
        <v>6.2</v>
      </c>
      <c r="V16" s="56">
        <v>6.2</v>
      </c>
      <c r="W16" s="56">
        <v>6.2</v>
      </c>
      <c r="X16" s="56">
        <v>6.2</v>
      </c>
      <c r="Y16" s="56">
        <v>6.2</v>
      </c>
      <c r="Z16" s="56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25.5</v>
      </c>
      <c r="C17" s="56">
        <v>25.5</v>
      </c>
      <c r="D17" s="56">
        <v>25.1</v>
      </c>
      <c r="E17" s="56">
        <v>24.9</v>
      </c>
      <c r="F17" s="56">
        <v>24.9</v>
      </c>
      <c r="G17" s="56">
        <v>24.8</v>
      </c>
      <c r="H17" s="56">
        <v>24.7</v>
      </c>
      <c r="I17" s="56">
        <v>24.8</v>
      </c>
      <c r="J17" s="56">
        <v>25.9</v>
      </c>
      <c r="K17" s="56">
        <v>24.6</v>
      </c>
      <c r="L17" s="56">
        <v>24.3</v>
      </c>
      <c r="M17" s="56">
        <v>24.3</v>
      </c>
      <c r="N17" s="56">
        <v>24.3</v>
      </c>
      <c r="O17" s="56">
        <v>24.3</v>
      </c>
      <c r="P17" s="56">
        <v>24.3</v>
      </c>
      <c r="Q17" s="56">
        <v>24.3</v>
      </c>
      <c r="R17" s="56">
        <v>24.3</v>
      </c>
      <c r="S17" s="49">
        <v>24</v>
      </c>
      <c r="T17" s="49">
        <v>24.1</v>
      </c>
      <c r="U17" s="49">
        <v>24</v>
      </c>
      <c r="V17" s="49">
        <v>23.9</v>
      </c>
      <c r="W17" s="49">
        <v>24.1</v>
      </c>
      <c r="X17" s="49">
        <v>23.8</v>
      </c>
      <c r="Y17" s="49">
        <v>24.3</v>
      </c>
      <c r="Z17" s="49">
        <v>24.6</v>
      </c>
      <c r="AA17" s="49">
        <v>24.6</v>
      </c>
      <c r="AB17" s="49">
        <v>24.6</v>
      </c>
      <c r="AC17" s="49">
        <v>24.6</v>
      </c>
      <c r="AD17" s="49">
        <v>24.6</v>
      </c>
      <c r="AE17" s="49">
        <v>24.6</v>
      </c>
      <c r="AF17" s="49">
        <v>24.6</v>
      </c>
      <c r="AG17" s="59">
        <v>22.1</v>
      </c>
      <c r="AH17" s="52">
        <f t="shared" si="2"/>
        <v>25.9</v>
      </c>
      <c r="AI17" s="53">
        <f t="shared" si="3"/>
        <v>23.8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16</v>
      </c>
      <c r="C18" s="56">
        <v>16</v>
      </c>
      <c r="D18" s="56">
        <v>16</v>
      </c>
      <c r="E18" s="56">
        <v>16</v>
      </c>
      <c r="F18" s="56">
        <v>16</v>
      </c>
      <c r="G18" s="56">
        <v>16</v>
      </c>
      <c r="H18" s="56">
        <v>16</v>
      </c>
      <c r="I18" s="56">
        <v>16</v>
      </c>
      <c r="J18" s="56">
        <v>16</v>
      </c>
      <c r="K18" s="56">
        <v>16</v>
      </c>
      <c r="L18" s="56">
        <v>16</v>
      </c>
      <c r="M18" s="56">
        <v>16</v>
      </c>
      <c r="N18" s="56">
        <v>16</v>
      </c>
      <c r="O18" s="56">
        <v>16</v>
      </c>
      <c r="P18" s="56">
        <v>16</v>
      </c>
      <c r="Q18" s="56">
        <v>16</v>
      </c>
      <c r="R18" s="56">
        <v>16</v>
      </c>
      <c r="S18" s="56">
        <v>16</v>
      </c>
      <c r="T18" s="56">
        <v>16</v>
      </c>
      <c r="U18" s="56">
        <v>16</v>
      </c>
      <c r="V18" s="56">
        <v>16</v>
      </c>
      <c r="W18" s="56">
        <v>16</v>
      </c>
      <c r="X18" s="56">
        <v>16</v>
      </c>
      <c r="Y18" s="56">
        <v>16</v>
      </c>
      <c r="Z18" s="56">
        <v>16</v>
      </c>
      <c r="AA18" s="49">
        <v>16</v>
      </c>
      <c r="AB18" s="49">
        <v>16</v>
      </c>
      <c r="AC18" s="49">
        <v>16</v>
      </c>
      <c r="AD18" s="49">
        <v>16</v>
      </c>
      <c r="AE18" s="49">
        <v>16</v>
      </c>
      <c r="AF18" s="49">
        <v>16</v>
      </c>
      <c r="AG18" s="59">
        <v>22.1</v>
      </c>
      <c r="AH18" s="52">
        <f t="shared" si="2"/>
        <v>16</v>
      </c>
      <c r="AI18" s="53">
        <f t="shared" si="3"/>
        <v>16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20.3</v>
      </c>
      <c r="C19" s="56">
        <v>20.2</v>
      </c>
      <c r="D19" s="56">
        <v>19.5</v>
      </c>
      <c r="E19" s="56">
        <v>18.399999999999999</v>
      </c>
      <c r="F19" s="56">
        <v>17.399999999999999</v>
      </c>
      <c r="G19" s="56">
        <v>17.600000000000001</v>
      </c>
      <c r="H19" s="56">
        <v>17.399999999999999</v>
      </c>
      <c r="I19" s="56">
        <v>17.3</v>
      </c>
      <c r="J19" s="56">
        <v>16.2</v>
      </c>
      <c r="K19" s="56">
        <v>15.4</v>
      </c>
      <c r="L19" s="56">
        <v>15.4</v>
      </c>
      <c r="M19" s="56">
        <v>15.4</v>
      </c>
      <c r="N19" s="56">
        <v>15.4</v>
      </c>
      <c r="O19" s="56">
        <v>15.4</v>
      </c>
      <c r="P19" s="56">
        <v>15.4</v>
      </c>
      <c r="Q19" s="56">
        <v>15.4</v>
      </c>
      <c r="R19" s="56">
        <v>15.4</v>
      </c>
      <c r="S19" s="49">
        <v>13.1</v>
      </c>
      <c r="T19" s="49">
        <v>15.1</v>
      </c>
      <c r="U19" s="49">
        <v>16.100000000000001</v>
      </c>
      <c r="V19" s="49">
        <v>11.3</v>
      </c>
      <c r="W19" s="49">
        <v>15</v>
      </c>
      <c r="X19" s="49">
        <v>16</v>
      </c>
      <c r="Y19" s="49">
        <v>16.399999999999999</v>
      </c>
      <c r="Z19" s="49">
        <v>16.5</v>
      </c>
      <c r="AA19" s="49">
        <v>16.5</v>
      </c>
      <c r="AB19" s="49">
        <v>16.5</v>
      </c>
      <c r="AC19" s="49">
        <v>15.7</v>
      </c>
      <c r="AD19" s="49">
        <v>15.2</v>
      </c>
      <c r="AE19" s="49">
        <v>14.7</v>
      </c>
      <c r="AF19" s="49">
        <v>14.6</v>
      </c>
      <c r="AG19" s="59">
        <v>22</v>
      </c>
      <c r="AH19" s="52">
        <f t="shared" si="2"/>
        <v>20.3</v>
      </c>
      <c r="AI19" s="53">
        <f t="shared" si="3"/>
        <v>11.3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22</v>
      </c>
      <c r="C20" s="56">
        <v>22</v>
      </c>
      <c r="D20" s="56">
        <v>22</v>
      </c>
      <c r="E20" s="56">
        <v>22</v>
      </c>
      <c r="F20" s="56">
        <v>22</v>
      </c>
      <c r="G20" s="56">
        <v>22</v>
      </c>
      <c r="H20" s="56">
        <v>22</v>
      </c>
      <c r="I20" s="56">
        <v>22</v>
      </c>
      <c r="J20" s="56">
        <v>22</v>
      </c>
      <c r="K20" s="56">
        <v>22</v>
      </c>
      <c r="L20" s="56">
        <v>22</v>
      </c>
      <c r="M20" s="56">
        <v>22</v>
      </c>
      <c r="N20" s="56">
        <v>22</v>
      </c>
      <c r="O20" s="56">
        <v>22</v>
      </c>
      <c r="P20" s="56">
        <v>22</v>
      </c>
      <c r="Q20" s="56">
        <v>22</v>
      </c>
      <c r="R20" s="56">
        <v>22</v>
      </c>
      <c r="S20" s="56">
        <v>22</v>
      </c>
      <c r="T20" s="56">
        <v>22</v>
      </c>
      <c r="U20" s="56">
        <v>22</v>
      </c>
      <c r="V20" s="56">
        <v>22</v>
      </c>
      <c r="W20" s="56">
        <v>22</v>
      </c>
      <c r="X20" s="56">
        <v>22</v>
      </c>
      <c r="Y20" s="56">
        <v>22</v>
      </c>
      <c r="Z20" s="56">
        <v>22</v>
      </c>
      <c r="AA20" s="49">
        <v>22</v>
      </c>
      <c r="AB20" s="49">
        <v>22</v>
      </c>
      <c r="AC20" s="49">
        <v>22</v>
      </c>
      <c r="AD20" s="49">
        <v>22</v>
      </c>
      <c r="AE20" s="49">
        <v>22</v>
      </c>
      <c r="AF20" s="49">
        <v>22</v>
      </c>
      <c r="AG20" s="59">
        <v>22</v>
      </c>
      <c r="AH20" s="52">
        <f t="shared" si="2"/>
        <v>22</v>
      </c>
      <c r="AI20" s="53">
        <f t="shared" si="3"/>
        <v>22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7.5</v>
      </c>
      <c r="C21" s="56">
        <v>7.5</v>
      </c>
      <c r="D21" s="56">
        <v>7.5</v>
      </c>
      <c r="E21" s="56">
        <v>7.5</v>
      </c>
      <c r="F21" s="56">
        <v>7.5</v>
      </c>
      <c r="G21" s="56">
        <v>7.5</v>
      </c>
      <c r="H21" s="56">
        <v>7.5</v>
      </c>
      <c r="I21" s="56">
        <v>7.5</v>
      </c>
      <c r="J21" s="56">
        <v>7.5</v>
      </c>
      <c r="K21" s="56">
        <v>7.5</v>
      </c>
      <c r="L21" s="56">
        <v>7.5</v>
      </c>
      <c r="M21" s="56">
        <v>7.5</v>
      </c>
      <c r="N21" s="56">
        <v>7.5</v>
      </c>
      <c r="O21" s="56">
        <v>7.5</v>
      </c>
      <c r="P21" s="56">
        <v>7.5</v>
      </c>
      <c r="Q21" s="56">
        <v>7.5</v>
      </c>
      <c r="R21" s="56">
        <v>7.5</v>
      </c>
      <c r="S21" s="56">
        <v>7.5</v>
      </c>
      <c r="T21" s="56">
        <v>7.5</v>
      </c>
      <c r="U21" s="56">
        <v>7.5</v>
      </c>
      <c r="V21" s="56">
        <v>7.5</v>
      </c>
      <c r="W21" s="56">
        <v>7.5</v>
      </c>
      <c r="X21" s="56">
        <v>7.5</v>
      </c>
      <c r="Y21" s="56">
        <v>7.5</v>
      </c>
      <c r="Z21" s="56">
        <v>7.5</v>
      </c>
      <c r="AA21" s="49">
        <v>7.5</v>
      </c>
      <c r="AB21" s="49">
        <v>7.5</v>
      </c>
      <c r="AC21" s="49">
        <v>7.5</v>
      </c>
      <c r="AD21" s="49">
        <v>7.5</v>
      </c>
      <c r="AE21" s="49">
        <v>7.5</v>
      </c>
      <c r="AF21" s="49">
        <v>7.5</v>
      </c>
      <c r="AG21" s="59">
        <v>14.9</v>
      </c>
      <c r="AH21" s="52">
        <f t="shared" si="2"/>
        <v>7.5</v>
      </c>
      <c r="AI21" s="53">
        <f t="shared" si="3"/>
        <v>7.5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10</v>
      </c>
      <c r="C22" s="56">
        <v>10</v>
      </c>
      <c r="D22" s="56">
        <v>10</v>
      </c>
      <c r="E22" s="56">
        <v>10</v>
      </c>
      <c r="F22" s="56">
        <v>10</v>
      </c>
      <c r="G22" s="56">
        <v>10</v>
      </c>
      <c r="H22" s="56">
        <v>10</v>
      </c>
      <c r="I22" s="56">
        <v>10</v>
      </c>
      <c r="J22" s="56">
        <v>10</v>
      </c>
      <c r="K22" s="56">
        <v>10</v>
      </c>
      <c r="L22" s="56">
        <v>10</v>
      </c>
      <c r="M22" s="56">
        <v>10</v>
      </c>
      <c r="N22" s="56">
        <v>10</v>
      </c>
      <c r="O22" s="56">
        <v>10</v>
      </c>
      <c r="P22" s="56">
        <v>10</v>
      </c>
      <c r="Q22" s="56">
        <v>10</v>
      </c>
      <c r="R22" s="56">
        <v>10</v>
      </c>
      <c r="S22" s="56">
        <v>10</v>
      </c>
      <c r="T22" s="56">
        <v>10</v>
      </c>
      <c r="U22" s="56">
        <v>10</v>
      </c>
      <c r="V22" s="56">
        <v>10</v>
      </c>
      <c r="W22" s="56">
        <v>10</v>
      </c>
      <c r="X22" s="56">
        <v>10</v>
      </c>
      <c r="Y22" s="56">
        <v>10</v>
      </c>
      <c r="Z22" s="56">
        <v>10</v>
      </c>
      <c r="AA22" s="49">
        <v>10</v>
      </c>
      <c r="AB22" s="49">
        <v>10</v>
      </c>
      <c r="AC22" s="49">
        <v>10</v>
      </c>
      <c r="AD22" s="49">
        <v>10</v>
      </c>
      <c r="AE22" s="49">
        <v>10</v>
      </c>
      <c r="AF22" s="49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</v>
      </c>
      <c r="C23" s="56">
        <v>10</v>
      </c>
      <c r="D23" s="56">
        <v>10</v>
      </c>
      <c r="E23" s="56">
        <v>10</v>
      </c>
      <c r="F23" s="56">
        <v>10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56">
        <v>10</v>
      </c>
      <c r="M23" s="56">
        <v>10</v>
      </c>
      <c r="N23" s="56">
        <v>10</v>
      </c>
      <c r="O23" s="56">
        <v>10</v>
      </c>
      <c r="P23" s="56">
        <v>10</v>
      </c>
      <c r="Q23" s="56">
        <v>10</v>
      </c>
      <c r="R23" s="56">
        <v>10</v>
      </c>
      <c r="S23" s="56">
        <v>10</v>
      </c>
      <c r="T23" s="56">
        <v>10</v>
      </c>
      <c r="U23" s="56">
        <v>10</v>
      </c>
      <c r="V23" s="56">
        <v>10</v>
      </c>
      <c r="W23" s="56">
        <v>10</v>
      </c>
      <c r="X23" s="56">
        <v>10</v>
      </c>
      <c r="Y23" s="56">
        <v>10</v>
      </c>
      <c r="Z23" s="56">
        <v>10</v>
      </c>
      <c r="AA23" s="49">
        <v>10</v>
      </c>
      <c r="AB23" s="49">
        <v>10</v>
      </c>
      <c r="AC23" s="49">
        <v>10</v>
      </c>
      <c r="AD23" s="49">
        <v>10</v>
      </c>
      <c r="AE23" s="49">
        <v>10</v>
      </c>
      <c r="AF23" s="49">
        <v>10</v>
      </c>
      <c r="AG23" s="59">
        <v>13</v>
      </c>
      <c r="AH23" s="52">
        <f t="shared" si="2"/>
        <v>10</v>
      </c>
      <c r="AI23" s="53">
        <f t="shared" si="3"/>
        <v>10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12</v>
      </c>
      <c r="C24" s="56">
        <v>12</v>
      </c>
      <c r="D24" s="56">
        <v>12</v>
      </c>
      <c r="E24" s="56">
        <v>12</v>
      </c>
      <c r="F24" s="56">
        <v>12</v>
      </c>
      <c r="G24" s="56">
        <v>12</v>
      </c>
      <c r="H24" s="56">
        <v>12</v>
      </c>
      <c r="I24" s="56">
        <v>12</v>
      </c>
      <c r="J24" s="56">
        <v>12</v>
      </c>
      <c r="K24" s="56">
        <v>12</v>
      </c>
      <c r="L24" s="56">
        <v>12</v>
      </c>
      <c r="M24" s="56">
        <v>12</v>
      </c>
      <c r="N24" s="56">
        <v>12</v>
      </c>
      <c r="O24" s="56">
        <v>12</v>
      </c>
      <c r="P24" s="56">
        <v>12</v>
      </c>
      <c r="Q24" s="56">
        <v>12</v>
      </c>
      <c r="R24" s="56">
        <v>12</v>
      </c>
      <c r="S24" s="56">
        <v>12</v>
      </c>
      <c r="T24" s="56">
        <v>12</v>
      </c>
      <c r="U24" s="56">
        <v>12</v>
      </c>
      <c r="V24" s="56">
        <v>12</v>
      </c>
      <c r="W24" s="56">
        <v>12</v>
      </c>
      <c r="X24" s="56">
        <v>12</v>
      </c>
      <c r="Y24" s="56">
        <v>12</v>
      </c>
      <c r="Z24" s="56">
        <v>12</v>
      </c>
      <c r="AA24" s="49">
        <v>12</v>
      </c>
      <c r="AB24" s="49">
        <v>12</v>
      </c>
      <c r="AC24" s="49">
        <v>12</v>
      </c>
      <c r="AD24" s="49">
        <v>12</v>
      </c>
      <c r="AE24" s="49">
        <v>12</v>
      </c>
      <c r="AF24" s="49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184</v>
      </c>
      <c r="C28" s="56">
        <v>184</v>
      </c>
      <c r="D28" s="56">
        <v>184</v>
      </c>
      <c r="E28" s="56">
        <v>184</v>
      </c>
      <c r="F28" s="56">
        <v>184</v>
      </c>
      <c r="G28" s="56">
        <v>184</v>
      </c>
      <c r="H28" s="56">
        <v>184</v>
      </c>
      <c r="I28" s="56">
        <v>184</v>
      </c>
      <c r="J28" s="56">
        <v>184</v>
      </c>
      <c r="K28" s="56">
        <v>184</v>
      </c>
      <c r="L28" s="56">
        <v>184</v>
      </c>
      <c r="M28" s="56">
        <v>184</v>
      </c>
      <c r="N28" s="56">
        <v>184</v>
      </c>
      <c r="O28" s="56">
        <v>184</v>
      </c>
      <c r="P28" s="56">
        <v>164</v>
      </c>
      <c r="Q28" s="56">
        <v>174</v>
      </c>
      <c r="R28" s="56">
        <v>174</v>
      </c>
      <c r="S28" s="56">
        <v>184</v>
      </c>
      <c r="T28" s="56">
        <v>184</v>
      </c>
      <c r="U28" s="56">
        <v>184</v>
      </c>
      <c r="V28" s="56">
        <v>184</v>
      </c>
      <c r="W28" s="56">
        <v>184</v>
      </c>
      <c r="X28" s="56">
        <v>184</v>
      </c>
      <c r="Y28" s="56">
        <v>184</v>
      </c>
      <c r="Z28" s="56">
        <v>184</v>
      </c>
      <c r="AA28" s="56">
        <v>184</v>
      </c>
      <c r="AB28" s="56">
        <v>184</v>
      </c>
      <c r="AC28" s="56">
        <v>184</v>
      </c>
      <c r="AD28" s="56">
        <v>184</v>
      </c>
      <c r="AE28" s="56">
        <v>184</v>
      </c>
      <c r="AF28" s="56">
        <v>184</v>
      </c>
      <c r="AG28" s="59">
        <v>85</v>
      </c>
      <c r="AH28" s="52">
        <f t="shared" si="2"/>
        <v>184</v>
      </c>
      <c r="AI28" s="53">
        <f t="shared" si="3"/>
        <v>164</v>
      </c>
      <c r="AK28" s="54"/>
    </row>
    <row r="29" spans="1:88" ht="15.75" thickBot="1" x14ac:dyDescent="0.3">
      <c r="A29" s="66" t="s">
        <v>36</v>
      </c>
      <c r="B29" s="56">
        <v>119.3</v>
      </c>
      <c r="C29" s="56">
        <v>119.8</v>
      </c>
      <c r="D29" s="56">
        <v>115.3</v>
      </c>
      <c r="E29" s="56">
        <v>116.1</v>
      </c>
      <c r="F29" s="56">
        <v>109.9</v>
      </c>
      <c r="G29" s="56">
        <v>112.5</v>
      </c>
      <c r="H29" s="56">
        <v>111.8</v>
      </c>
      <c r="I29" s="56">
        <v>111</v>
      </c>
      <c r="J29" s="56">
        <v>129.4</v>
      </c>
      <c r="K29" s="56">
        <v>103.3</v>
      </c>
      <c r="L29" s="67">
        <v>114.4</v>
      </c>
      <c r="M29" s="67">
        <v>110.8</v>
      </c>
      <c r="N29" s="67">
        <v>107.5</v>
      </c>
      <c r="O29" s="67">
        <v>105.3</v>
      </c>
      <c r="P29" s="67">
        <v>95</v>
      </c>
      <c r="Q29" s="67">
        <v>108</v>
      </c>
      <c r="R29" s="67">
        <v>105</v>
      </c>
      <c r="S29" s="67">
        <v>105</v>
      </c>
      <c r="T29" s="67">
        <v>95.6</v>
      </c>
      <c r="U29" s="67">
        <v>103.3</v>
      </c>
      <c r="V29" s="67">
        <v>101.7</v>
      </c>
      <c r="W29" s="67">
        <v>94.4</v>
      </c>
      <c r="X29" s="67">
        <v>95.5</v>
      </c>
      <c r="Y29" s="67">
        <v>87.8</v>
      </c>
      <c r="Z29" s="67">
        <v>92.7</v>
      </c>
      <c r="AA29" s="67">
        <v>91.2</v>
      </c>
      <c r="AB29" s="67">
        <v>91.2</v>
      </c>
      <c r="AC29" s="67">
        <v>89.9</v>
      </c>
      <c r="AD29" s="67">
        <v>88.6</v>
      </c>
      <c r="AE29" s="56">
        <v>84.3</v>
      </c>
      <c r="AF29" s="56">
        <v>90</v>
      </c>
      <c r="AG29" s="59">
        <v>240</v>
      </c>
      <c r="AH29" s="52">
        <f t="shared" si="2"/>
        <v>129.4</v>
      </c>
      <c r="AI29" s="53">
        <f t="shared" si="3"/>
        <v>84.3</v>
      </c>
      <c r="AK29" s="54"/>
    </row>
    <row r="30" spans="1:88" ht="15.75" thickBot="1" x14ac:dyDescent="0.3">
      <c r="A30" s="68" t="s">
        <v>37</v>
      </c>
      <c r="B30" s="69">
        <f t="shared" ref="B30:AF30" si="4">SUM(B11:B28)</f>
        <v>518</v>
      </c>
      <c r="C30" s="69">
        <f t="shared" si="4"/>
        <v>517.4</v>
      </c>
      <c r="D30" s="69">
        <f t="shared" si="4"/>
        <v>515.4</v>
      </c>
      <c r="E30" s="69">
        <f t="shared" si="4"/>
        <v>514.09999999999991</v>
      </c>
      <c r="F30" s="69">
        <f t="shared" si="4"/>
        <v>513.20000000000005</v>
      </c>
      <c r="G30" s="69">
        <f t="shared" si="4"/>
        <v>512.09999999999991</v>
      </c>
      <c r="H30" s="69">
        <f t="shared" si="4"/>
        <v>512.70000000000005</v>
      </c>
      <c r="I30" s="69">
        <f t="shared" si="4"/>
        <v>514.29999999999995</v>
      </c>
      <c r="J30" s="69">
        <f t="shared" si="4"/>
        <v>514.5</v>
      </c>
      <c r="K30" s="69">
        <f t="shared" si="4"/>
        <v>512.4</v>
      </c>
      <c r="L30" s="69">
        <f t="shared" si="4"/>
        <v>516.09999999999991</v>
      </c>
      <c r="M30" s="69">
        <f t="shared" si="4"/>
        <v>516.09999999999991</v>
      </c>
      <c r="N30" s="69">
        <f t="shared" si="4"/>
        <v>516.09999999999991</v>
      </c>
      <c r="O30" s="69">
        <f t="shared" si="4"/>
        <v>514.5</v>
      </c>
      <c r="P30" s="69">
        <f t="shared" si="4"/>
        <v>494.49999999999994</v>
      </c>
      <c r="Q30" s="69">
        <f t="shared" si="4"/>
        <v>504.49999999999994</v>
      </c>
      <c r="R30" s="69">
        <f t="shared" si="4"/>
        <v>496.3</v>
      </c>
      <c r="S30" s="69">
        <f t="shared" si="4"/>
        <v>500.59999999999997</v>
      </c>
      <c r="T30" s="69">
        <f t="shared" si="4"/>
        <v>503.09999999999997</v>
      </c>
      <c r="U30" s="69">
        <f t="shared" si="4"/>
        <v>502.49999999999994</v>
      </c>
      <c r="V30" s="69">
        <f>SUM(V11:V28)</f>
        <v>500.8</v>
      </c>
      <c r="W30" s="69">
        <f t="shared" si="4"/>
        <v>504.2</v>
      </c>
      <c r="X30" s="69">
        <f t="shared" si="4"/>
        <v>502.8</v>
      </c>
      <c r="Y30" s="69">
        <f t="shared" si="4"/>
        <v>506.09999999999997</v>
      </c>
      <c r="Z30" s="69">
        <f t="shared" si="4"/>
        <v>506.7</v>
      </c>
      <c r="AA30" s="69">
        <f t="shared" si="4"/>
        <v>508.49999999999994</v>
      </c>
      <c r="AB30" s="69">
        <f t="shared" si="4"/>
        <v>508.49999999999994</v>
      </c>
      <c r="AC30" s="69">
        <f t="shared" si="4"/>
        <v>506.09999999999997</v>
      </c>
      <c r="AD30" s="69">
        <f t="shared" si="4"/>
        <v>504.79999999999995</v>
      </c>
      <c r="AE30" s="69">
        <f t="shared" si="4"/>
        <v>505.29999999999995</v>
      </c>
      <c r="AF30" s="69">
        <f t="shared" si="4"/>
        <v>506.49999999999994</v>
      </c>
      <c r="AG30" s="59">
        <f>SUM(AG11:AG29)</f>
        <v>729.2</v>
      </c>
      <c r="AH30" s="52">
        <f t="shared" si="2"/>
        <v>518</v>
      </c>
      <c r="AI30" s="53">
        <f t="shared" si="3"/>
        <v>494.49999999999994</v>
      </c>
      <c r="AK30" s="54"/>
    </row>
    <row r="31" spans="1:88" x14ac:dyDescent="0.25">
      <c r="A31" s="55" t="s">
        <v>38</v>
      </c>
      <c r="B31" s="56">
        <v>96.9</v>
      </c>
      <c r="C31" s="56">
        <v>96.9</v>
      </c>
      <c r="D31" s="56">
        <v>97</v>
      </c>
      <c r="E31" s="56">
        <v>134.6</v>
      </c>
      <c r="F31" s="56">
        <v>96.9</v>
      </c>
      <c r="G31" s="56">
        <v>135</v>
      </c>
      <c r="H31" s="56">
        <v>96.8</v>
      </c>
      <c r="I31" s="56">
        <v>97</v>
      </c>
      <c r="J31" s="56">
        <v>96.9</v>
      </c>
      <c r="K31" s="56">
        <v>97</v>
      </c>
      <c r="L31" s="49">
        <v>48.1</v>
      </c>
      <c r="M31" s="49">
        <v>97</v>
      </c>
      <c r="N31" s="49">
        <v>97.1</v>
      </c>
      <c r="O31" s="49">
        <v>97</v>
      </c>
      <c r="P31" s="49">
        <v>97</v>
      </c>
      <c r="Q31" s="49">
        <v>97</v>
      </c>
      <c r="R31" s="49">
        <v>97</v>
      </c>
      <c r="S31" s="49">
        <v>97.1</v>
      </c>
      <c r="T31" s="49">
        <v>97.1</v>
      </c>
      <c r="U31" s="49">
        <v>97</v>
      </c>
      <c r="V31" s="49">
        <v>96.9</v>
      </c>
      <c r="W31" s="49">
        <v>97</v>
      </c>
      <c r="X31" s="49">
        <v>97.2</v>
      </c>
      <c r="Y31" s="49">
        <v>97</v>
      </c>
      <c r="Z31" s="49">
        <v>97</v>
      </c>
      <c r="AA31" s="48">
        <v>96.8</v>
      </c>
      <c r="AB31" s="48">
        <v>96.8</v>
      </c>
      <c r="AC31" s="48">
        <v>97</v>
      </c>
      <c r="AD31" s="48">
        <v>97</v>
      </c>
      <c r="AE31" s="48">
        <v>96.9</v>
      </c>
      <c r="AF31" s="48">
        <v>97</v>
      </c>
      <c r="AG31" s="57">
        <v>144</v>
      </c>
      <c r="AH31" s="52">
        <f t="shared" si="2"/>
        <v>135</v>
      </c>
      <c r="AI31" s="53">
        <f t="shared" si="3"/>
        <v>48.1</v>
      </c>
      <c r="AK31" s="54"/>
    </row>
    <row r="32" spans="1:88" x14ac:dyDescent="0.25">
      <c r="A32" s="58" t="s">
        <v>39</v>
      </c>
      <c r="B32" s="56">
        <v>69.2</v>
      </c>
      <c r="C32" s="56">
        <v>70.3</v>
      </c>
      <c r="D32" s="56">
        <v>70.900000000000006</v>
      </c>
      <c r="E32" s="56">
        <v>69.900000000000006</v>
      </c>
      <c r="F32" s="56">
        <v>70.3</v>
      </c>
      <c r="G32" s="56">
        <v>70</v>
      </c>
      <c r="H32" s="56">
        <v>71.400000000000006</v>
      </c>
      <c r="I32" s="56">
        <v>70.3</v>
      </c>
      <c r="J32" s="56">
        <v>70.400000000000006</v>
      </c>
      <c r="K32" s="56">
        <v>70.8</v>
      </c>
      <c r="L32" s="70">
        <v>69</v>
      </c>
      <c r="M32" s="70">
        <v>70.5</v>
      </c>
      <c r="N32" s="70">
        <v>69.8</v>
      </c>
      <c r="O32" s="70">
        <v>69.7</v>
      </c>
      <c r="P32" s="70">
        <v>70.8</v>
      </c>
      <c r="Q32" s="70">
        <v>70.8</v>
      </c>
      <c r="R32" s="70">
        <v>70</v>
      </c>
      <c r="S32" s="70">
        <v>69.8</v>
      </c>
      <c r="T32" s="70">
        <v>69.900000000000006</v>
      </c>
      <c r="U32" s="70">
        <v>69.900000000000006</v>
      </c>
      <c r="V32" s="70">
        <v>70.2</v>
      </c>
      <c r="W32" s="70">
        <v>70.599999999999994</v>
      </c>
      <c r="X32" s="70">
        <v>70.2</v>
      </c>
      <c r="Y32" s="70">
        <v>69.400000000000006</v>
      </c>
      <c r="Z32" s="70">
        <v>69.7</v>
      </c>
      <c r="AA32" s="56">
        <v>70.3</v>
      </c>
      <c r="AB32" s="56">
        <v>70.3</v>
      </c>
      <c r="AC32" s="56">
        <v>69.400000000000006</v>
      </c>
      <c r="AD32" s="56">
        <v>71.099999999999994</v>
      </c>
      <c r="AE32" s="56">
        <v>70.8</v>
      </c>
      <c r="AF32" s="56">
        <v>69.599999999999994</v>
      </c>
      <c r="AG32" s="59">
        <v>70</v>
      </c>
      <c r="AH32" s="52">
        <f t="shared" si="2"/>
        <v>71.400000000000006</v>
      </c>
      <c r="AI32" s="53">
        <f t="shared" si="3"/>
        <v>69</v>
      </c>
      <c r="AK32" s="54"/>
    </row>
    <row r="33" spans="1:41" x14ac:dyDescent="0.25">
      <c r="A33" s="58" t="s">
        <v>40</v>
      </c>
      <c r="B33" s="56">
        <v>60.7</v>
      </c>
      <c r="C33" s="56">
        <v>61.6</v>
      </c>
      <c r="D33" s="56">
        <v>52.3</v>
      </c>
      <c r="E33" s="56">
        <v>52.4</v>
      </c>
      <c r="F33" s="56">
        <v>52.5</v>
      </c>
      <c r="G33" s="56">
        <v>56.8</v>
      </c>
      <c r="H33" s="56">
        <v>63.8</v>
      </c>
      <c r="I33" s="56">
        <v>62.9</v>
      </c>
      <c r="J33" s="56">
        <v>63.9</v>
      </c>
      <c r="K33" s="56">
        <v>64</v>
      </c>
      <c r="L33" s="70">
        <v>63.2</v>
      </c>
      <c r="M33" s="70">
        <v>63</v>
      </c>
      <c r="N33" s="70">
        <v>62.4</v>
      </c>
      <c r="O33" s="70">
        <v>62.9</v>
      </c>
      <c r="P33" s="70">
        <v>63.6</v>
      </c>
      <c r="Q33" s="70">
        <v>63.6</v>
      </c>
      <c r="R33" s="70">
        <v>63.8</v>
      </c>
      <c r="S33" s="70">
        <v>63.1</v>
      </c>
      <c r="T33" s="70">
        <v>63.1</v>
      </c>
      <c r="U33" s="70">
        <v>64</v>
      </c>
      <c r="V33" s="70">
        <v>64.099999999999994</v>
      </c>
      <c r="W33" s="70">
        <v>64</v>
      </c>
      <c r="X33" s="70">
        <v>63</v>
      </c>
      <c r="Y33" s="70">
        <v>63</v>
      </c>
      <c r="Z33" s="70">
        <v>62.9</v>
      </c>
      <c r="AA33" s="56">
        <v>63.9</v>
      </c>
      <c r="AB33" s="56">
        <v>63.9</v>
      </c>
      <c r="AC33" s="56">
        <v>63</v>
      </c>
      <c r="AD33" s="56">
        <v>63.5</v>
      </c>
      <c r="AE33" s="56">
        <v>63</v>
      </c>
      <c r="AF33" s="56">
        <v>62</v>
      </c>
      <c r="AG33" s="59">
        <v>69</v>
      </c>
      <c r="AH33" s="52">
        <f t="shared" si="2"/>
        <v>64.099999999999994</v>
      </c>
      <c r="AI33" s="53">
        <f t="shared" si="3"/>
        <v>52.3</v>
      </c>
      <c r="AK33" s="54"/>
    </row>
    <row r="34" spans="1:41" x14ac:dyDescent="0.25">
      <c r="A34" s="58" t="s">
        <v>41</v>
      </c>
      <c r="B34" s="56">
        <v>29.7</v>
      </c>
      <c r="C34" s="56">
        <v>29.7</v>
      </c>
      <c r="D34" s="56">
        <v>29.7</v>
      </c>
      <c r="E34" s="56">
        <v>29.5</v>
      </c>
      <c r="F34" s="56">
        <v>29.5</v>
      </c>
      <c r="G34" s="56">
        <v>29.5</v>
      </c>
      <c r="H34" s="56">
        <v>29.5</v>
      </c>
      <c r="I34" s="56">
        <v>29.5</v>
      </c>
      <c r="J34" s="56">
        <v>29.5</v>
      </c>
      <c r="K34" s="56">
        <v>29.5</v>
      </c>
      <c r="L34" s="70">
        <v>29.5</v>
      </c>
      <c r="M34" s="70">
        <v>29.5</v>
      </c>
      <c r="N34" s="70">
        <v>28.2</v>
      </c>
      <c r="O34" s="70">
        <v>28.5</v>
      </c>
      <c r="P34" s="70">
        <v>28.5</v>
      </c>
      <c r="Q34" s="70">
        <v>28.5</v>
      </c>
      <c r="R34" s="70">
        <v>28.5</v>
      </c>
      <c r="S34" s="70">
        <v>28.5</v>
      </c>
      <c r="T34" s="70">
        <v>28.2</v>
      </c>
      <c r="U34" s="70">
        <v>28.5</v>
      </c>
      <c r="V34" s="70">
        <v>28.9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28.7</v>
      </c>
      <c r="AF34" s="56">
        <v>28.5</v>
      </c>
      <c r="AG34" s="59">
        <v>60</v>
      </c>
      <c r="AH34" s="52">
        <f t="shared" si="2"/>
        <v>29.7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20.5</v>
      </c>
      <c r="C35" s="56">
        <v>20.2</v>
      </c>
      <c r="D35" s="56">
        <v>21</v>
      </c>
      <c r="E35" s="56">
        <v>21</v>
      </c>
      <c r="F35" s="56">
        <v>15.2</v>
      </c>
      <c r="G35" s="56">
        <v>15</v>
      </c>
      <c r="H35" s="56">
        <v>15</v>
      </c>
      <c r="I35" s="56">
        <v>15</v>
      </c>
      <c r="J35" s="56">
        <v>15</v>
      </c>
      <c r="K35" s="56">
        <v>20</v>
      </c>
      <c r="L35" s="49">
        <v>20.2</v>
      </c>
      <c r="M35" s="49">
        <v>24.9</v>
      </c>
      <c r="N35" s="49">
        <v>24.7</v>
      </c>
      <c r="O35" s="49">
        <v>24.3</v>
      </c>
      <c r="P35" s="49">
        <v>29.2</v>
      </c>
      <c r="Q35" s="49">
        <v>29.2</v>
      </c>
      <c r="R35" s="49">
        <v>29.2</v>
      </c>
      <c r="S35" s="49">
        <v>29.4</v>
      </c>
      <c r="T35" s="49">
        <v>29.2</v>
      </c>
      <c r="U35" s="49">
        <v>28.9</v>
      </c>
      <c r="V35" s="70">
        <v>28.9</v>
      </c>
      <c r="W35" s="70">
        <v>28.9</v>
      </c>
      <c r="X35" s="70">
        <v>28.8</v>
      </c>
      <c r="Y35" s="70">
        <v>24.7</v>
      </c>
      <c r="Z35" s="70">
        <v>29</v>
      </c>
      <c r="AA35" s="56">
        <v>29.7</v>
      </c>
      <c r="AB35" s="56">
        <v>29.7</v>
      </c>
      <c r="AC35" s="56">
        <v>29.4</v>
      </c>
      <c r="AD35" s="56">
        <v>28.4</v>
      </c>
      <c r="AE35" s="56">
        <v>19.7</v>
      </c>
      <c r="AF35" s="56">
        <v>15</v>
      </c>
      <c r="AG35" s="59">
        <v>30</v>
      </c>
      <c r="AH35" s="52">
        <f t="shared" si="2"/>
        <v>29.7</v>
      </c>
      <c r="AI35" s="53">
        <f t="shared" si="3"/>
        <v>15</v>
      </c>
      <c r="AK35" s="54"/>
    </row>
    <row r="36" spans="1:41" x14ac:dyDescent="0.25">
      <c r="A36" s="58" t="s">
        <v>43</v>
      </c>
      <c r="B36" s="71">
        <v>16.7</v>
      </c>
      <c r="C36" s="71">
        <v>16.7</v>
      </c>
      <c r="D36" s="71">
        <v>16.7</v>
      </c>
      <c r="E36" s="71">
        <v>16.7</v>
      </c>
      <c r="F36" s="71">
        <v>16.7</v>
      </c>
      <c r="G36" s="71">
        <v>16.7</v>
      </c>
      <c r="H36" s="71">
        <v>16.7</v>
      </c>
      <c r="I36" s="71">
        <v>16.7</v>
      </c>
      <c r="J36" s="71">
        <v>16</v>
      </c>
      <c r="K36" s="71">
        <v>14</v>
      </c>
      <c r="L36" s="49">
        <v>14.2</v>
      </c>
      <c r="M36" s="49">
        <v>16.3</v>
      </c>
      <c r="N36" s="49">
        <v>16.3</v>
      </c>
      <c r="O36" s="49">
        <v>16.3</v>
      </c>
      <c r="P36" s="49">
        <v>16.600000000000001</v>
      </c>
      <c r="Q36" s="49">
        <v>16.600000000000001</v>
      </c>
      <c r="R36" s="49">
        <v>16.600000000000001</v>
      </c>
      <c r="S36" s="49">
        <v>10</v>
      </c>
      <c r="T36" s="49">
        <v>16</v>
      </c>
      <c r="U36" s="49">
        <v>15.8</v>
      </c>
      <c r="V36" s="49">
        <v>15.8</v>
      </c>
      <c r="W36" s="49">
        <v>15.7</v>
      </c>
      <c r="X36" s="49">
        <v>16.8</v>
      </c>
      <c r="Y36" s="49">
        <v>16.7</v>
      </c>
      <c r="Z36" s="49">
        <v>16.7</v>
      </c>
      <c r="AA36" s="56">
        <v>16.7</v>
      </c>
      <c r="AB36" s="56">
        <v>16.7</v>
      </c>
      <c r="AC36" s="56">
        <v>16.7</v>
      </c>
      <c r="AD36" s="56">
        <v>16.7</v>
      </c>
      <c r="AE36" s="56">
        <v>16.7</v>
      </c>
      <c r="AF36" s="56">
        <v>16.7</v>
      </c>
      <c r="AG36" s="59">
        <v>24</v>
      </c>
      <c r="AH36" s="52">
        <f t="shared" si="2"/>
        <v>16.8</v>
      </c>
      <c r="AI36" s="53">
        <f t="shared" si="3"/>
        <v>10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12</v>
      </c>
      <c r="C39" s="71">
        <v>12</v>
      </c>
      <c r="D39" s="71">
        <v>12</v>
      </c>
      <c r="E39" s="71">
        <v>12</v>
      </c>
      <c r="F39" s="71">
        <v>12</v>
      </c>
      <c r="G39" s="71">
        <v>12</v>
      </c>
      <c r="H39" s="71">
        <v>12</v>
      </c>
      <c r="I39" s="71">
        <v>12</v>
      </c>
      <c r="J39" s="71">
        <v>12</v>
      </c>
      <c r="K39" s="71">
        <v>12</v>
      </c>
      <c r="L39" s="71">
        <v>12</v>
      </c>
      <c r="M39" s="71">
        <v>12</v>
      </c>
      <c r="N39" s="71">
        <v>12</v>
      </c>
      <c r="O39" s="71">
        <v>12</v>
      </c>
      <c r="P39" s="71">
        <v>12</v>
      </c>
      <c r="Q39" s="71">
        <v>12</v>
      </c>
      <c r="R39" s="71">
        <v>12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49">
        <v>12</v>
      </c>
      <c r="AA39" s="56">
        <v>12</v>
      </c>
      <c r="AB39" s="56">
        <v>12</v>
      </c>
      <c r="AC39" s="56">
        <v>12</v>
      </c>
      <c r="AD39" s="56">
        <v>12</v>
      </c>
      <c r="AE39" s="56">
        <v>12</v>
      </c>
      <c r="AF39" s="56">
        <v>12</v>
      </c>
      <c r="AG39" s="59">
        <v>14</v>
      </c>
      <c r="AH39" s="52">
        <f t="shared" si="2"/>
        <v>12</v>
      </c>
      <c r="AI39" s="53">
        <f t="shared" si="3"/>
        <v>12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9</v>
      </c>
      <c r="C40" s="56">
        <v>9.5</v>
      </c>
      <c r="D40" s="56">
        <v>9.5</v>
      </c>
      <c r="E40" s="56">
        <v>9.3000000000000007</v>
      </c>
      <c r="F40" s="56">
        <v>9.1</v>
      </c>
      <c r="G40" s="56">
        <v>9.1999999999999993</v>
      </c>
      <c r="H40" s="56">
        <v>8.9</v>
      </c>
      <c r="I40" s="56">
        <v>9</v>
      </c>
      <c r="J40" s="56">
        <v>8.8000000000000007</v>
      </c>
      <c r="K40" s="56">
        <v>9.1</v>
      </c>
      <c r="L40" s="56">
        <v>9.1</v>
      </c>
      <c r="M40" s="56">
        <v>9.1</v>
      </c>
      <c r="N40" s="56">
        <v>9.1</v>
      </c>
      <c r="O40" s="56">
        <v>9.1</v>
      </c>
      <c r="P40" s="56">
        <v>9.1</v>
      </c>
      <c r="Q40" s="56">
        <v>9.1</v>
      </c>
      <c r="R40" s="56">
        <v>9.1</v>
      </c>
      <c r="S40" s="49">
        <v>9.4</v>
      </c>
      <c r="T40" s="49">
        <v>8.4</v>
      </c>
      <c r="U40" s="49">
        <v>8.8000000000000007</v>
      </c>
      <c r="V40" s="49">
        <v>8.8000000000000007</v>
      </c>
      <c r="W40" s="49">
        <v>8.6999999999999993</v>
      </c>
      <c r="X40" s="49">
        <v>8.6</v>
      </c>
      <c r="Y40" s="49">
        <v>8.3000000000000007</v>
      </c>
      <c r="Z40" s="49">
        <v>8.6</v>
      </c>
      <c r="AA40" s="56">
        <v>8.6</v>
      </c>
      <c r="AB40" s="56">
        <v>8.6</v>
      </c>
      <c r="AC40" s="56">
        <v>8.6</v>
      </c>
      <c r="AD40" s="56">
        <v>8.6</v>
      </c>
      <c r="AE40" s="56">
        <v>8.6</v>
      </c>
      <c r="AF40" s="56">
        <v>8.6</v>
      </c>
      <c r="AG40" s="59">
        <v>10.050000000000001</v>
      </c>
      <c r="AH40" s="52">
        <f t="shared" si="2"/>
        <v>9.5</v>
      </c>
      <c r="AI40" s="53">
        <f t="shared" si="3"/>
        <v>8.3000000000000007</v>
      </c>
      <c r="AK40" s="54"/>
    </row>
    <row r="41" spans="1:41" x14ac:dyDescent="0.25">
      <c r="A41" s="58" t="s">
        <v>48</v>
      </c>
      <c r="B41" s="56">
        <v>2</v>
      </c>
      <c r="C41" s="56">
        <v>2</v>
      </c>
      <c r="D41" s="56">
        <v>2</v>
      </c>
      <c r="E41" s="56">
        <v>2</v>
      </c>
      <c r="F41" s="56">
        <v>2</v>
      </c>
      <c r="G41" s="56">
        <v>2</v>
      </c>
      <c r="H41" s="56">
        <v>2</v>
      </c>
      <c r="I41" s="56">
        <v>2</v>
      </c>
      <c r="J41" s="56">
        <v>2</v>
      </c>
      <c r="K41" s="56">
        <v>2</v>
      </c>
      <c r="L41" s="56">
        <v>2</v>
      </c>
      <c r="M41" s="56">
        <v>2</v>
      </c>
      <c r="N41" s="56">
        <v>2</v>
      </c>
      <c r="O41" s="56">
        <v>2</v>
      </c>
      <c r="P41" s="56">
        <v>2</v>
      </c>
      <c r="Q41" s="56">
        <v>2</v>
      </c>
      <c r="R41" s="56">
        <v>2</v>
      </c>
      <c r="S41" s="49">
        <v>2</v>
      </c>
      <c r="T41" s="49">
        <v>2</v>
      </c>
      <c r="U41" s="49">
        <v>2</v>
      </c>
      <c r="V41" s="49">
        <v>2</v>
      </c>
      <c r="W41" s="49">
        <v>2</v>
      </c>
      <c r="X41" s="49">
        <v>2</v>
      </c>
      <c r="Y41" s="49">
        <v>2</v>
      </c>
      <c r="Z41" s="49">
        <v>2</v>
      </c>
      <c r="AA41" s="56">
        <v>2</v>
      </c>
      <c r="AB41" s="56">
        <v>2</v>
      </c>
      <c r="AC41" s="56">
        <v>2</v>
      </c>
      <c r="AD41" s="56">
        <v>2</v>
      </c>
      <c r="AE41" s="56">
        <v>2</v>
      </c>
      <c r="AF41" s="56">
        <v>2</v>
      </c>
      <c r="AG41" s="59">
        <v>6.2</v>
      </c>
      <c r="AH41" s="52">
        <f t="shared" si="2"/>
        <v>2</v>
      </c>
      <c r="AI41" s="53">
        <f t="shared" si="3"/>
        <v>2</v>
      </c>
      <c r="AK41" s="54"/>
    </row>
    <row r="42" spans="1:41" ht="15.75" thickBot="1" x14ac:dyDescent="0.3">
      <c r="A42" s="65" t="s">
        <v>49</v>
      </c>
      <c r="B42" s="73"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330.24</v>
      </c>
      <c r="C43" s="69">
        <f t="shared" si="6"/>
        <v>332.44</v>
      </c>
      <c r="D43" s="69">
        <f t="shared" si="6"/>
        <v>324.64</v>
      </c>
      <c r="E43" s="69">
        <f t="shared" si="6"/>
        <v>360.94</v>
      </c>
      <c r="F43" s="69">
        <f t="shared" si="6"/>
        <v>317.74</v>
      </c>
      <c r="G43" s="69">
        <f t="shared" si="6"/>
        <v>359.74</v>
      </c>
      <c r="H43" s="69">
        <f t="shared" si="6"/>
        <v>329.64</v>
      </c>
      <c r="I43" s="69">
        <f t="shared" si="6"/>
        <v>327.94000000000005</v>
      </c>
      <c r="J43" s="69">
        <f t="shared" si="6"/>
        <v>328.04000000000008</v>
      </c>
      <c r="K43" s="69">
        <f t="shared" si="6"/>
        <v>331.94000000000005</v>
      </c>
      <c r="L43" s="69">
        <f t="shared" si="6"/>
        <v>280.84000000000003</v>
      </c>
      <c r="M43" s="69">
        <f t="shared" si="6"/>
        <v>337.84000000000003</v>
      </c>
      <c r="N43" s="69">
        <f t="shared" si="6"/>
        <v>335.14000000000004</v>
      </c>
      <c r="O43" s="69">
        <f t="shared" si="6"/>
        <v>335.34000000000009</v>
      </c>
      <c r="P43" s="69">
        <f t="shared" si="6"/>
        <v>342.34000000000003</v>
      </c>
      <c r="Q43" s="69">
        <f t="shared" si="6"/>
        <v>342.34000000000003</v>
      </c>
      <c r="R43" s="69">
        <f t="shared" si="6"/>
        <v>341.74000000000007</v>
      </c>
      <c r="S43" s="69">
        <f t="shared" si="6"/>
        <v>334.84</v>
      </c>
      <c r="T43" s="69">
        <f t="shared" si="6"/>
        <v>339.44</v>
      </c>
      <c r="U43" s="69">
        <f t="shared" si="6"/>
        <v>340.44</v>
      </c>
      <c r="V43" s="69">
        <f t="shared" si="6"/>
        <v>341.14000000000004</v>
      </c>
      <c r="W43" s="69">
        <f t="shared" si="6"/>
        <v>340.94</v>
      </c>
      <c r="X43" s="69">
        <f t="shared" si="6"/>
        <v>340.64000000000004</v>
      </c>
      <c r="Y43" s="69">
        <f t="shared" si="6"/>
        <v>335.14</v>
      </c>
      <c r="Z43" s="69">
        <f t="shared" si="6"/>
        <v>339.94000000000005</v>
      </c>
      <c r="AA43" s="69">
        <f t="shared" si="6"/>
        <v>342.04</v>
      </c>
      <c r="AB43" s="69">
        <f t="shared" si="6"/>
        <v>342.04</v>
      </c>
      <c r="AC43" s="69">
        <f>SUM(AC31:AC42)</f>
        <v>340.14</v>
      </c>
      <c r="AD43" s="69">
        <f t="shared" si="6"/>
        <v>341.34000000000003</v>
      </c>
      <c r="AE43" s="69">
        <f t="shared" si="6"/>
        <v>331.94</v>
      </c>
      <c r="AF43" s="69">
        <f t="shared" si="6"/>
        <v>324.94000000000005</v>
      </c>
      <c r="AG43" s="74">
        <f>SUM(AG31:AG42)</f>
        <v>464.91</v>
      </c>
      <c r="AH43" s="52">
        <f t="shared" si="2"/>
        <v>360.94</v>
      </c>
      <c r="AI43" s="53">
        <f t="shared" si="3"/>
        <v>280.84000000000003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22.7</v>
      </c>
      <c r="L44" s="75">
        <v>29.2</v>
      </c>
      <c r="M44" s="75">
        <v>14.1</v>
      </c>
      <c r="N44" s="75">
        <v>29.4</v>
      </c>
      <c r="O44" s="75">
        <v>29.4</v>
      </c>
      <c r="P44" s="75">
        <v>29.4</v>
      </c>
      <c r="Q44" s="75">
        <v>29.4</v>
      </c>
      <c r="R44" s="75">
        <v>29.4</v>
      </c>
      <c r="S44" s="49">
        <v>42.8</v>
      </c>
      <c r="T44" s="49">
        <v>30.4</v>
      </c>
      <c r="U44" s="49">
        <v>20</v>
      </c>
      <c r="V44" s="49">
        <v>20</v>
      </c>
      <c r="W44" s="49">
        <v>13.3</v>
      </c>
      <c r="X44" s="49">
        <v>13.3</v>
      </c>
      <c r="Y44" s="49">
        <v>30.2</v>
      </c>
      <c r="Z44" s="49">
        <v>60</v>
      </c>
      <c r="AA44" s="49">
        <v>59</v>
      </c>
      <c r="AB44" s="49">
        <v>59</v>
      </c>
      <c r="AC44" s="49">
        <v>39.5</v>
      </c>
      <c r="AD44" s="49">
        <v>43.8</v>
      </c>
      <c r="AE44" s="49">
        <v>39.1</v>
      </c>
      <c r="AF44" s="49">
        <v>45</v>
      </c>
      <c r="AG44" s="57">
        <v>60</v>
      </c>
      <c r="AH44" s="52">
        <f t="shared" si="2"/>
        <v>60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6.9</v>
      </c>
      <c r="L45" s="75">
        <v>15</v>
      </c>
      <c r="M45" s="75">
        <v>6.9</v>
      </c>
      <c r="N45" s="75">
        <v>15.3</v>
      </c>
      <c r="O45" s="75">
        <v>15.3</v>
      </c>
      <c r="P45" s="75">
        <v>15.3</v>
      </c>
      <c r="Q45" s="75">
        <v>15.3</v>
      </c>
      <c r="R45" s="75">
        <v>15.3</v>
      </c>
      <c r="S45" s="49">
        <v>14.8</v>
      </c>
      <c r="T45" s="49">
        <v>16.100000000000001</v>
      </c>
      <c r="U45" s="70">
        <v>10</v>
      </c>
      <c r="V45" s="70">
        <v>9.4</v>
      </c>
      <c r="W45" s="70">
        <v>14.7</v>
      </c>
      <c r="X45" s="70">
        <v>6</v>
      </c>
      <c r="Y45" s="70">
        <v>15.3</v>
      </c>
      <c r="Z45" s="70">
        <v>30.4</v>
      </c>
      <c r="AA45" s="70">
        <v>29.9</v>
      </c>
      <c r="AB45" s="70">
        <v>29.9</v>
      </c>
      <c r="AC45" s="70">
        <v>16.8</v>
      </c>
      <c r="AD45" s="70">
        <v>30</v>
      </c>
      <c r="AE45" s="70">
        <v>18.899999999999999</v>
      </c>
      <c r="AF45" s="70">
        <v>22</v>
      </c>
      <c r="AG45" s="59">
        <v>32</v>
      </c>
      <c r="AH45" s="52">
        <f t="shared" si="2"/>
        <v>30.4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2.5</v>
      </c>
      <c r="L46" s="76">
        <v>5.5</v>
      </c>
      <c r="M46" s="76">
        <v>2.5</v>
      </c>
      <c r="N46" s="76">
        <v>5.6</v>
      </c>
      <c r="O46" s="76">
        <v>5.6</v>
      </c>
      <c r="P46" s="76">
        <v>5.6</v>
      </c>
      <c r="Q46" s="76">
        <v>5.6</v>
      </c>
      <c r="R46" s="76">
        <v>5.6</v>
      </c>
      <c r="S46" s="49">
        <v>5.5</v>
      </c>
      <c r="T46" s="49">
        <v>5.9</v>
      </c>
      <c r="U46" s="77">
        <v>3.6</v>
      </c>
      <c r="V46" s="77">
        <v>3.4</v>
      </c>
      <c r="W46" s="77">
        <v>5.4</v>
      </c>
      <c r="X46" s="77">
        <v>2.2000000000000002</v>
      </c>
      <c r="Y46" s="77">
        <v>5.6</v>
      </c>
      <c r="Z46" s="77">
        <v>11.1</v>
      </c>
      <c r="AA46" s="77">
        <v>10.9</v>
      </c>
      <c r="AB46" s="77">
        <v>10.9</v>
      </c>
      <c r="AC46" s="77">
        <v>6.1</v>
      </c>
      <c r="AD46" s="77">
        <v>10.9</v>
      </c>
      <c r="AE46" s="77">
        <v>6.9</v>
      </c>
      <c r="AF46" s="77">
        <v>8</v>
      </c>
      <c r="AG46" s="78">
        <v>14</v>
      </c>
      <c r="AH46" s="52">
        <f t="shared" si="2"/>
        <v>11.1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0</v>
      </c>
      <c r="C47" s="69">
        <f t="shared" si="7"/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32.1</v>
      </c>
      <c r="L47" s="69">
        <f t="shared" si="7"/>
        <v>49.7</v>
      </c>
      <c r="M47" s="69">
        <f t="shared" si="7"/>
        <v>23.5</v>
      </c>
      <c r="N47" s="69">
        <f t="shared" si="7"/>
        <v>50.300000000000004</v>
      </c>
      <c r="O47" s="69">
        <f t="shared" si="7"/>
        <v>50.300000000000004</v>
      </c>
      <c r="P47" s="69">
        <f t="shared" si="7"/>
        <v>50.300000000000004</v>
      </c>
      <c r="Q47" s="69">
        <f t="shared" si="7"/>
        <v>50.300000000000004</v>
      </c>
      <c r="R47" s="69">
        <f t="shared" si="7"/>
        <v>50.300000000000004</v>
      </c>
      <c r="S47" s="69">
        <f t="shared" si="7"/>
        <v>63.099999999999994</v>
      </c>
      <c r="T47" s="69">
        <f t="shared" si="7"/>
        <v>52.4</v>
      </c>
      <c r="U47" s="69">
        <f t="shared" si="7"/>
        <v>33.6</v>
      </c>
      <c r="V47" s="69">
        <f t="shared" si="7"/>
        <v>32.799999999999997</v>
      </c>
      <c r="W47" s="69">
        <f t="shared" si="7"/>
        <v>33.4</v>
      </c>
      <c r="X47" s="69">
        <f t="shared" si="7"/>
        <v>21.5</v>
      </c>
      <c r="Y47" s="69">
        <f t="shared" si="7"/>
        <v>51.1</v>
      </c>
      <c r="Z47" s="69">
        <f t="shared" si="7"/>
        <v>101.5</v>
      </c>
      <c r="AA47" s="69">
        <f t="shared" si="7"/>
        <v>99.800000000000011</v>
      </c>
      <c r="AB47" s="69">
        <f>SUM(AB44:AB46)</f>
        <v>99.800000000000011</v>
      </c>
      <c r="AC47" s="69">
        <f>SUM(AC44:AC46)</f>
        <v>62.4</v>
      </c>
      <c r="AD47" s="69">
        <f t="shared" si="7"/>
        <v>84.7</v>
      </c>
      <c r="AE47" s="69">
        <f t="shared" si="7"/>
        <v>64.900000000000006</v>
      </c>
      <c r="AF47" s="69">
        <f t="shared" si="7"/>
        <v>75</v>
      </c>
      <c r="AG47" s="74">
        <f>SUM(AG44:AG46)</f>
        <v>106</v>
      </c>
      <c r="AH47" s="52">
        <f t="shared" si="2"/>
        <v>101.5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42.48</v>
      </c>
      <c r="C48" s="49">
        <v>43</v>
      </c>
      <c r="D48" s="49">
        <v>40</v>
      </c>
      <c r="E48" s="49">
        <v>36.32</v>
      </c>
      <c r="F48" s="49">
        <v>38.979999999999997</v>
      </c>
      <c r="G48" s="49">
        <v>34.880000000000003</v>
      </c>
      <c r="H48" s="49">
        <v>33.43</v>
      </c>
      <c r="I48" s="49">
        <v>34.78</v>
      </c>
      <c r="J48" s="49">
        <v>35</v>
      </c>
      <c r="K48" s="49">
        <v>46.13</v>
      </c>
      <c r="L48" s="49">
        <v>49.6</v>
      </c>
      <c r="M48" s="49">
        <v>45.7</v>
      </c>
      <c r="N48" s="49">
        <v>50.17</v>
      </c>
      <c r="O48" s="49">
        <v>57.3</v>
      </c>
      <c r="P48" s="49">
        <v>67</v>
      </c>
      <c r="Q48" s="49">
        <v>74.7</v>
      </c>
      <c r="R48" s="49">
        <v>61.35</v>
      </c>
      <c r="S48" s="49">
        <v>63.42</v>
      </c>
      <c r="T48" s="49">
        <v>53.6</v>
      </c>
      <c r="U48" s="49">
        <v>50.48</v>
      </c>
      <c r="V48" s="49">
        <v>44.6</v>
      </c>
      <c r="W48" s="49">
        <v>46.02</v>
      </c>
      <c r="X48" s="49">
        <v>42.4</v>
      </c>
      <c r="Y48" s="49">
        <v>54.49</v>
      </c>
      <c r="Z48" s="49">
        <v>52.93</v>
      </c>
      <c r="AA48" s="49">
        <v>77</v>
      </c>
      <c r="AB48" s="49">
        <v>77</v>
      </c>
      <c r="AC48" s="49">
        <v>73.900000000000006</v>
      </c>
      <c r="AD48" s="49">
        <v>70.400000000000006</v>
      </c>
      <c r="AE48" s="49">
        <v>51.1</v>
      </c>
      <c r="AF48" s="49">
        <v>53.6</v>
      </c>
      <c r="AG48" s="57"/>
      <c r="AH48" s="52">
        <f t="shared" si="2"/>
        <v>77</v>
      </c>
      <c r="AI48" s="53">
        <f t="shared" si="3"/>
        <v>33.43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42.8</v>
      </c>
      <c r="M49" s="49">
        <v>46.5</v>
      </c>
      <c r="N49" s="49">
        <v>0</v>
      </c>
      <c r="O49" s="49">
        <v>38</v>
      </c>
      <c r="P49" s="49">
        <v>37.700000000000003</v>
      </c>
      <c r="Q49" s="49">
        <v>33.4</v>
      </c>
      <c r="R49" s="49">
        <v>39</v>
      </c>
      <c r="S49" s="49">
        <v>0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39.700000000000003</v>
      </c>
      <c r="AA49" s="70">
        <v>69.099999999999994</v>
      </c>
      <c r="AB49" s="70">
        <v>69.099999999999994</v>
      </c>
      <c r="AC49" s="70">
        <v>61.1</v>
      </c>
      <c r="AD49" s="70">
        <v>52.5</v>
      </c>
      <c r="AE49" s="70">
        <v>51.6</v>
      </c>
      <c r="AF49" s="70">
        <v>93</v>
      </c>
      <c r="AG49" s="59"/>
      <c r="AH49" s="52">
        <f t="shared" si="2"/>
        <v>93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2</v>
      </c>
      <c r="C50" s="70">
        <v>-10</v>
      </c>
      <c r="D50" s="70">
        <v>0</v>
      </c>
      <c r="E50" s="70">
        <v>0</v>
      </c>
      <c r="F50" s="70">
        <v>0</v>
      </c>
      <c r="G50" s="49">
        <v>0</v>
      </c>
      <c r="H50" s="49">
        <v>13.5</v>
      </c>
      <c r="I50" s="49">
        <v>25</v>
      </c>
      <c r="J50" s="49">
        <v>66</v>
      </c>
      <c r="K50" s="49">
        <v>70</v>
      </c>
      <c r="L50" s="70">
        <v>92</v>
      </c>
      <c r="M50" s="70">
        <v>96</v>
      </c>
      <c r="N50" s="70">
        <v>114</v>
      </c>
      <c r="O50" s="70">
        <v>92</v>
      </c>
      <c r="P50" s="70">
        <v>95</v>
      </c>
      <c r="Q50" s="70">
        <v>105</v>
      </c>
      <c r="R50" s="70">
        <v>80</v>
      </c>
      <c r="S50" s="70">
        <v>92</v>
      </c>
      <c r="T50" s="70">
        <v>106</v>
      </c>
      <c r="U50" s="80">
        <v>88.5</v>
      </c>
      <c r="V50" s="80">
        <v>103.2</v>
      </c>
      <c r="W50" s="80">
        <v>82</v>
      </c>
      <c r="X50" s="80">
        <v>120</v>
      </c>
      <c r="Y50" s="80">
        <v>200.8</v>
      </c>
      <c r="Z50" s="80">
        <v>205</v>
      </c>
      <c r="AA50" s="70">
        <v>201</v>
      </c>
      <c r="AB50" s="70">
        <v>201</v>
      </c>
      <c r="AC50" s="70">
        <v>160</v>
      </c>
      <c r="AD50" s="70">
        <v>93</v>
      </c>
      <c r="AE50" s="70">
        <v>90</v>
      </c>
      <c r="AF50" s="70">
        <v>18</v>
      </c>
      <c r="AG50" s="81"/>
      <c r="AH50" s="52">
        <f t="shared" si="2"/>
        <v>205</v>
      </c>
      <c r="AI50" s="53">
        <f t="shared" si="3"/>
        <v>-10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82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82">
        <v>0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82">
        <v>0</v>
      </c>
      <c r="Z58" s="82">
        <v>0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 t="shared" ref="B59:AF59" si="8">SUM(B48:B58)</f>
        <v>44.48</v>
      </c>
      <c r="C59" s="69">
        <f t="shared" si="8"/>
        <v>33</v>
      </c>
      <c r="D59" s="69">
        <f t="shared" si="8"/>
        <v>40</v>
      </c>
      <c r="E59" s="69">
        <f t="shared" si="8"/>
        <v>36.32</v>
      </c>
      <c r="F59" s="69">
        <f t="shared" si="8"/>
        <v>38.979999999999997</v>
      </c>
      <c r="G59" s="69">
        <f t="shared" si="8"/>
        <v>34.880000000000003</v>
      </c>
      <c r="H59" s="69">
        <f t="shared" si="8"/>
        <v>46.93</v>
      </c>
      <c r="I59" s="69">
        <f t="shared" si="8"/>
        <v>59.78</v>
      </c>
      <c r="J59" s="69">
        <f t="shared" si="8"/>
        <v>101</v>
      </c>
      <c r="K59" s="69">
        <f t="shared" si="8"/>
        <v>116.13</v>
      </c>
      <c r="L59" s="69">
        <f t="shared" si="8"/>
        <v>184.4</v>
      </c>
      <c r="M59" s="69">
        <f t="shared" si="8"/>
        <v>188.2</v>
      </c>
      <c r="N59" s="69">
        <f t="shared" si="8"/>
        <v>164.17000000000002</v>
      </c>
      <c r="O59" s="69">
        <f t="shared" si="8"/>
        <v>187.3</v>
      </c>
      <c r="P59" s="69">
        <f t="shared" si="8"/>
        <v>199.7</v>
      </c>
      <c r="Q59" s="69">
        <f t="shared" si="8"/>
        <v>213.1</v>
      </c>
      <c r="R59" s="69">
        <f t="shared" si="8"/>
        <v>180.35</v>
      </c>
      <c r="S59" s="69">
        <f t="shared" si="8"/>
        <v>155.42000000000002</v>
      </c>
      <c r="T59" s="69">
        <f t="shared" si="8"/>
        <v>159.6</v>
      </c>
      <c r="U59" s="69">
        <f t="shared" si="8"/>
        <v>138.97999999999999</v>
      </c>
      <c r="V59" s="69">
        <f t="shared" si="8"/>
        <v>147.80000000000001</v>
      </c>
      <c r="W59" s="69">
        <f t="shared" si="8"/>
        <v>128.02000000000001</v>
      </c>
      <c r="X59" s="69">
        <f t="shared" si="8"/>
        <v>162.4</v>
      </c>
      <c r="Y59" s="69">
        <f t="shared" si="8"/>
        <v>255.29000000000002</v>
      </c>
      <c r="Z59" s="69">
        <f t="shared" si="8"/>
        <v>297.63</v>
      </c>
      <c r="AA59" s="69">
        <f t="shared" si="8"/>
        <v>347.1</v>
      </c>
      <c r="AB59" s="69">
        <f>SUM(AB48:AB58)</f>
        <v>347.1</v>
      </c>
      <c r="AC59" s="69">
        <f>SUM(AC48:AC58)</f>
        <v>295</v>
      </c>
      <c r="AD59" s="69">
        <f t="shared" si="8"/>
        <v>215.9</v>
      </c>
      <c r="AE59" s="69">
        <f t="shared" si="8"/>
        <v>192.7</v>
      </c>
      <c r="AF59" s="69">
        <f t="shared" si="8"/>
        <v>164.6</v>
      </c>
      <c r="AG59" s="74">
        <f>SUM(AG48:AG58)</f>
        <v>0</v>
      </c>
      <c r="AH59" s="52">
        <f t="shared" si="2"/>
        <v>347.1</v>
      </c>
      <c r="AI59" s="53">
        <f t="shared" si="3"/>
        <v>33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 t="shared" ref="B65:AF65" si="10">B63+B59+B47+B43+B30+B64</f>
        <v>892.72</v>
      </c>
      <c r="C65" s="91">
        <f t="shared" si="10"/>
        <v>882.83999999999992</v>
      </c>
      <c r="D65" s="91">
        <f t="shared" si="10"/>
        <v>880.04</v>
      </c>
      <c r="E65" s="91">
        <f t="shared" si="10"/>
        <v>911.3599999999999</v>
      </c>
      <c r="F65" s="91">
        <f t="shared" si="10"/>
        <v>869.92000000000007</v>
      </c>
      <c r="G65" s="91">
        <f t="shared" si="10"/>
        <v>906.71999999999991</v>
      </c>
      <c r="H65" s="91">
        <f t="shared" si="10"/>
        <v>889.27</v>
      </c>
      <c r="I65" s="91">
        <f t="shared" si="10"/>
        <v>902.02</v>
      </c>
      <c r="J65" s="91">
        <f t="shared" si="10"/>
        <v>943.54000000000008</v>
      </c>
      <c r="K65" s="91">
        <f t="shared" si="10"/>
        <v>992.57</v>
      </c>
      <c r="L65" s="91">
        <f t="shared" si="10"/>
        <v>1031.04</v>
      </c>
      <c r="M65" s="91">
        <f t="shared" si="10"/>
        <v>1065.6399999999999</v>
      </c>
      <c r="N65" s="91">
        <f t="shared" si="10"/>
        <v>1065.71</v>
      </c>
      <c r="O65" s="91">
        <f t="shared" si="10"/>
        <v>1087.44</v>
      </c>
      <c r="P65" s="91">
        <f t="shared" si="10"/>
        <v>1086.8399999999999</v>
      </c>
      <c r="Q65" s="91">
        <f t="shared" si="10"/>
        <v>1110.24</v>
      </c>
      <c r="R65" s="91">
        <f t="shared" si="10"/>
        <v>1068.69</v>
      </c>
      <c r="S65" s="91">
        <f t="shared" si="10"/>
        <v>1053.96</v>
      </c>
      <c r="T65" s="91">
        <f t="shared" si="10"/>
        <v>1054.54</v>
      </c>
      <c r="U65" s="91">
        <f t="shared" si="10"/>
        <v>1015.52</v>
      </c>
      <c r="V65" s="91">
        <f t="shared" si="10"/>
        <v>1022.54</v>
      </c>
      <c r="W65" s="91">
        <f t="shared" si="10"/>
        <v>1006.56</v>
      </c>
      <c r="X65" s="91">
        <f t="shared" si="10"/>
        <v>1027.3400000000001</v>
      </c>
      <c r="Y65" s="91">
        <f t="shared" si="10"/>
        <v>1147.6299999999999</v>
      </c>
      <c r="Z65" s="91">
        <f t="shared" si="10"/>
        <v>1245.77</v>
      </c>
      <c r="AA65" s="91">
        <f t="shared" si="10"/>
        <v>1297.44</v>
      </c>
      <c r="AB65" s="91">
        <f t="shared" si="10"/>
        <v>1297.44</v>
      </c>
      <c r="AC65" s="91">
        <f t="shared" si="10"/>
        <v>1203.6399999999999</v>
      </c>
      <c r="AD65" s="91">
        <f t="shared" si="10"/>
        <v>1146.74</v>
      </c>
      <c r="AE65" s="91">
        <f t="shared" si="10"/>
        <v>1094.8399999999999</v>
      </c>
      <c r="AF65" s="91">
        <f t="shared" si="10"/>
        <v>1071.04</v>
      </c>
      <c r="AG65" s="74">
        <f>AG63+AG59+AG47+AG43+AG30+AG64</f>
        <v>1355.5100000000002</v>
      </c>
      <c r="AH65" s="52">
        <f t="shared" si="2"/>
        <v>1297.44</v>
      </c>
      <c r="AI65" s="53">
        <f t="shared" si="3"/>
        <v>869.92000000000007</v>
      </c>
    </row>
    <row r="66" spans="1:35" x14ac:dyDescent="0.25">
      <c r="A66" s="55" t="s">
        <v>73</v>
      </c>
      <c r="B66" s="82"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>IF(AB51&lt;0,AB51*-1,0)</f>
        <v>0</v>
      </c>
      <c r="AC66" s="82">
        <f>IF(AC51&lt;0,AC51*-1,0)</f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>IF(AB49&lt;0,AB49*-1,0)</f>
        <v>0</v>
      </c>
      <c r="AC67" s="82">
        <f>IF(AC49&lt;0,AC49*-1,0)</f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>IF(AB52&lt;0,AB52*-1,0)</f>
        <v>0</v>
      </c>
      <c r="AC68" s="82">
        <f>IF(AC52&lt;0,AC52*-1,0)</f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v>0</v>
      </c>
      <c r="C69" s="82">
        <f t="shared" ref="C69:AF69" si="17">IF(C50&lt;0,C50*-1,0)</f>
        <v>10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>IF(AB50&lt;0,AB50*-1,0)</f>
        <v>0</v>
      </c>
      <c r="AC69" s="82">
        <f>IF(AC50&lt;0,AC50*-1,0)</f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10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 t="shared" ref="B71:AF71" si="18">SUM(B66:B70)</f>
        <v>0</v>
      </c>
      <c r="C71" s="69">
        <f t="shared" si="18"/>
        <v>10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10</v>
      </c>
      <c r="AI71" s="53">
        <f t="shared" si="3"/>
        <v>0</v>
      </c>
    </row>
    <row r="72" spans="1:35" x14ac:dyDescent="0.25">
      <c r="A72" s="93" t="s">
        <v>79</v>
      </c>
      <c r="B72" s="94">
        <v>50.01</v>
      </c>
      <c r="C72" s="94">
        <v>50.02</v>
      </c>
      <c r="D72" s="94">
        <v>49.99</v>
      </c>
      <c r="E72" s="94">
        <v>50.06</v>
      </c>
      <c r="F72" s="94">
        <v>50.03</v>
      </c>
      <c r="G72" s="94">
        <v>50</v>
      </c>
      <c r="H72" s="94">
        <v>50.01</v>
      </c>
      <c r="I72" s="94">
        <v>50.03</v>
      </c>
      <c r="J72" s="94">
        <v>49.97</v>
      </c>
      <c r="K72" s="94">
        <v>50.09</v>
      </c>
      <c r="L72" s="94">
        <v>50.103999999999999</v>
      </c>
      <c r="M72" s="94">
        <v>49.92</v>
      </c>
      <c r="N72" s="94">
        <v>50.000999999999998</v>
      </c>
      <c r="O72" s="94">
        <v>50.03</v>
      </c>
      <c r="P72" s="94">
        <v>49.954000000000001</v>
      </c>
      <c r="Q72" s="95">
        <v>49.841999999999999</v>
      </c>
      <c r="R72" s="94">
        <v>49.951999999999998</v>
      </c>
      <c r="S72" s="94">
        <v>50.021000000000001</v>
      </c>
      <c r="T72" s="94">
        <v>50.033999999999999</v>
      </c>
      <c r="U72" s="94">
        <v>49.984000000000002</v>
      </c>
      <c r="V72" s="94">
        <v>49.962000000000003</v>
      </c>
      <c r="W72" s="94">
        <v>49.91</v>
      </c>
      <c r="X72" s="94">
        <v>49.991999999999997</v>
      </c>
      <c r="Y72" s="94">
        <v>50.034999999999997</v>
      </c>
      <c r="Z72" s="94">
        <v>50.034999999999997</v>
      </c>
      <c r="AA72" s="94">
        <v>49.914999999999999</v>
      </c>
      <c r="AB72" s="94">
        <v>49.914999999999999</v>
      </c>
      <c r="AC72" s="94">
        <v>50.029000000000003</v>
      </c>
      <c r="AD72" s="94">
        <v>49.936999999999998</v>
      </c>
      <c r="AE72" s="94">
        <v>49.932000000000002</v>
      </c>
      <c r="AF72" s="96">
        <v>50.03</v>
      </c>
      <c r="AG72" s="97"/>
      <c r="AH72" s="52">
        <f t="shared" si="2"/>
        <v>50.103999999999999</v>
      </c>
      <c r="AI72" s="53">
        <f t="shared" si="3"/>
        <v>49.841999999999999</v>
      </c>
    </row>
    <row r="73" spans="1:35" x14ac:dyDescent="0.25">
      <c r="A73" s="98" t="s">
        <v>80</v>
      </c>
      <c r="B73" s="70">
        <v>124</v>
      </c>
      <c r="C73" s="70">
        <v>124.5</v>
      </c>
      <c r="D73" s="70">
        <v>125.4</v>
      </c>
      <c r="E73" s="70">
        <v>125.5</v>
      </c>
      <c r="F73" s="70">
        <v>125.9</v>
      </c>
      <c r="G73" s="70">
        <v>125.3</v>
      </c>
      <c r="H73" s="70">
        <v>125</v>
      </c>
      <c r="I73" s="70">
        <v>124.7</v>
      </c>
      <c r="J73" s="70">
        <v>125.2</v>
      </c>
      <c r="K73" s="70">
        <v>125.6</v>
      </c>
      <c r="L73" s="70">
        <v>125.3</v>
      </c>
      <c r="M73" s="70">
        <v>124.4</v>
      </c>
      <c r="N73" s="70">
        <v>125.4</v>
      </c>
      <c r="O73" s="70">
        <v>125</v>
      </c>
      <c r="P73" s="70">
        <v>124.5</v>
      </c>
      <c r="Q73" s="99">
        <v>123.6</v>
      </c>
      <c r="R73" s="99">
        <v>124.9</v>
      </c>
      <c r="S73" s="99">
        <v>125.8</v>
      </c>
      <c r="T73" s="99">
        <v>125.3</v>
      </c>
      <c r="U73" s="99">
        <v>126.8</v>
      </c>
      <c r="V73" s="99">
        <v>126.1</v>
      </c>
      <c r="W73" s="99">
        <v>127.3</v>
      </c>
      <c r="X73" s="99">
        <v>127</v>
      </c>
      <c r="Y73" s="99">
        <v>126.1</v>
      </c>
      <c r="Z73" s="99">
        <v>127.1</v>
      </c>
      <c r="AA73" s="70">
        <v>127.3</v>
      </c>
      <c r="AB73" s="70">
        <v>127.3</v>
      </c>
      <c r="AC73" s="70">
        <v>127.5</v>
      </c>
      <c r="AD73" s="70">
        <v>126.1</v>
      </c>
      <c r="AE73" s="70">
        <v>126.5</v>
      </c>
      <c r="AF73" s="100">
        <v>126</v>
      </c>
      <c r="AG73" s="101"/>
      <c r="AH73" s="52">
        <f t="shared" si="2"/>
        <v>127.5</v>
      </c>
      <c r="AI73" s="53">
        <f t="shared" si="3"/>
        <v>123.6</v>
      </c>
    </row>
    <row r="74" spans="1:35" x14ac:dyDescent="0.25">
      <c r="A74" s="98" t="s">
        <v>81</v>
      </c>
      <c r="B74" s="70">
        <v>127.9</v>
      </c>
      <c r="C74" s="70">
        <v>128.30000000000001</v>
      </c>
      <c r="D74" s="70">
        <v>129.19999999999999</v>
      </c>
      <c r="E74" s="70">
        <v>129.19999999999999</v>
      </c>
      <c r="F74" s="70">
        <v>129</v>
      </c>
      <c r="G74" s="70">
        <v>128.80000000000001</v>
      </c>
      <c r="H74" s="70">
        <v>127.9</v>
      </c>
      <c r="I74" s="70">
        <v>127.3</v>
      </c>
      <c r="J74" s="70">
        <v>128.1</v>
      </c>
      <c r="K74" s="70">
        <v>128.1</v>
      </c>
      <c r="L74" s="70">
        <v>127.6</v>
      </c>
      <c r="M74" s="70">
        <v>127.1</v>
      </c>
      <c r="N74" s="70">
        <v>128</v>
      </c>
      <c r="O74" s="70">
        <v>127.7</v>
      </c>
      <c r="P74" s="70">
        <v>127.4</v>
      </c>
      <c r="Q74" s="99">
        <v>127</v>
      </c>
      <c r="R74" s="99">
        <v>127.8</v>
      </c>
      <c r="S74" s="99">
        <v>128.5</v>
      </c>
      <c r="T74" s="99">
        <v>128.19999999999999</v>
      </c>
      <c r="U74" s="99">
        <v>129.4</v>
      </c>
      <c r="V74" s="99">
        <v>128.19999999999999</v>
      </c>
      <c r="W74" s="99">
        <v>129.19999999999999</v>
      </c>
      <c r="X74" s="99">
        <v>129.1</v>
      </c>
      <c r="Y74" s="99">
        <v>129</v>
      </c>
      <c r="Z74" s="99">
        <v>129.4</v>
      </c>
      <c r="AA74" s="70">
        <v>129.5</v>
      </c>
      <c r="AB74" s="70">
        <v>129.5</v>
      </c>
      <c r="AC74" s="70">
        <v>130.19999999999999</v>
      </c>
      <c r="AD74" s="70">
        <v>129.30000000000001</v>
      </c>
      <c r="AE74" s="70">
        <v>129.6</v>
      </c>
      <c r="AF74" s="100">
        <v>130</v>
      </c>
      <c r="AG74" s="101"/>
      <c r="AH74" s="52">
        <f t="shared" si="2"/>
        <v>130.19999999999999</v>
      </c>
      <c r="AI74" s="53">
        <f t="shared" si="3"/>
        <v>127</v>
      </c>
    </row>
    <row r="75" spans="1:35" x14ac:dyDescent="0.25">
      <c r="A75" s="98" t="s">
        <v>82</v>
      </c>
      <c r="B75" s="70">
        <v>127.7</v>
      </c>
      <c r="C75" s="70">
        <v>128.80000000000001</v>
      </c>
      <c r="D75" s="70">
        <v>129.4</v>
      </c>
      <c r="E75" s="70">
        <v>130.1</v>
      </c>
      <c r="F75" s="70">
        <v>128.80000000000001</v>
      </c>
      <c r="G75" s="70">
        <v>129</v>
      </c>
      <c r="H75" s="70">
        <v>126.5</v>
      </c>
      <c r="I75" s="70">
        <v>127.9</v>
      </c>
      <c r="J75" s="70">
        <v>128.30000000000001</v>
      </c>
      <c r="K75" s="70">
        <v>130.1</v>
      </c>
      <c r="L75" s="70">
        <v>129.4</v>
      </c>
      <c r="M75" s="70">
        <v>128.19999999999999</v>
      </c>
      <c r="N75" s="70">
        <v>125.1</v>
      </c>
      <c r="O75" s="70">
        <v>130.4</v>
      </c>
      <c r="P75" s="70">
        <v>128.9</v>
      </c>
      <c r="Q75" s="70">
        <v>129.30000000000001</v>
      </c>
      <c r="R75" s="70">
        <v>128.80000000000001</v>
      </c>
      <c r="S75" s="70">
        <v>128.80000000000001</v>
      </c>
      <c r="T75" s="99">
        <v>126.7</v>
      </c>
      <c r="U75" s="99">
        <v>128.1</v>
      </c>
      <c r="V75" s="99">
        <v>128.69999999999999</v>
      </c>
      <c r="W75" s="99">
        <v>128.80000000000001</v>
      </c>
      <c r="X75" s="99">
        <v>129.69999999999999</v>
      </c>
      <c r="Y75" s="99">
        <v>125.1</v>
      </c>
      <c r="Z75" s="99">
        <v>127.1</v>
      </c>
      <c r="AA75" s="70">
        <v>126.8</v>
      </c>
      <c r="AB75" s="70">
        <v>126.8</v>
      </c>
      <c r="AC75" s="70">
        <v>127.7</v>
      </c>
      <c r="AD75" s="70">
        <v>127.9</v>
      </c>
      <c r="AE75" s="70">
        <v>128.19999999999999</v>
      </c>
      <c r="AF75" s="100">
        <v>128</v>
      </c>
      <c r="AG75" s="101"/>
      <c r="AH75" s="52">
        <f t="shared" si="2"/>
        <v>130.4</v>
      </c>
      <c r="AI75" s="53">
        <f t="shared" si="3"/>
        <v>125.1</v>
      </c>
    </row>
    <row r="76" spans="1:35" x14ac:dyDescent="0.25">
      <c r="A76" s="102" t="s">
        <v>83</v>
      </c>
      <c r="B76" s="70">
        <v>131</v>
      </c>
      <c r="C76" s="70">
        <v>132.30000000000001</v>
      </c>
      <c r="D76" s="70">
        <v>132.4</v>
      </c>
      <c r="E76" s="70">
        <v>133.1</v>
      </c>
      <c r="F76" s="70">
        <v>132.1</v>
      </c>
      <c r="G76" s="70">
        <v>131.4</v>
      </c>
      <c r="H76" s="70">
        <v>129.69999999999999</v>
      </c>
      <c r="I76" s="70">
        <v>130.69999999999999</v>
      </c>
      <c r="J76" s="70">
        <v>130.6</v>
      </c>
      <c r="K76" s="70">
        <v>132.6</v>
      </c>
      <c r="L76" s="70">
        <v>132.80000000000001</v>
      </c>
      <c r="M76" s="70">
        <v>130.6</v>
      </c>
      <c r="N76" s="70">
        <v>129.4</v>
      </c>
      <c r="O76" s="70">
        <v>130.30000000000001</v>
      </c>
      <c r="P76" s="70">
        <v>132.5</v>
      </c>
      <c r="Q76" s="70">
        <v>133.4</v>
      </c>
      <c r="R76" s="70">
        <v>130.9</v>
      </c>
      <c r="S76" s="70">
        <v>130.9</v>
      </c>
      <c r="T76" s="99">
        <v>128.80000000000001</v>
      </c>
      <c r="U76" s="99">
        <v>130.69999999999999</v>
      </c>
      <c r="V76" s="99">
        <v>131.1</v>
      </c>
      <c r="W76" s="99">
        <v>131.1</v>
      </c>
      <c r="X76" s="99">
        <v>132.1</v>
      </c>
      <c r="Y76" s="99">
        <v>127.9</v>
      </c>
      <c r="Z76" s="99">
        <v>131.30000000000001</v>
      </c>
      <c r="AA76" s="70">
        <v>131</v>
      </c>
      <c r="AB76" s="70">
        <v>131</v>
      </c>
      <c r="AC76" s="70">
        <v>132.80000000000001</v>
      </c>
      <c r="AD76" s="70">
        <v>131.30000000000001</v>
      </c>
      <c r="AE76" s="70">
        <v>1321.1</v>
      </c>
      <c r="AF76" s="100">
        <v>132</v>
      </c>
      <c r="AG76" s="101"/>
      <c r="AH76" s="52">
        <f t="shared" si="2"/>
        <v>1321.1</v>
      </c>
      <c r="AI76" s="53">
        <f t="shared" si="3"/>
        <v>127.9</v>
      </c>
    </row>
    <row r="77" spans="1:35" x14ac:dyDescent="0.25">
      <c r="A77" s="102" t="s">
        <v>84</v>
      </c>
      <c r="B77" s="103">
        <v>130.80000000000001</v>
      </c>
      <c r="C77" s="103">
        <v>134</v>
      </c>
      <c r="D77" s="103">
        <v>134.30000000000001</v>
      </c>
      <c r="E77" s="103">
        <v>134.5</v>
      </c>
      <c r="F77" s="103">
        <v>134.80000000000001</v>
      </c>
      <c r="G77" s="103">
        <v>134.80000000000001</v>
      </c>
      <c r="H77" s="103">
        <v>135</v>
      </c>
      <c r="I77" s="103">
        <v>134.69999999999999</v>
      </c>
      <c r="J77" s="103">
        <v>97</v>
      </c>
      <c r="K77" s="103">
        <v>132</v>
      </c>
      <c r="L77" s="103">
        <v>131.9</v>
      </c>
      <c r="M77" s="103">
        <v>133.19999999999999</v>
      </c>
      <c r="N77" s="103">
        <v>132.6</v>
      </c>
      <c r="O77" s="103">
        <v>134.1</v>
      </c>
      <c r="P77" s="103">
        <v>133.80000000000001</v>
      </c>
      <c r="Q77" s="103">
        <v>131</v>
      </c>
      <c r="R77" s="103">
        <v>128.30000000000001</v>
      </c>
      <c r="S77" s="103">
        <v>132.30000000000001</v>
      </c>
      <c r="T77" s="99">
        <v>132.1</v>
      </c>
      <c r="U77" s="99">
        <v>131.80000000000001</v>
      </c>
      <c r="V77" s="99">
        <v>134</v>
      </c>
      <c r="W77" s="99">
        <v>135.9</v>
      </c>
      <c r="X77" s="99">
        <v>132.30000000000001</v>
      </c>
      <c r="Y77" s="99">
        <v>133.5</v>
      </c>
      <c r="Z77" s="99">
        <v>132.1</v>
      </c>
      <c r="AA77" s="103">
        <v>133.6</v>
      </c>
      <c r="AB77" s="103">
        <v>133.6</v>
      </c>
      <c r="AC77" s="103">
        <v>133.69999999999999</v>
      </c>
      <c r="AD77" s="103">
        <v>131.80000000000001</v>
      </c>
      <c r="AE77" s="103">
        <v>131.19999999999999</v>
      </c>
      <c r="AF77" s="104">
        <v>131.6</v>
      </c>
      <c r="AG77" s="105"/>
      <c r="AH77" s="52">
        <f t="shared" si="2"/>
        <v>135.9</v>
      </c>
      <c r="AI77" s="53">
        <f t="shared" si="3"/>
        <v>97</v>
      </c>
    </row>
    <row r="78" spans="1:35" x14ac:dyDescent="0.25">
      <c r="A78" s="98" t="s">
        <v>85</v>
      </c>
      <c r="B78" s="70">
        <v>122.7</v>
      </c>
      <c r="C78" s="70">
        <v>126.7</v>
      </c>
      <c r="D78" s="70">
        <v>132.69999999999999</v>
      </c>
      <c r="E78" s="70">
        <v>136.30000000000001</v>
      </c>
      <c r="F78" s="70">
        <v>136.69999999999999</v>
      </c>
      <c r="G78" s="70">
        <v>136</v>
      </c>
      <c r="H78" s="70">
        <v>135.6</v>
      </c>
      <c r="I78" s="70">
        <v>135.6</v>
      </c>
      <c r="J78" s="70">
        <v>135</v>
      </c>
      <c r="K78" s="70">
        <v>129.1</v>
      </c>
      <c r="L78" s="70">
        <v>127</v>
      </c>
      <c r="M78" s="70">
        <v>124.5</v>
      </c>
      <c r="N78" s="70">
        <v>124.7</v>
      </c>
      <c r="O78" s="70">
        <v>130.69999999999999</v>
      </c>
      <c r="P78" s="70">
        <v>127.7</v>
      </c>
      <c r="Q78" s="70">
        <v>123.8</v>
      </c>
      <c r="R78" s="70">
        <v>129.9</v>
      </c>
      <c r="S78" s="70">
        <v>128</v>
      </c>
      <c r="T78" s="99">
        <v>129.4</v>
      </c>
      <c r="U78" s="99">
        <v>131.4</v>
      </c>
      <c r="V78" s="99">
        <v>132.6</v>
      </c>
      <c r="W78" s="99">
        <v>133.5</v>
      </c>
      <c r="X78" s="99">
        <v>135.30000000000001</v>
      </c>
      <c r="Y78" s="99">
        <v>133.9</v>
      </c>
      <c r="Z78" s="99">
        <v>132.4</v>
      </c>
      <c r="AA78" s="70">
        <v>127.7</v>
      </c>
      <c r="AB78" s="70">
        <v>127.7</v>
      </c>
      <c r="AC78" s="70">
        <v>127.6</v>
      </c>
      <c r="AD78" s="70">
        <v>130.80000000000001</v>
      </c>
      <c r="AE78" s="70">
        <v>132.1</v>
      </c>
      <c r="AF78" s="100">
        <v>132</v>
      </c>
      <c r="AG78" s="101"/>
      <c r="AH78" s="52">
        <f>MAX(B78:AF78)</f>
        <v>136.69999999999999</v>
      </c>
      <c r="AI78" s="53">
        <f>MIN(B78:AF78)</f>
        <v>122.7</v>
      </c>
    </row>
    <row r="79" spans="1:35" ht="15.75" thickBot="1" x14ac:dyDescent="0.3">
      <c r="A79" s="98" t="s">
        <v>86</v>
      </c>
      <c r="B79" s="106">
        <v>65.5</v>
      </c>
      <c r="C79" s="106">
        <v>65.7</v>
      </c>
      <c r="D79" s="106">
        <v>66</v>
      </c>
      <c r="E79" s="106">
        <v>66.2</v>
      </c>
      <c r="F79" s="106">
        <v>65.900000000000006</v>
      </c>
      <c r="G79" s="106">
        <v>65.599999999999994</v>
      </c>
      <c r="H79" s="106">
        <v>65.3</v>
      </c>
      <c r="I79" s="106">
        <v>64.8</v>
      </c>
      <c r="J79" s="106">
        <v>65.599999999999994</v>
      </c>
      <c r="K79" s="106">
        <v>65.400000000000006</v>
      </c>
      <c r="L79" s="106">
        <v>65.099999999999994</v>
      </c>
      <c r="M79" s="106">
        <v>65</v>
      </c>
      <c r="N79" s="106">
        <v>65.5</v>
      </c>
      <c r="O79" s="106">
        <v>65.400000000000006</v>
      </c>
      <c r="P79" s="106">
        <v>65.3</v>
      </c>
      <c r="Q79" s="106">
        <v>65</v>
      </c>
      <c r="R79" s="106">
        <v>65.5</v>
      </c>
      <c r="S79" s="106">
        <v>65.599999999999994</v>
      </c>
      <c r="T79" s="106">
        <v>65.8</v>
      </c>
      <c r="U79" s="106">
        <v>66.099999999999994</v>
      </c>
      <c r="V79" s="106">
        <v>65.400000000000006</v>
      </c>
      <c r="W79" s="106">
        <v>66.099999999999994</v>
      </c>
      <c r="X79" s="106">
        <v>66.2</v>
      </c>
      <c r="Y79" s="106">
        <v>65.900000000000006</v>
      </c>
      <c r="Z79" s="106">
        <v>66</v>
      </c>
      <c r="AA79" s="106">
        <v>66</v>
      </c>
      <c r="AB79" s="106">
        <v>66</v>
      </c>
      <c r="AC79" s="106">
        <v>66.5</v>
      </c>
      <c r="AD79" s="106">
        <v>66.3</v>
      </c>
      <c r="AE79" s="106">
        <v>66.599999999999994</v>
      </c>
      <c r="AF79" s="107">
        <v>66</v>
      </c>
      <c r="AG79" s="108"/>
      <c r="AH79" s="52">
        <f>MAX(B79:AF79)</f>
        <v>66.599999999999994</v>
      </c>
      <c r="AI79" s="53">
        <f>MIN(B79:AF79)</f>
        <v>64.8</v>
      </c>
    </row>
    <row r="80" spans="1:35" x14ac:dyDescent="0.25">
      <c r="A80" s="109" t="s">
        <v>87</v>
      </c>
      <c r="B80" s="110">
        <f t="shared" ref="B80:AF80" si="19">SUMIF(B48:B57,"&gt;0")</f>
        <v>44.48</v>
      </c>
      <c r="C80" s="110">
        <f t="shared" si="19"/>
        <v>43</v>
      </c>
      <c r="D80" s="110">
        <f t="shared" si="19"/>
        <v>40</v>
      </c>
      <c r="E80" s="110">
        <f t="shared" si="19"/>
        <v>36.32</v>
      </c>
      <c r="F80" s="110">
        <f t="shared" si="19"/>
        <v>38.979999999999997</v>
      </c>
      <c r="G80" s="110">
        <f t="shared" si="19"/>
        <v>34.880000000000003</v>
      </c>
      <c r="H80" s="110">
        <f t="shared" si="19"/>
        <v>46.93</v>
      </c>
      <c r="I80" s="110">
        <f t="shared" si="19"/>
        <v>59.78</v>
      </c>
      <c r="J80" s="110">
        <f t="shared" si="19"/>
        <v>101</v>
      </c>
      <c r="K80" s="110">
        <f t="shared" si="19"/>
        <v>116.13</v>
      </c>
      <c r="L80" s="110">
        <f t="shared" si="19"/>
        <v>184.4</v>
      </c>
      <c r="M80" s="110">
        <f t="shared" si="19"/>
        <v>188.2</v>
      </c>
      <c r="N80" s="110">
        <f t="shared" si="19"/>
        <v>164.17000000000002</v>
      </c>
      <c r="O80" s="110">
        <f t="shared" si="19"/>
        <v>187.3</v>
      </c>
      <c r="P80" s="110">
        <f t="shared" si="19"/>
        <v>199.7</v>
      </c>
      <c r="Q80" s="110">
        <f t="shared" si="19"/>
        <v>213.1</v>
      </c>
      <c r="R80" s="110">
        <f t="shared" si="19"/>
        <v>180.35</v>
      </c>
      <c r="S80" s="110">
        <f t="shared" si="19"/>
        <v>155.42000000000002</v>
      </c>
      <c r="T80" s="110">
        <f t="shared" si="19"/>
        <v>159.6</v>
      </c>
      <c r="U80" s="110">
        <f t="shared" si="19"/>
        <v>138.97999999999999</v>
      </c>
      <c r="V80" s="110">
        <f t="shared" si="19"/>
        <v>147.80000000000001</v>
      </c>
      <c r="W80" s="110">
        <f t="shared" si="19"/>
        <v>128.02000000000001</v>
      </c>
      <c r="X80" s="110">
        <f t="shared" si="19"/>
        <v>162.4</v>
      </c>
      <c r="Y80" s="110">
        <f t="shared" si="19"/>
        <v>255.29000000000002</v>
      </c>
      <c r="Z80" s="110">
        <f t="shared" si="19"/>
        <v>297.63</v>
      </c>
      <c r="AA80" s="110">
        <f t="shared" si="19"/>
        <v>347.1</v>
      </c>
      <c r="AB80" s="110">
        <f>SUMIF(AB48:AB57,"&gt;0")</f>
        <v>347.1</v>
      </c>
      <c r="AC80" s="110">
        <f>SUMIF(AC48:AC57,"&gt;0")</f>
        <v>295</v>
      </c>
      <c r="AD80" s="110">
        <f t="shared" si="19"/>
        <v>215.9</v>
      </c>
      <c r="AE80" s="110">
        <f t="shared" si="19"/>
        <v>192.7</v>
      </c>
      <c r="AF80" s="110">
        <f t="shared" si="19"/>
        <v>164.6</v>
      </c>
      <c r="AG80" s="111"/>
      <c r="AH80" s="52">
        <f>MAX(B80:AF80)</f>
        <v>347.1</v>
      </c>
      <c r="AI80" s="53">
        <f>MIN(B80:AF80)</f>
        <v>34.880000000000003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 t="shared" ref="B82:AF82" si="20">B11+B13+B17+B34+B36+B38+B40+B94+B108+B110+B121+B127+B130+B139+B143+B144+B147+B154+B159+B162+B163+B164+B172+B177+B83+B84+B85+B86+B99</f>
        <v>218.21999999999997</v>
      </c>
      <c r="C82" s="115">
        <f t="shared" si="20"/>
        <v>216.71999999999997</v>
      </c>
      <c r="D82" s="115">
        <f t="shared" si="20"/>
        <v>345.31999999999994</v>
      </c>
      <c r="E82" s="115">
        <f t="shared" si="20"/>
        <v>340.12</v>
      </c>
      <c r="F82" s="115">
        <f t="shared" si="20"/>
        <v>335.71999999999997</v>
      </c>
      <c r="G82" s="115">
        <f t="shared" si="20"/>
        <v>331.81999999999994</v>
      </c>
      <c r="H82" s="115">
        <f t="shared" si="20"/>
        <v>337.72</v>
      </c>
      <c r="I82" s="115">
        <f t="shared" si="20"/>
        <v>331.21999999999991</v>
      </c>
      <c r="J82" s="115">
        <f t="shared" si="20"/>
        <v>326.02</v>
      </c>
      <c r="K82" s="115">
        <f t="shared" si="20"/>
        <v>291.11999999999995</v>
      </c>
      <c r="L82" s="115">
        <f t="shared" si="20"/>
        <v>279.91999999999996</v>
      </c>
      <c r="M82" s="115">
        <f t="shared" si="20"/>
        <v>284.52</v>
      </c>
      <c r="N82" s="115">
        <f t="shared" si="20"/>
        <v>280.41999999999996</v>
      </c>
      <c r="O82" s="115">
        <f t="shared" si="20"/>
        <v>241.21999999999997</v>
      </c>
      <c r="P82" s="115">
        <f t="shared" si="20"/>
        <v>191.31999999999994</v>
      </c>
      <c r="Q82" s="115">
        <f t="shared" si="20"/>
        <v>210.21999999999994</v>
      </c>
      <c r="R82" s="115">
        <f t="shared" si="20"/>
        <v>188.51999999999995</v>
      </c>
      <c r="S82" s="115">
        <f t="shared" si="20"/>
        <v>178.51999999999998</v>
      </c>
      <c r="T82" s="115">
        <f t="shared" si="20"/>
        <v>183.91999999999996</v>
      </c>
      <c r="U82" s="115">
        <f t="shared" si="20"/>
        <v>188.52000000000004</v>
      </c>
      <c r="V82" s="115">
        <f t="shared" si="20"/>
        <v>194.42</v>
      </c>
      <c r="W82" s="115">
        <f t="shared" si="20"/>
        <v>195.42</v>
      </c>
      <c r="X82" s="115">
        <f t="shared" si="20"/>
        <v>204.31999999999996</v>
      </c>
      <c r="Y82" s="115">
        <f t="shared" si="20"/>
        <v>239.72</v>
      </c>
      <c r="Z82" s="115">
        <f t="shared" si="20"/>
        <v>284.21999999999997</v>
      </c>
      <c r="AA82" s="115">
        <f t="shared" si="20"/>
        <v>276.11999999999989</v>
      </c>
      <c r="AB82" s="115">
        <f>AB11+AB13+AB17+AC34+AB36+AB38+AB40+AB94+AB108+AB110+AB121+AB127+AB130+AB139+AB143+AB144+AB147+AB154+AB159+AB162+AB163+AB164+AB172+AB177+AB83+AB84+AB85+AB86+AB99</f>
        <v>276.11999999999989</v>
      </c>
      <c r="AC82" s="115" t="e">
        <f>AC11+AC13+AC17+#REF!+AC36+AC38+AC40+AC94+AC108+AC110+AC121+AC127+AC130+AC139+AC143+AC144+AC147+AC154+AC159+AC162+AC163+AC164+AC172+AC177+AC83+AC84+AC85+AC86+AC99</f>
        <v>#REF!</v>
      </c>
      <c r="AD82" s="115">
        <f t="shared" si="20"/>
        <v>175.01999999999998</v>
      </c>
      <c r="AE82" s="115">
        <f t="shared" si="20"/>
        <v>137.51999999999998</v>
      </c>
      <c r="AF82" s="115">
        <f t="shared" si="20"/>
        <v>127.51999999999995</v>
      </c>
      <c r="AG82" s="116"/>
      <c r="AH82" s="52" t="e">
        <f>MAX(B82:AF82)</f>
        <v>#REF!</v>
      </c>
      <c r="AI82" s="53" t="e">
        <f>MIN(B82:AF82)</f>
        <v>#REF!</v>
      </c>
    </row>
    <row r="83" spans="1:37" x14ac:dyDescent="0.25">
      <c r="A83" s="117" t="s">
        <v>89</v>
      </c>
      <c r="B83" s="118">
        <v>73.599999999999994</v>
      </c>
      <c r="C83" s="118">
        <v>72.599999999999994</v>
      </c>
      <c r="D83" s="118">
        <v>67.7</v>
      </c>
      <c r="E83" s="118">
        <v>67.3</v>
      </c>
      <c r="F83" s="118">
        <v>69.2</v>
      </c>
      <c r="G83" s="118">
        <v>69</v>
      </c>
      <c r="H83" s="118">
        <v>72</v>
      </c>
      <c r="I83" s="118">
        <v>76.2</v>
      </c>
      <c r="J83" s="118">
        <v>68.5</v>
      </c>
      <c r="K83" s="118">
        <v>49.1</v>
      </c>
      <c r="L83" s="118">
        <v>54</v>
      </c>
      <c r="M83" s="118">
        <v>60.8</v>
      </c>
      <c r="N83" s="118">
        <v>60.9</v>
      </c>
      <c r="O83" s="118">
        <v>29.2</v>
      </c>
      <c r="P83" s="118">
        <v>67.2</v>
      </c>
      <c r="Q83" s="118">
        <v>64.8</v>
      </c>
      <c r="R83" s="118">
        <v>59.7</v>
      </c>
      <c r="S83" s="118">
        <v>62</v>
      </c>
      <c r="T83" s="118">
        <v>62.4</v>
      </c>
      <c r="U83" s="118">
        <v>62.9</v>
      </c>
      <c r="V83" s="118">
        <v>58.5</v>
      </c>
      <c r="W83" s="118">
        <v>60.5</v>
      </c>
      <c r="X83" s="118">
        <v>57.4</v>
      </c>
      <c r="Y83" s="118">
        <v>57</v>
      </c>
      <c r="Z83" s="118">
        <v>45.9</v>
      </c>
      <c r="AA83" s="50">
        <v>37.200000000000003</v>
      </c>
      <c r="AB83" s="50">
        <v>37.200000000000003</v>
      </c>
      <c r="AC83" s="50">
        <v>52.7</v>
      </c>
      <c r="AD83" s="50">
        <v>57.5</v>
      </c>
      <c r="AE83" s="50">
        <v>51.4</v>
      </c>
      <c r="AF83" s="119">
        <v>47</v>
      </c>
      <c r="AG83" s="120">
        <v>75</v>
      </c>
      <c r="AH83" s="52">
        <f>IF(ABS(MAX(B83:AF83))&gt;ABS(MIN(B83:AF83)),MAX(B83:AF83),MIN(B83:AF83))</f>
        <v>76.2</v>
      </c>
      <c r="AI83" s="121">
        <f>INDEX($B$9:$AF$9,1,MATCH(AH83,B83:AF83,0))</f>
        <v>0.27083333333333331</v>
      </c>
    </row>
    <row r="84" spans="1:37" x14ac:dyDescent="0.25">
      <c r="A84" s="122" t="s">
        <v>90</v>
      </c>
      <c r="B84" s="83">
        <v>-69</v>
      </c>
      <c r="C84" s="83">
        <v>-69</v>
      </c>
      <c r="D84" s="83">
        <f>30.5+33.5</f>
        <v>64</v>
      </c>
      <c r="E84" s="83">
        <v>60.3</v>
      </c>
      <c r="F84" s="83">
        <v>49.9</v>
      </c>
      <c r="G84" s="83">
        <v>48</v>
      </c>
      <c r="H84" s="83">
        <v>49.6</v>
      </c>
      <c r="I84" s="83">
        <v>39.799999999999997</v>
      </c>
      <c r="J84" s="83">
        <v>31.9</v>
      </c>
      <c r="K84" s="83">
        <v>8.6999999999999993</v>
      </c>
      <c r="L84" s="83">
        <v>-9.5</v>
      </c>
      <c r="M84" s="83">
        <v>-14</v>
      </c>
      <c r="N84" s="83">
        <v>-15.2</v>
      </c>
      <c r="O84" s="83">
        <f>-7.6-13</f>
        <v>-20.6</v>
      </c>
      <c r="P84" s="83">
        <v>-35</v>
      </c>
      <c r="Q84" s="83">
        <v>-13.6</v>
      </c>
      <c r="R84" s="83">
        <v>-29</v>
      </c>
      <c r="S84" s="83">
        <v>-39</v>
      </c>
      <c r="T84" s="83">
        <v>-36</v>
      </c>
      <c r="U84" s="83">
        <v>-30</v>
      </c>
      <c r="V84" s="83">
        <v>-20.399999999999999</v>
      </c>
      <c r="W84" s="83">
        <v>-21.5</v>
      </c>
      <c r="X84" s="83">
        <v>-19.899999999999999</v>
      </c>
      <c r="Y84" s="83">
        <v>-15.5</v>
      </c>
      <c r="Z84" s="83">
        <v>6</v>
      </c>
      <c r="AA84" s="70">
        <v>5.0999999999999996</v>
      </c>
      <c r="AB84" s="70">
        <v>5.0999999999999996</v>
      </c>
      <c r="AC84" s="70">
        <v>-17</v>
      </c>
      <c r="AD84" s="70">
        <v>-44</v>
      </c>
      <c r="AE84" s="70">
        <v>-53</v>
      </c>
      <c r="AF84" s="123">
        <v>-54</v>
      </c>
      <c r="AG84" s="120">
        <v>240</v>
      </c>
      <c r="AH84" s="52">
        <f>IF(ABS(MAX(B84:AF84))&gt;ABS(MIN(B84:AF84)),MAX(B84:AF84),MIN(B84:AF84))</f>
        <v>-69</v>
      </c>
      <c r="AI84" s="121">
        <f>INDEX($B$9:$AF$9,1,MATCH(AH84,B84:AF84,0))</f>
        <v>4.1666666666666664E-2</v>
      </c>
    </row>
    <row r="85" spans="1:37" x14ac:dyDescent="0.25">
      <c r="A85" s="122" t="s">
        <v>91</v>
      </c>
      <c r="B85" s="83">
        <v>0.2</v>
      </c>
      <c r="C85" s="83">
        <v>-0.8</v>
      </c>
      <c r="D85" s="83">
        <v>0.2</v>
      </c>
      <c r="E85" s="83">
        <f>-0.2</f>
        <v>-0.2</v>
      </c>
      <c r="F85" s="83">
        <v>4</v>
      </c>
      <c r="G85" s="83">
        <v>2</v>
      </c>
      <c r="H85" s="83">
        <v>4</v>
      </c>
      <c r="I85" s="83">
        <v>5.4</v>
      </c>
      <c r="J85" s="83">
        <v>15.5</v>
      </c>
      <c r="K85" s="83">
        <v>26.3</v>
      </c>
      <c r="L85" s="83">
        <v>24.6</v>
      </c>
      <c r="M85" s="83">
        <v>24.8</v>
      </c>
      <c r="N85" s="83">
        <v>23.1</v>
      </c>
      <c r="O85" s="83">
        <v>21.9</v>
      </c>
      <c r="P85" s="83">
        <v>21.5</v>
      </c>
      <c r="Q85" s="83">
        <v>19.3</v>
      </c>
      <c r="R85" s="83">
        <v>21.5</v>
      </c>
      <c r="S85" s="83">
        <v>27.1</v>
      </c>
      <c r="T85" s="83">
        <v>21.5</v>
      </c>
      <c r="U85" s="83">
        <v>18.399999999999999</v>
      </c>
      <c r="V85" s="83">
        <v>13.7</v>
      </c>
      <c r="W85" s="83">
        <v>12.8</v>
      </c>
      <c r="X85" s="83">
        <v>19.600000000000001</v>
      </c>
      <c r="Y85" s="83">
        <v>35.299999999999997</v>
      </c>
      <c r="Z85" s="83">
        <v>47</v>
      </c>
      <c r="AA85" s="70">
        <v>45.8</v>
      </c>
      <c r="AB85" s="70">
        <v>45.8</v>
      </c>
      <c r="AC85" s="70">
        <v>30.2</v>
      </c>
      <c r="AD85" s="70">
        <v>25.3</v>
      </c>
      <c r="AE85" s="70">
        <v>20.399999999999999</v>
      </c>
      <c r="AF85" s="123">
        <v>21</v>
      </c>
      <c r="AG85" s="120">
        <v>60</v>
      </c>
      <c r="AH85" s="52">
        <f>IF(ABS(MAX(B85:AF85))&gt;ABS(MIN(B85:AF85)),MAX(B85:AF85),MIN(B85:AF85))</f>
        <v>47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>
        <v>-73.400000000000006</v>
      </c>
      <c r="Q86" s="85">
        <v>-71.3</v>
      </c>
      <c r="R86" s="85">
        <v>-66.2</v>
      </c>
      <c r="S86" s="85">
        <v>-65.900000000000006</v>
      </c>
      <c r="T86" s="85">
        <v>-63.9</v>
      </c>
      <c r="U86" s="85">
        <v>-61.1</v>
      </c>
      <c r="V86" s="85">
        <v>-58.4</v>
      </c>
      <c r="W86" s="85">
        <v>-56.1</v>
      </c>
      <c r="X86" s="85">
        <v>-51.3</v>
      </c>
      <c r="Y86" s="85">
        <v>-38.200000000000003</v>
      </c>
      <c r="Z86" s="85">
        <v>-16.7</v>
      </c>
      <c r="AA86" s="125">
        <v>-15.8</v>
      </c>
      <c r="AB86" s="125">
        <v>-15.8</v>
      </c>
      <c r="AC86" s="125">
        <v>-43.3</v>
      </c>
      <c r="AD86" s="125">
        <v>-65</v>
      </c>
      <c r="AE86" s="125">
        <v>-83.6</v>
      </c>
      <c r="AF86" s="126">
        <v>-90</v>
      </c>
      <c r="AG86" s="127">
        <v>120</v>
      </c>
      <c r="AH86" s="52">
        <f>IF(ABS(MAX(B86:AF86))&gt;ABS(MIN(B86:AF86)),MAX(B86:AF86),MIN(B86:AF86))</f>
        <v>-90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85">
        <v>0.1</v>
      </c>
      <c r="C87" s="85">
        <v>0.1</v>
      </c>
      <c r="D87" s="85">
        <v>7.9</v>
      </c>
      <c r="E87" s="85">
        <v>9.3000000000000007</v>
      </c>
      <c r="F87" s="85">
        <v>9</v>
      </c>
      <c r="G87" s="85"/>
      <c r="H87" s="85"/>
      <c r="I87" s="85">
        <v>9.8000000000000007</v>
      </c>
      <c r="J87" s="85">
        <v>18.2</v>
      </c>
      <c r="K87" s="85">
        <v>35.9</v>
      </c>
      <c r="L87" s="85">
        <v>35.6</v>
      </c>
      <c r="M87" s="85">
        <v>34.5</v>
      </c>
      <c r="N87" s="85">
        <v>27.7</v>
      </c>
      <c r="O87" s="85">
        <v>30.3</v>
      </c>
      <c r="P87" s="85">
        <v>16.399999999999999</v>
      </c>
      <c r="Q87" s="85">
        <v>23.5</v>
      </c>
      <c r="R87" s="85">
        <v>20.7</v>
      </c>
      <c r="S87" s="85">
        <v>1.6</v>
      </c>
      <c r="T87" s="85">
        <v>5.7</v>
      </c>
      <c r="U87" s="85">
        <v>12.5</v>
      </c>
      <c r="V87" s="85">
        <v>21.4</v>
      </c>
      <c r="W87" s="85">
        <v>7.2</v>
      </c>
      <c r="X87" s="85">
        <v>19</v>
      </c>
      <c r="Y87" s="85">
        <v>27</v>
      </c>
      <c r="Z87" s="85">
        <v>33</v>
      </c>
      <c r="AA87" s="125">
        <v>40.299999999999997</v>
      </c>
      <c r="AB87" s="125">
        <v>40.299999999999997</v>
      </c>
      <c r="AC87" s="125">
        <v>28.7</v>
      </c>
      <c r="AD87" s="125">
        <v>6</v>
      </c>
      <c r="AE87" s="125">
        <v>15.2</v>
      </c>
      <c r="AF87" s="126">
        <v>16</v>
      </c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1065.6399999999999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19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19)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19)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892.72</v>
      </c>
      <c r="U193" s="173">
        <f t="shared" si="37"/>
        <v>882.83999999999992</v>
      </c>
      <c r="V193" s="173">
        <f t="shared" si="37"/>
        <v>880.04</v>
      </c>
      <c r="W193" s="173">
        <f t="shared" si="37"/>
        <v>911.3599999999999</v>
      </c>
      <c r="X193" s="173">
        <f t="shared" si="37"/>
        <v>869.92000000000007</v>
      </c>
      <c r="Y193" s="173">
        <f t="shared" si="37"/>
        <v>906.71999999999991</v>
      </c>
      <c r="Z193" s="173">
        <f t="shared" si="37"/>
        <v>889.27</v>
      </c>
      <c r="AA193" s="173">
        <f t="shared" si="37"/>
        <v>902.02</v>
      </c>
      <c r="AB193" s="173">
        <f t="shared" si="37"/>
        <v>943.54000000000008</v>
      </c>
      <c r="AC193" s="173">
        <f t="shared" si="37"/>
        <v>992.57</v>
      </c>
      <c r="AD193" s="173">
        <f t="shared" si="37"/>
        <v>1031.04</v>
      </c>
      <c r="AE193" s="173">
        <f t="shared" si="37"/>
        <v>1065.6399999999999</v>
      </c>
      <c r="AF193" s="173">
        <f t="shared" si="37"/>
        <v>1065.71</v>
      </c>
      <c r="AG193" s="173">
        <f t="shared" si="37"/>
        <v>1087.44</v>
      </c>
      <c r="AH193" s="173">
        <f t="shared" si="37"/>
        <v>1086.8399999999999</v>
      </c>
      <c r="AI193" s="173">
        <f t="shared" si="37"/>
        <v>1110.24</v>
      </c>
      <c r="AJ193" s="173">
        <f t="shared" si="37"/>
        <v>1068.69</v>
      </c>
      <c r="AK193" s="173">
        <f t="shared" si="37"/>
        <v>1053.96</v>
      </c>
      <c r="AL193" s="173">
        <f t="shared" si="37"/>
        <v>1054.54</v>
      </c>
      <c r="AM193" s="173">
        <f t="shared" si="37"/>
        <v>1015.52</v>
      </c>
      <c r="AN193" s="173">
        <f t="shared" si="37"/>
        <v>1022.54</v>
      </c>
      <c r="AO193" s="173">
        <f t="shared" si="37"/>
        <v>1006.56</v>
      </c>
      <c r="AP193" s="173">
        <f t="shared" si="37"/>
        <v>1027.3400000000001</v>
      </c>
      <c r="AQ193" s="173">
        <f t="shared" si="37"/>
        <v>1147.6299999999999</v>
      </c>
      <c r="AR193" s="173">
        <f t="shared" si="37"/>
        <v>1245.77</v>
      </c>
      <c r="AS193" s="173">
        <f t="shared" si="37"/>
        <v>1297.44</v>
      </c>
      <c r="AT193" s="173">
        <f t="shared" si="37"/>
        <v>1297.44</v>
      </c>
      <c r="AU193" s="173">
        <f t="shared" si="37"/>
        <v>1203.6399999999999</v>
      </c>
      <c r="AV193" s="173">
        <f t="shared" si="37"/>
        <v>1146.74</v>
      </c>
      <c r="AW193" s="173">
        <f t="shared" si="37"/>
        <v>1094.8399999999999</v>
      </c>
      <c r="AX193" s="173">
        <f t="shared" si="37"/>
        <v>1071.04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85" priority="145">
      <formula>S$9&gt;=20/24</formula>
    </cfRule>
    <cfRule type="expression" dxfId="2584" priority="146">
      <formula>AND(S$9&gt;=14/24,S$9&lt;20/24)</formula>
    </cfRule>
    <cfRule type="expression" dxfId="2583" priority="147">
      <formula>AND(S$9&gt;=8/24,S$9&lt;14/24)</formula>
    </cfRule>
    <cfRule type="expression" dxfId="2582" priority="148">
      <formula>S$9&lt;8/24</formula>
    </cfRule>
  </conditionalFormatting>
  <conditionalFormatting sqref="B8:AF10 AA70:AF70 B70:Q70 L32:Z33 L31:Q31 B48:K50 B72:Q72 C173:AF179 M36 N35:Q36 L29:Q29 L34:Q34 L49:T50 V35:W35 S34:W34 X34:Z35 B73:Z79 R11:T11 U11:Z12 B47:AF47 B59:AF69 B71:AF71 O31:O39 M37:Q39 Q31:Q39 R35:R39 B51:R58 AD48:AF50 L44:AF46 AA48:AB58 AA72:AF79 AF51">
    <cfRule type="expression" dxfId="2581" priority="141">
      <formula>B$9&gt;=20/24</formula>
    </cfRule>
    <cfRule type="expression" dxfId="2580" priority="142">
      <formula>AND(B$9&gt;=14/24,B$9&lt;20/24)</formula>
    </cfRule>
    <cfRule type="expression" dxfId="2579" priority="143">
      <formula>AND(B$9&gt;=8/24,B$9&lt;14/24)</formula>
    </cfRule>
    <cfRule type="expression" dxfId="2578" priority="144">
      <formula>B$9&lt;8/24</formula>
    </cfRule>
  </conditionalFormatting>
  <conditionalFormatting sqref="B171:AF171">
    <cfRule type="expression" dxfId="2577" priority="137">
      <formula>B$9&gt;=20/24</formula>
    </cfRule>
    <cfRule type="expression" dxfId="2576" priority="138">
      <formula>AND(B$9&gt;=14/24,B$9&lt;20/24)</formula>
    </cfRule>
    <cfRule type="expression" dxfId="2575" priority="139">
      <formula>AND(B$9&gt;=8/24,B$9&lt;14/24)</formula>
    </cfRule>
    <cfRule type="expression" dxfId="2574" priority="140">
      <formula>B$9&lt;8/24</formula>
    </cfRule>
  </conditionalFormatting>
  <conditionalFormatting sqref="AL4:AL6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573" priority="132">
      <formula>L$9&gt;=20/24</formula>
    </cfRule>
    <cfRule type="expression" dxfId="2572" priority="133">
      <formula>AND(L$9&gt;=14/24,L$9&lt;20/24)</formula>
    </cfRule>
    <cfRule type="expression" dxfId="2571" priority="134">
      <formula>AND(L$9&gt;=8/24,L$9&lt;14/24)</formula>
    </cfRule>
    <cfRule type="expression" dxfId="2570" priority="135">
      <formula>L$9&lt;8/24</formula>
    </cfRule>
  </conditionalFormatting>
  <conditionalFormatting sqref="L35:M35">
    <cfRule type="expression" dxfId="2569" priority="128">
      <formula>L$9&gt;=20/24</formula>
    </cfRule>
    <cfRule type="expression" dxfId="2568" priority="129">
      <formula>AND(L$9&gt;=14/24,L$9&lt;20/24)</formula>
    </cfRule>
    <cfRule type="expression" dxfId="2567" priority="130">
      <formula>AND(L$9&gt;=8/24,L$9&lt;14/24)</formula>
    </cfRule>
    <cfRule type="expression" dxfId="2566" priority="131">
      <formula>L$9&lt;8/24</formula>
    </cfRule>
  </conditionalFormatting>
  <conditionalFormatting sqref="U13:Z13">
    <cfRule type="expression" dxfId="2565" priority="124">
      <formula>U$9&gt;=20/24</formula>
    </cfRule>
    <cfRule type="expression" dxfId="2564" priority="125">
      <formula>AND(U$9&gt;=14/24,U$9&lt;20/24)</formula>
    </cfRule>
    <cfRule type="expression" dxfId="2563" priority="126">
      <formula>AND(U$9&gt;=8/24,U$9&lt;14/24)</formula>
    </cfRule>
    <cfRule type="expression" dxfId="2562" priority="127">
      <formula>U$9&lt;8/24</formula>
    </cfRule>
  </conditionalFormatting>
  <conditionalFormatting sqref="R31:Z31">
    <cfRule type="expression" dxfId="2561" priority="120">
      <formula>R$9&gt;=20/24</formula>
    </cfRule>
    <cfRule type="expression" dxfId="2560" priority="121">
      <formula>AND(R$9&gt;=14/24,R$9&lt;20/24)</formula>
    </cfRule>
    <cfRule type="expression" dxfId="2559" priority="122">
      <formula>AND(R$9&gt;=8/24,R$9&lt;14/24)</formula>
    </cfRule>
    <cfRule type="expression" dxfId="2558" priority="123">
      <formula>R$9&lt;8/24</formula>
    </cfRule>
  </conditionalFormatting>
  <conditionalFormatting sqref="R48:Z48">
    <cfRule type="expression" dxfId="2557" priority="116">
      <formula>R$9&gt;=20/24</formula>
    </cfRule>
    <cfRule type="expression" dxfId="2556" priority="117">
      <formula>AND(R$9&gt;=14/24,R$9&lt;20/24)</formula>
    </cfRule>
    <cfRule type="expression" dxfId="2555" priority="118">
      <formula>AND(R$9&gt;=8/24,R$9&lt;14/24)</formula>
    </cfRule>
    <cfRule type="expression" dxfId="2554" priority="119">
      <formula>R$9&lt;8/24</formula>
    </cfRule>
  </conditionalFormatting>
  <conditionalFormatting sqref="R70:Z70">
    <cfRule type="expression" dxfId="2553" priority="112">
      <formula>R$9&gt;=20/24</formula>
    </cfRule>
    <cfRule type="expression" dxfId="2552" priority="113">
      <formula>AND(R$9&gt;=14/24,R$9&lt;20/24)</formula>
    </cfRule>
    <cfRule type="expression" dxfId="2551" priority="114">
      <formula>AND(R$9&gt;=8/24,R$9&lt;14/24)</formula>
    </cfRule>
    <cfRule type="expression" dxfId="2550" priority="115">
      <formula>R$9&lt;8/24</formula>
    </cfRule>
  </conditionalFormatting>
  <conditionalFormatting sqref="R72:Z72">
    <cfRule type="expression" dxfId="2549" priority="108">
      <formula>R$9&gt;=20/24</formula>
    </cfRule>
    <cfRule type="expression" dxfId="2548" priority="109">
      <formula>AND(R$9&gt;=14/24,R$9&lt;20/24)</formula>
    </cfRule>
    <cfRule type="expression" dxfId="2547" priority="110">
      <formula>AND(R$9&gt;=8/24,R$9&lt;14/24)</formula>
    </cfRule>
    <cfRule type="expression" dxfId="2546" priority="111">
      <formula>R$9&lt;8/24</formula>
    </cfRule>
  </conditionalFormatting>
  <conditionalFormatting sqref="R22:T26 L11:Q27 R15:R27 S16:Z16 S18:Z18 S20:Z27">
    <cfRule type="expression" dxfId="2545" priority="104">
      <formula>L$9&gt;=20/24</formula>
    </cfRule>
    <cfRule type="expression" dxfId="2544" priority="105">
      <formula>AND(L$9&gt;=14/24,L$9&lt;20/24)</formula>
    </cfRule>
    <cfRule type="expression" dxfId="2543" priority="106">
      <formula>AND(L$9&gt;=8/24,L$9&lt;14/24)</formula>
    </cfRule>
    <cfRule type="expression" dxfId="2542" priority="107">
      <formula>L$9&lt;8/24</formula>
    </cfRule>
  </conditionalFormatting>
  <conditionalFormatting sqref="L40:R40">
    <cfRule type="expression" dxfId="2541" priority="100">
      <formula>L$9&gt;=20/24</formula>
    </cfRule>
    <cfRule type="expression" dxfId="2540" priority="101">
      <formula>AND(L$9&gt;=14/24,L$9&lt;20/24)</formula>
    </cfRule>
    <cfRule type="expression" dxfId="2539" priority="102">
      <formula>AND(L$9&gt;=8/24,L$9&lt;14/24)</formula>
    </cfRule>
    <cfRule type="expression" dxfId="2538" priority="103">
      <formula>L$9&lt;8/24</formula>
    </cfRule>
  </conditionalFormatting>
  <conditionalFormatting sqref="L41:R41">
    <cfRule type="expression" dxfId="2537" priority="96">
      <formula>L$9&gt;=20/24</formula>
    </cfRule>
    <cfRule type="expression" dxfId="2536" priority="97">
      <formula>AND(L$9&gt;=14/24,L$9&lt;20/24)</formula>
    </cfRule>
    <cfRule type="expression" dxfId="2535" priority="98">
      <formula>AND(L$9&gt;=8/24,L$9&lt;14/24)</formula>
    </cfRule>
    <cfRule type="expression" dxfId="2534" priority="99">
      <formula>L$9&lt;8/24</formula>
    </cfRule>
  </conditionalFormatting>
  <conditionalFormatting sqref="L36:L39 M37:M39 N38:R39">
    <cfRule type="expression" dxfId="2533" priority="92">
      <formula>L$9&gt;=20/24</formula>
    </cfRule>
    <cfRule type="expression" dxfId="2532" priority="93">
      <formula>AND(L$9&gt;=14/24,L$9&lt;20/24)</formula>
    </cfRule>
    <cfRule type="expression" dxfId="2531" priority="94">
      <formula>AND(L$9&gt;=8/24,L$9&lt;14/24)</formula>
    </cfRule>
    <cfRule type="expression" dxfId="2530" priority="95">
      <formula>L$9&lt;8/24</formula>
    </cfRule>
  </conditionalFormatting>
  <conditionalFormatting sqref="R29:AD29">
    <cfRule type="expression" dxfId="2529" priority="88">
      <formula>R$9&gt;=20/24</formula>
    </cfRule>
    <cfRule type="expression" dxfId="2528" priority="89">
      <formula>AND(R$9&gt;=14/24,R$9&lt;20/24)</formula>
    </cfRule>
    <cfRule type="expression" dxfId="2527" priority="90">
      <formula>AND(R$9&gt;=8/24,R$9&lt;14/24)</formula>
    </cfRule>
    <cfRule type="expression" dxfId="2526" priority="91">
      <formula>R$9&lt;8/24</formula>
    </cfRule>
  </conditionalFormatting>
  <conditionalFormatting sqref="R12:T27 U14:Z27 T14:Z14 S16:Z16 S18:Z18 S20:Z27 AA16:AF27">
    <cfRule type="expression" dxfId="2525" priority="84">
      <formula>R$9&gt;=20/24</formula>
    </cfRule>
    <cfRule type="expression" dxfId="2524" priority="85">
      <formula>AND(R$9&gt;=14/24,R$9&lt;20/24)</formula>
    </cfRule>
    <cfRule type="expression" dxfId="2523" priority="86">
      <formula>AND(R$9&gt;=8/24,R$9&lt;14/24)</formula>
    </cfRule>
    <cfRule type="expression" dxfId="2522" priority="87">
      <formula>R$9&lt;8/24</formula>
    </cfRule>
  </conditionalFormatting>
  <conditionalFormatting sqref="R34:R39 S35:U39 V36:Z39 T37:Z37">
    <cfRule type="expression" dxfId="2521" priority="80">
      <formula>R$9&gt;=20/24</formula>
    </cfRule>
    <cfRule type="expression" dxfId="2520" priority="81">
      <formula>AND(R$9&gt;=14/24,R$9&lt;20/24)</formula>
    </cfRule>
    <cfRule type="expression" dxfId="2519" priority="82">
      <formula>AND(R$9&gt;=8/24,R$9&lt;14/24)</formula>
    </cfRule>
    <cfRule type="expression" dxfId="2518" priority="83">
      <formula>R$9&lt;8/24</formula>
    </cfRule>
  </conditionalFormatting>
  <conditionalFormatting sqref="R40:Z40">
    <cfRule type="expression" dxfId="2517" priority="76">
      <formula>R$9&gt;=20/24</formula>
    </cfRule>
    <cfRule type="expression" dxfId="2516" priority="77">
      <formula>AND(R$9&gt;=14/24,R$9&lt;20/24)</formula>
    </cfRule>
    <cfRule type="expression" dxfId="2515" priority="78">
      <formula>AND(R$9&gt;=8/24,R$9&lt;14/24)</formula>
    </cfRule>
    <cfRule type="expression" dxfId="2514" priority="79">
      <formula>R$9&lt;8/24</formula>
    </cfRule>
  </conditionalFormatting>
  <conditionalFormatting sqref="R41:Z41">
    <cfRule type="expression" dxfId="2513" priority="72">
      <formula>R$9&gt;=20/24</formula>
    </cfRule>
    <cfRule type="expression" dxfId="2512" priority="73">
      <formula>AND(R$9&gt;=14/24,R$9&lt;20/24)</formula>
    </cfRule>
    <cfRule type="expression" dxfId="2511" priority="74">
      <formula>AND(R$9&gt;=8/24,R$9&lt;14/24)</formula>
    </cfRule>
    <cfRule type="expression" dxfId="2510" priority="75">
      <formula>R$9&lt;8/24</formula>
    </cfRule>
  </conditionalFormatting>
  <conditionalFormatting sqref="AD83:AF86 AA83:AB86">
    <cfRule type="expression" dxfId="2509" priority="64">
      <formula>AA$9&gt;=20/24</formula>
    </cfRule>
    <cfRule type="expression" dxfId="2508" priority="65">
      <formula>AND(AA$9&gt;=14/24,AA$9&lt;20/24)</formula>
    </cfRule>
    <cfRule type="expression" dxfId="2507" priority="66">
      <formula>AND(AA$9&gt;=8/24,AA$9&lt;14/24)</formula>
    </cfRule>
    <cfRule type="expression" dxfId="2506" priority="67">
      <formula>AA$9&lt;8/24</formula>
    </cfRule>
  </conditionalFormatting>
  <conditionalFormatting sqref="B83:K86">
    <cfRule type="expression" dxfId="2505" priority="56">
      <formula>B$9&gt;=20/24</formula>
    </cfRule>
    <cfRule type="expression" dxfId="2504" priority="57">
      <formula>AND(B$9&gt;=14/24,B$9&lt;20/24)</formula>
    </cfRule>
    <cfRule type="expression" dxfId="2503" priority="58">
      <formula>AND(B$9&gt;=8/24,B$9&lt;14/24)</formula>
    </cfRule>
    <cfRule type="expression" dxfId="2502" priority="59">
      <formula>B$9&lt;8/24</formula>
    </cfRule>
  </conditionalFormatting>
  <conditionalFormatting sqref="L83:Q86">
    <cfRule type="expression" dxfId="2501" priority="52">
      <formula>L$9&gt;=20/24</formula>
    </cfRule>
    <cfRule type="expression" dxfId="2500" priority="53">
      <formula>AND(L$9&gt;=14/24,L$9&lt;20/24)</formula>
    </cfRule>
    <cfRule type="expression" dxfId="2499" priority="54">
      <formula>AND(L$9&gt;=8/24,L$9&lt;14/24)</formula>
    </cfRule>
    <cfRule type="expression" dxfId="2498" priority="55">
      <formula>L$9&lt;8/24</formula>
    </cfRule>
  </conditionalFormatting>
  <conditionalFormatting sqref="R83:Z86">
    <cfRule type="expression" dxfId="2497" priority="48">
      <formula>R$9&gt;=20/24</formula>
    </cfRule>
    <cfRule type="expression" dxfId="2496" priority="49">
      <formula>AND(R$9&gt;=14/24,R$9&lt;20/24)</formula>
    </cfRule>
    <cfRule type="expression" dxfId="2495" priority="50">
      <formula>AND(R$9&gt;=8/24,R$9&lt;14/24)</formula>
    </cfRule>
    <cfRule type="expression" dxfId="2494" priority="51">
      <formula>R$9&lt;8/24</formula>
    </cfRule>
  </conditionalFormatting>
  <conditionalFormatting sqref="AG42 B11:AF47">
    <cfRule type="expression" dxfId="2493" priority="47">
      <formula>B11&gt;$AG11</formula>
    </cfRule>
  </conditionalFormatting>
  <conditionalFormatting sqref="T192:AX192">
    <cfRule type="expression" dxfId="2492" priority="43">
      <formula>T$9&gt;=20/24</formula>
    </cfRule>
    <cfRule type="expression" dxfId="2491" priority="44">
      <formula>AND(T$9&gt;=14/24,T$9&lt;20/24)</formula>
    </cfRule>
    <cfRule type="expression" dxfId="2490" priority="45">
      <formula>AND(T$9&gt;=8/24,T$9&lt;14/24)</formula>
    </cfRule>
    <cfRule type="expression" dxfId="2489" priority="46">
      <formula>T$9&lt;8/24</formula>
    </cfRule>
  </conditionalFormatting>
  <conditionalFormatting sqref="A11:A86 A88:A180">
    <cfRule type="expression" dxfId="2488" priority="42">
      <formula>$AH11=0</formula>
    </cfRule>
  </conditionalFormatting>
  <conditionalFormatting sqref="AD87:AF87 AA87:AB87">
    <cfRule type="expression" dxfId="2487" priority="38">
      <formula>AA$9&gt;=20/24</formula>
    </cfRule>
    <cfRule type="expression" dxfId="2486" priority="39">
      <formula>AND(AA$9&gt;=14/24,AA$9&lt;20/24)</formula>
    </cfRule>
    <cfRule type="expression" dxfId="2485" priority="40">
      <formula>AND(AA$9&gt;=8/24,AA$9&lt;14/24)</formula>
    </cfRule>
    <cfRule type="expression" dxfId="2484" priority="41">
      <formula>AA$9&lt;8/24</formula>
    </cfRule>
  </conditionalFormatting>
  <conditionalFormatting sqref="B87:K87">
    <cfRule type="expression" dxfId="2483" priority="34">
      <formula>B$9&gt;=20/24</formula>
    </cfRule>
    <cfRule type="expression" dxfId="2482" priority="35">
      <formula>AND(B$9&gt;=14/24,B$9&lt;20/24)</formula>
    </cfRule>
    <cfRule type="expression" dxfId="2481" priority="36">
      <formula>AND(B$9&gt;=8/24,B$9&lt;14/24)</formula>
    </cfRule>
    <cfRule type="expression" dxfId="2480" priority="37">
      <formula>B$9&lt;8/24</formula>
    </cfRule>
  </conditionalFormatting>
  <conditionalFormatting sqref="L87:Q87">
    <cfRule type="expression" dxfId="2479" priority="30">
      <formula>L$9&gt;=20/24</formula>
    </cfRule>
    <cfRule type="expression" dxfId="2478" priority="31">
      <formula>AND(L$9&gt;=14/24,L$9&lt;20/24)</formula>
    </cfRule>
    <cfRule type="expression" dxfId="2477" priority="32">
      <formula>AND(L$9&gt;=8/24,L$9&lt;14/24)</formula>
    </cfRule>
    <cfRule type="expression" dxfId="2476" priority="33">
      <formula>L$9&lt;8/24</formula>
    </cfRule>
  </conditionalFormatting>
  <conditionalFormatting sqref="R87:Z87">
    <cfRule type="expression" dxfId="2475" priority="26">
      <formula>R$9&gt;=20/24</formula>
    </cfRule>
    <cfRule type="expression" dxfId="2474" priority="27">
      <formula>AND(R$9&gt;=14/24,R$9&lt;20/24)</formula>
    </cfRule>
    <cfRule type="expression" dxfId="2473" priority="28">
      <formula>AND(R$9&gt;=8/24,R$9&lt;14/24)</formula>
    </cfRule>
    <cfRule type="expression" dxfId="2472" priority="29">
      <formula>R$9&lt;8/24</formula>
    </cfRule>
  </conditionalFormatting>
  <conditionalFormatting sqref="A87">
    <cfRule type="expression" dxfId="2471" priority="25">
      <formula>$AH87=0</formula>
    </cfRule>
  </conditionalFormatting>
  <conditionalFormatting sqref="B28:AF28">
    <cfRule type="expression" dxfId="2470" priority="21">
      <formula>B$9&gt;=20/24</formula>
    </cfRule>
    <cfRule type="expression" dxfId="2469" priority="22">
      <formula>AND(B$9&gt;=14/24,B$9&lt;20/24)</formula>
    </cfRule>
    <cfRule type="expression" dxfId="2468" priority="23">
      <formula>AND(B$9&gt;=8/24,B$9&lt;14/24)</formula>
    </cfRule>
    <cfRule type="expression" dxfId="2467" priority="24">
      <formula>B$9&lt;8/24</formula>
    </cfRule>
  </conditionalFormatting>
  <conditionalFormatting sqref="R28:AA28">
    <cfRule type="expression" dxfId="2466" priority="17">
      <formula>R$9&gt;=20/24</formula>
    </cfRule>
    <cfRule type="expression" dxfId="2465" priority="18">
      <formula>AND(R$9&gt;=14/24,R$9&lt;20/24)</formula>
    </cfRule>
    <cfRule type="expression" dxfId="2464" priority="19">
      <formula>AND(R$9&gt;=8/24,R$9&lt;14/24)</formula>
    </cfRule>
    <cfRule type="expression" dxfId="2463" priority="20">
      <formula>R$9&lt;8/24</formula>
    </cfRule>
  </conditionalFormatting>
  <conditionalFormatting sqref="S51:Z58">
    <cfRule type="expression" dxfId="2462" priority="13">
      <formula>S$9&gt;=20/24</formula>
    </cfRule>
    <cfRule type="expression" dxfId="2461" priority="14">
      <formula>AND(S$9&gt;=14/24,S$9&lt;20/24)</formula>
    </cfRule>
    <cfRule type="expression" dxfId="2460" priority="15">
      <formula>AND(S$9&gt;=8/24,S$9&lt;14/24)</formula>
    </cfRule>
    <cfRule type="expression" dxfId="2459" priority="16">
      <formula>S$9&lt;8/24</formula>
    </cfRule>
  </conditionalFormatting>
  <conditionalFormatting sqref="AC48:AC58 AD51:AE58 AF52:AF58">
    <cfRule type="expression" dxfId="2458" priority="9">
      <formula>AC$9&gt;=20/24</formula>
    </cfRule>
    <cfRule type="expression" dxfId="2457" priority="10">
      <formula>AND(AC$9&gt;=14/24,AC$9&lt;20/24)</formula>
    </cfRule>
    <cfRule type="expression" dxfId="2456" priority="11">
      <formula>AND(AC$9&gt;=8/24,AC$9&lt;14/24)</formula>
    </cfRule>
    <cfRule type="expression" dxfId="2455" priority="12">
      <formula>AC$9&lt;8/24</formula>
    </cfRule>
  </conditionalFormatting>
  <conditionalFormatting sqref="AC83:AC86">
    <cfRule type="expression" dxfId="2454" priority="5">
      <formula>AC$9&gt;=20/24</formula>
    </cfRule>
    <cfRule type="expression" dxfId="2453" priority="6">
      <formula>AND(AC$9&gt;=14/24,AC$9&lt;20/24)</formula>
    </cfRule>
    <cfRule type="expression" dxfId="2452" priority="7">
      <formula>AND(AC$9&gt;=8/24,AC$9&lt;14/24)</formula>
    </cfRule>
    <cfRule type="expression" dxfId="2451" priority="8">
      <formula>AC$9&lt;8/24</formula>
    </cfRule>
  </conditionalFormatting>
  <conditionalFormatting sqref="AC87">
    <cfRule type="expression" dxfId="2450" priority="1">
      <formula>AC$9&gt;=20/24</formula>
    </cfRule>
    <cfRule type="expression" dxfId="2449" priority="2">
      <formula>AND(AC$9&gt;=14/24,AC$9&lt;20/24)</formula>
    </cfRule>
    <cfRule type="expression" dxfId="2448" priority="3">
      <formula>AND(AC$9&gt;=8/24,AC$9&lt;14/24)</formula>
    </cfRule>
    <cfRule type="expression" dxfId="2447" priority="4">
      <formula>AC$9&lt;8/24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E46" sqref="AE4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20</v>
      </c>
      <c r="D4" s="324">
        <f ca="1">IFERROR(DATE(2021,5,14)+C4,"")</f>
        <v>44350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165</v>
      </c>
      <c r="C5" s="32">
        <f t="shared" ref="C5:AF5" si="0">C59</f>
        <v>137</v>
      </c>
      <c r="D5" s="32">
        <f t="shared" si="0"/>
        <v>274.8</v>
      </c>
      <c r="E5" s="32">
        <f t="shared" si="0"/>
        <v>243.9</v>
      </c>
      <c r="F5" s="32">
        <f t="shared" si="0"/>
        <v>189.5</v>
      </c>
      <c r="G5" s="32">
        <f t="shared" si="0"/>
        <v>207.2</v>
      </c>
      <c r="H5" s="32">
        <f t="shared" si="0"/>
        <v>198.10000000000002</v>
      </c>
      <c r="I5" s="32">
        <f t="shared" si="0"/>
        <v>226</v>
      </c>
      <c r="J5" s="32">
        <f t="shared" si="0"/>
        <v>212.7</v>
      </c>
      <c r="K5" s="32">
        <f t="shared" si="0"/>
        <v>212.7</v>
      </c>
      <c r="L5" s="32">
        <f t="shared" si="0"/>
        <v>317.39999999999998</v>
      </c>
      <c r="M5" s="32">
        <f t="shared" si="0"/>
        <v>355.1</v>
      </c>
      <c r="N5" s="32">
        <f t="shared" si="0"/>
        <v>374.09999999999997</v>
      </c>
      <c r="O5" s="32">
        <f t="shared" si="0"/>
        <v>360.8</v>
      </c>
      <c r="P5" s="32">
        <f t="shared" si="0"/>
        <v>352.3</v>
      </c>
      <c r="Q5" s="32">
        <f t="shared" si="0"/>
        <v>270.10000000000002</v>
      </c>
      <c r="R5" s="32">
        <f t="shared" si="0"/>
        <v>287.5</v>
      </c>
      <c r="S5" s="32">
        <f t="shared" si="0"/>
        <v>269.60000000000002</v>
      </c>
      <c r="T5" s="32">
        <f t="shared" si="0"/>
        <v>262.2</v>
      </c>
      <c r="U5" s="32">
        <f t="shared" si="0"/>
        <v>257.60000000000002</v>
      </c>
      <c r="V5" s="32">
        <f t="shared" si="0"/>
        <v>251.1</v>
      </c>
      <c r="W5" s="32">
        <f t="shared" si="0"/>
        <v>231</v>
      </c>
      <c r="X5" s="32">
        <f t="shared" si="0"/>
        <v>241.7</v>
      </c>
      <c r="Y5" s="32">
        <f t="shared" si="0"/>
        <v>336</v>
      </c>
      <c r="Z5" s="32">
        <f t="shared" si="0"/>
        <v>353</v>
      </c>
      <c r="AA5" s="32">
        <f t="shared" si="0"/>
        <v>405.3</v>
      </c>
      <c r="AB5" s="32">
        <f t="shared" si="0"/>
        <v>403.9</v>
      </c>
      <c r="AC5" s="32">
        <f t="shared" si="0"/>
        <v>376.85999999999996</v>
      </c>
      <c r="AD5" s="32">
        <f t="shared" si="0"/>
        <v>315.56</v>
      </c>
      <c r="AE5" s="32">
        <f t="shared" si="0"/>
        <v>307.39999999999998</v>
      </c>
      <c r="AF5" s="32">
        <f t="shared" si="0"/>
        <v>278.3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3"/>
      <c r="E6" s="183"/>
      <c r="F6" s="183"/>
      <c r="G6" s="183"/>
      <c r="H6" s="183"/>
      <c r="I6" s="18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1126MW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Load=940</v>
      </c>
      <c r="B7" s="36">
        <f t="shared" ref="B7:AF7" si="1">B65</f>
        <v>1005.3399999999999</v>
      </c>
      <c r="C7" s="36">
        <f t="shared" si="1"/>
        <v>992.94</v>
      </c>
      <c r="D7" s="36">
        <f t="shared" si="1"/>
        <v>965.33999999999992</v>
      </c>
      <c r="E7" s="36">
        <f t="shared" si="1"/>
        <v>939.94</v>
      </c>
      <c r="F7" s="36">
        <f t="shared" si="1"/>
        <v>960.04</v>
      </c>
      <c r="G7" s="36">
        <f t="shared" si="1"/>
        <v>968.63999999999987</v>
      </c>
      <c r="H7" s="36">
        <f t="shared" si="1"/>
        <v>960.29</v>
      </c>
      <c r="I7" s="36">
        <f t="shared" si="1"/>
        <v>980.14</v>
      </c>
      <c r="J7" s="36">
        <f t="shared" si="1"/>
        <v>983.33999999999992</v>
      </c>
      <c r="K7" s="36">
        <f t="shared" si="1"/>
        <v>983.33999999999992</v>
      </c>
      <c r="L7" s="36">
        <f>L65</f>
        <v>1104.2399999999998</v>
      </c>
      <c r="M7" s="36">
        <f t="shared" si="1"/>
        <v>1126.24</v>
      </c>
      <c r="N7" s="36">
        <f t="shared" si="1"/>
        <v>1145.24</v>
      </c>
      <c r="O7" s="36">
        <f t="shared" si="1"/>
        <v>1133.44</v>
      </c>
      <c r="P7" s="36">
        <f t="shared" si="1"/>
        <v>1119.1399999999999</v>
      </c>
      <c r="Q7" s="36">
        <f t="shared" si="1"/>
        <v>1105.3400000000001</v>
      </c>
      <c r="R7" s="36">
        <f t="shared" si="1"/>
        <v>1125.44</v>
      </c>
      <c r="S7" s="36">
        <f t="shared" si="1"/>
        <v>1109.0400000000002</v>
      </c>
      <c r="T7" s="36">
        <f t="shared" si="1"/>
        <v>1109.04</v>
      </c>
      <c r="U7" s="36">
        <f t="shared" si="1"/>
        <v>1086.94</v>
      </c>
      <c r="V7" s="36">
        <f t="shared" si="1"/>
        <v>1081.3399999999999</v>
      </c>
      <c r="W7" s="36">
        <f t="shared" si="1"/>
        <v>1046.04</v>
      </c>
      <c r="X7" s="36">
        <f t="shared" si="1"/>
        <v>1049.54</v>
      </c>
      <c r="Y7" s="36">
        <f t="shared" si="1"/>
        <v>1142.3400000000001</v>
      </c>
      <c r="Z7" s="36">
        <f t="shared" si="1"/>
        <v>1238.74</v>
      </c>
      <c r="AA7" s="36">
        <f t="shared" si="1"/>
        <v>1282.1400000000001</v>
      </c>
      <c r="AB7" s="36">
        <f t="shared" si="1"/>
        <v>1285.74</v>
      </c>
      <c r="AC7" s="36">
        <f t="shared" si="1"/>
        <v>1251</v>
      </c>
      <c r="AD7" s="36">
        <f t="shared" si="1"/>
        <v>1211.8</v>
      </c>
      <c r="AE7" s="36">
        <f t="shared" si="1"/>
        <v>1155.8399999999999</v>
      </c>
      <c r="AF7" s="36">
        <f t="shared" si="1"/>
        <v>1082.74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43.4</v>
      </c>
      <c r="C11" s="48">
        <v>44</v>
      </c>
      <c r="D11" s="48">
        <v>47.7</v>
      </c>
      <c r="E11" s="48">
        <v>43.6</v>
      </c>
      <c r="F11" s="48">
        <v>43.5</v>
      </c>
      <c r="G11" s="48">
        <v>42.9</v>
      </c>
      <c r="H11" s="48">
        <v>43.65</v>
      </c>
      <c r="I11" s="48">
        <v>41.8</v>
      </c>
      <c r="J11" s="48">
        <v>42.8</v>
      </c>
      <c r="K11" s="48">
        <v>42.8</v>
      </c>
      <c r="L11" s="48">
        <v>42.8</v>
      </c>
      <c r="M11" s="49">
        <v>42.7</v>
      </c>
      <c r="N11" s="49">
        <v>41.7</v>
      </c>
      <c r="O11" s="49">
        <v>40.6</v>
      </c>
      <c r="P11" s="49">
        <v>38.200000000000003</v>
      </c>
      <c r="Q11" s="49">
        <v>38.799999999999997</v>
      </c>
      <c r="R11" s="49">
        <v>38.799999999999997</v>
      </c>
      <c r="S11" s="49">
        <v>36.700000000000003</v>
      </c>
      <c r="T11" s="49">
        <v>38.700000000000003</v>
      </c>
      <c r="U11" s="49">
        <v>37.299999999999997</v>
      </c>
      <c r="V11" s="49">
        <v>37.299999999999997</v>
      </c>
      <c r="W11" s="49">
        <v>38.4</v>
      </c>
      <c r="X11" s="49">
        <v>38.4</v>
      </c>
      <c r="Y11" s="49">
        <v>38.4</v>
      </c>
      <c r="Z11" s="49">
        <v>38.799999999999997</v>
      </c>
      <c r="AA11" s="48">
        <v>37.4</v>
      </c>
      <c r="AB11" s="48">
        <v>36.9</v>
      </c>
      <c r="AC11" s="48">
        <v>36.5</v>
      </c>
      <c r="AD11" s="48">
        <v>35.299999999999997</v>
      </c>
      <c r="AE11" s="48">
        <v>32.6</v>
      </c>
      <c r="AF11" s="48">
        <v>32.9</v>
      </c>
      <c r="AG11" s="51">
        <v>60</v>
      </c>
      <c r="AH11" s="52">
        <f>MAX(B11:AF11)</f>
        <v>47.7</v>
      </c>
      <c r="AI11" s="53">
        <f>MIN(B11:AF11)</f>
        <v>32.6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50.4</v>
      </c>
      <c r="C12" s="56">
        <v>50.4</v>
      </c>
      <c r="D12" s="56">
        <v>0</v>
      </c>
      <c r="E12" s="56">
        <v>0</v>
      </c>
      <c r="F12" s="56">
        <v>50.9</v>
      </c>
      <c r="G12" s="56">
        <v>50.9</v>
      </c>
      <c r="H12" s="56">
        <v>51.3</v>
      </c>
      <c r="I12" s="56">
        <v>51</v>
      </c>
      <c r="J12" s="56">
        <v>50.9</v>
      </c>
      <c r="K12" s="56">
        <v>50.9</v>
      </c>
      <c r="L12" s="56">
        <v>50.5</v>
      </c>
      <c r="M12" s="49">
        <v>50.5</v>
      </c>
      <c r="N12" s="49">
        <v>50.1</v>
      </c>
      <c r="O12" s="49">
        <v>50.3</v>
      </c>
      <c r="P12" s="49">
        <v>50.4</v>
      </c>
      <c r="Q12" s="49">
        <v>50.5</v>
      </c>
      <c r="R12" s="49">
        <v>50.5</v>
      </c>
      <c r="S12" s="49">
        <v>50.5</v>
      </c>
      <c r="T12" s="49">
        <v>50.5</v>
      </c>
      <c r="U12" s="49">
        <v>50.7</v>
      </c>
      <c r="V12" s="49">
        <v>50.7</v>
      </c>
      <c r="W12" s="49">
        <v>50.7</v>
      </c>
      <c r="X12" s="49">
        <v>50.7</v>
      </c>
      <c r="Y12" s="49">
        <v>50.7</v>
      </c>
      <c r="Z12" s="49">
        <v>50.8</v>
      </c>
      <c r="AA12" s="56">
        <v>50.5</v>
      </c>
      <c r="AB12" s="56">
        <v>50.3</v>
      </c>
      <c r="AC12" s="56">
        <v>50.3</v>
      </c>
      <c r="AD12" s="56">
        <v>50.3</v>
      </c>
      <c r="AE12" s="56">
        <v>50.3</v>
      </c>
      <c r="AF12" s="56">
        <v>50.4</v>
      </c>
      <c r="AG12" s="57">
        <v>50</v>
      </c>
      <c r="AH12" s="52">
        <f t="shared" ref="AH12:AH77" si="2">MAX(B12:AF12)</f>
        <v>51.3</v>
      </c>
      <c r="AI12" s="53">
        <f t="shared" ref="AI12:AI77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43.3</v>
      </c>
      <c r="C13" s="56">
        <v>42.3</v>
      </c>
      <c r="D13" s="56">
        <v>42.3</v>
      </c>
      <c r="E13" s="56">
        <v>42</v>
      </c>
      <c r="F13" s="56">
        <v>41</v>
      </c>
      <c r="G13" s="56">
        <v>41.5</v>
      </c>
      <c r="H13" s="56">
        <v>42.2</v>
      </c>
      <c r="I13" s="56">
        <v>42.1</v>
      </c>
      <c r="J13" s="56">
        <v>40.700000000000003</v>
      </c>
      <c r="K13" s="56">
        <v>40.700000000000003</v>
      </c>
      <c r="L13" s="56">
        <v>40.200000000000003</v>
      </c>
      <c r="M13" s="49">
        <v>40.799999999999997</v>
      </c>
      <c r="N13" s="49">
        <v>40.4</v>
      </c>
      <c r="O13" s="49">
        <v>39.299999999999997</v>
      </c>
      <c r="P13" s="49">
        <v>39.299999999999997</v>
      </c>
      <c r="Q13" s="49">
        <v>39.299999999999997</v>
      </c>
      <c r="R13" s="49">
        <v>39.299999999999997</v>
      </c>
      <c r="S13" s="49">
        <v>39.1</v>
      </c>
      <c r="T13" s="49">
        <v>39.1</v>
      </c>
      <c r="U13" s="49">
        <v>41</v>
      </c>
      <c r="V13" s="49">
        <v>41</v>
      </c>
      <c r="W13" s="49">
        <v>41</v>
      </c>
      <c r="X13" s="49">
        <v>41</v>
      </c>
      <c r="Y13" s="49">
        <v>41</v>
      </c>
      <c r="Z13" s="49">
        <v>42.2</v>
      </c>
      <c r="AA13" s="56">
        <v>42.7</v>
      </c>
      <c r="AB13" s="56">
        <v>42.8</v>
      </c>
      <c r="AC13" s="56">
        <v>43.3</v>
      </c>
      <c r="AD13" s="56">
        <v>43.3</v>
      </c>
      <c r="AE13" s="56">
        <v>44.8</v>
      </c>
      <c r="AF13" s="56">
        <v>43.6</v>
      </c>
      <c r="AG13" s="59">
        <v>45</v>
      </c>
      <c r="AH13" s="52">
        <f t="shared" si="2"/>
        <v>44.8</v>
      </c>
      <c r="AI13" s="53">
        <f t="shared" si="3"/>
        <v>39.1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21</v>
      </c>
      <c r="C14" s="56">
        <v>21</v>
      </c>
      <c r="D14" s="56">
        <v>21</v>
      </c>
      <c r="E14" s="56">
        <v>21</v>
      </c>
      <c r="F14" s="56">
        <v>21</v>
      </c>
      <c r="G14" s="56">
        <v>21</v>
      </c>
      <c r="H14" s="56">
        <v>21</v>
      </c>
      <c r="I14" s="56">
        <v>21</v>
      </c>
      <c r="J14" s="56">
        <v>21</v>
      </c>
      <c r="K14" s="56">
        <v>21</v>
      </c>
      <c r="L14" s="56">
        <v>21</v>
      </c>
      <c r="M14" s="49">
        <v>21</v>
      </c>
      <c r="N14" s="49">
        <v>21</v>
      </c>
      <c r="O14" s="49">
        <v>21</v>
      </c>
      <c r="P14" s="49">
        <v>21</v>
      </c>
      <c r="Q14" s="49">
        <v>21</v>
      </c>
      <c r="R14" s="49">
        <v>21</v>
      </c>
      <c r="S14" s="49">
        <v>21</v>
      </c>
      <c r="T14" s="49">
        <v>21</v>
      </c>
      <c r="U14" s="49">
        <v>21</v>
      </c>
      <c r="V14" s="49">
        <v>21</v>
      </c>
      <c r="W14" s="49">
        <v>21</v>
      </c>
      <c r="X14" s="49">
        <v>21</v>
      </c>
      <c r="Y14" s="49">
        <v>21</v>
      </c>
      <c r="Z14" s="49">
        <v>21</v>
      </c>
      <c r="AA14" s="56">
        <v>21</v>
      </c>
      <c r="AB14" s="56">
        <v>21</v>
      </c>
      <c r="AC14" s="56">
        <v>21</v>
      </c>
      <c r="AD14" s="56">
        <v>21</v>
      </c>
      <c r="AE14" s="56">
        <v>21</v>
      </c>
      <c r="AF14" s="56">
        <v>21</v>
      </c>
      <c r="AG14" s="59">
        <v>25</v>
      </c>
      <c r="AH14" s="52">
        <f t="shared" si="2"/>
        <v>21</v>
      </c>
      <c r="AI14" s="53">
        <f t="shared" si="3"/>
        <v>21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25.3</v>
      </c>
      <c r="C15" s="56">
        <v>25.3</v>
      </c>
      <c r="D15" s="56">
        <v>24.9</v>
      </c>
      <c r="E15" s="56">
        <v>24.2</v>
      </c>
      <c r="F15" s="56">
        <v>24.1</v>
      </c>
      <c r="G15" s="56">
        <v>23.7</v>
      </c>
      <c r="H15" s="56">
        <v>23.4</v>
      </c>
      <c r="I15" s="56">
        <v>23</v>
      </c>
      <c r="J15" s="56">
        <v>23.6</v>
      </c>
      <c r="K15" s="56">
        <v>23.6</v>
      </c>
      <c r="L15" s="56">
        <v>23.6</v>
      </c>
      <c r="M15" s="49">
        <v>22.3</v>
      </c>
      <c r="N15" s="49">
        <v>22.3</v>
      </c>
      <c r="O15" s="49">
        <v>22.4</v>
      </c>
      <c r="P15" s="49">
        <v>21.7</v>
      </c>
      <c r="Q15" s="49">
        <v>21.7</v>
      </c>
      <c r="R15" s="49">
        <v>21.7</v>
      </c>
      <c r="S15" s="49">
        <v>21.8</v>
      </c>
      <c r="T15" s="49">
        <v>22.5</v>
      </c>
      <c r="U15" s="49">
        <v>22.4</v>
      </c>
      <c r="V15" s="49">
        <v>22.4</v>
      </c>
      <c r="W15" s="49">
        <v>22.4</v>
      </c>
      <c r="X15" s="49">
        <v>22.4</v>
      </c>
      <c r="Y15" s="49">
        <v>22.4</v>
      </c>
      <c r="Z15" s="49">
        <v>25</v>
      </c>
      <c r="AA15" s="56">
        <v>24.9</v>
      </c>
      <c r="AB15" s="56">
        <v>25</v>
      </c>
      <c r="AC15" s="56">
        <v>25</v>
      </c>
      <c r="AD15" s="56">
        <v>25.1</v>
      </c>
      <c r="AE15" s="56">
        <v>24.8</v>
      </c>
      <c r="AF15" s="56">
        <v>24.9</v>
      </c>
      <c r="AG15" s="59">
        <v>25</v>
      </c>
      <c r="AH15" s="52">
        <f t="shared" si="2"/>
        <v>25.3</v>
      </c>
      <c r="AI15" s="53">
        <f t="shared" si="3"/>
        <v>21.7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56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22.1</v>
      </c>
      <c r="C17" s="56">
        <v>22.1</v>
      </c>
      <c r="D17" s="56">
        <v>22.1</v>
      </c>
      <c r="E17" s="56">
        <v>22.1</v>
      </c>
      <c r="F17" s="56">
        <v>22.1</v>
      </c>
      <c r="G17" s="56">
        <v>22.1</v>
      </c>
      <c r="H17" s="56">
        <v>22.1</v>
      </c>
      <c r="I17" s="56">
        <v>22.1</v>
      </c>
      <c r="J17" s="56">
        <v>22.1</v>
      </c>
      <c r="K17" s="56">
        <v>22.1</v>
      </c>
      <c r="L17" s="56">
        <v>22.1</v>
      </c>
      <c r="M17" s="49">
        <v>23.2</v>
      </c>
      <c r="N17" s="49">
        <v>23.6</v>
      </c>
      <c r="O17" s="49">
        <v>23.6</v>
      </c>
      <c r="P17" s="49">
        <v>23.7</v>
      </c>
      <c r="Q17" s="49">
        <v>23.7</v>
      </c>
      <c r="R17" s="49">
        <v>23.7</v>
      </c>
      <c r="S17" s="49">
        <v>23.7</v>
      </c>
      <c r="T17" s="49">
        <v>23.7</v>
      </c>
      <c r="U17" s="49">
        <v>23.7</v>
      </c>
      <c r="V17" s="49">
        <v>23.7</v>
      </c>
      <c r="W17" s="49">
        <v>23.7</v>
      </c>
      <c r="X17" s="49">
        <v>23.7</v>
      </c>
      <c r="Y17" s="49">
        <v>23.7</v>
      </c>
      <c r="Z17" s="49">
        <v>20</v>
      </c>
      <c r="AA17" s="49">
        <v>22</v>
      </c>
      <c r="AB17" s="49">
        <v>22.4</v>
      </c>
      <c r="AC17" s="49">
        <v>22.5</v>
      </c>
      <c r="AD17" s="49">
        <v>22.3</v>
      </c>
      <c r="AE17" s="49">
        <v>22.3</v>
      </c>
      <c r="AF17" s="49">
        <v>22.4</v>
      </c>
      <c r="AG17" s="59">
        <v>22.1</v>
      </c>
      <c r="AH17" s="52">
        <f t="shared" si="2"/>
        <v>23.7</v>
      </c>
      <c r="AI17" s="53">
        <f t="shared" si="3"/>
        <v>20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16</v>
      </c>
      <c r="C18" s="56">
        <v>16</v>
      </c>
      <c r="D18" s="56">
        <v>16</v>
      </c>
      <c r="E18" s="56">
        <v>16</v>
      </c>
      <c r="F18" s="56">
        <v>16</v>
      </c>
      <c r="G18" s="56">
        <v>16</v>
      </c>
      <c r="H18" s="56">
        <v>16</v>
      </c>
      <c r="I18" s="56">
        <v>16</v>
      </c>
      <c r="J18" s="56">
        <v>16</v>
      </c>
      <c r="K18" s="56">
        <v>16</v>
      </c>
      <c r="L18" s="56">
        <v>16</v>
      </c>
      <c r="M18" s="49">
        <v>16</v>
      </c>
      <c r="N18" s="49">
        <v>16</v>
      </c>
      <c r="O18" s="49">
        <v>16</v>
      </c>
      <c r="P18" s="49">
        <v>16</v>
      </c>
      <c r="Q18" s="49">
        <v>16</v>
      </c>
      <c r="R18" s="49">
        <v>16</v>
      </c>
      <c r="S18" s="49">
        <v>16</v>
      </c>
      <c r="T18" s="49">
        <v>16</v>
      </c>
      <c r="U18" s="49">
        <v>16</v>
      </c>
      <c r="V18" s="49">
        <v>16</v>
      </c>
      <c r="W18" s="49">
        <v>16</v>
      </c>
      <c r="X18" s="49">
        <v>16</v>
      </c>
      <c r="Y18" s="49">
        <v>16</v>
      </c>
      <c r="Z18" s="49">
        <v>16</v>
      </c>
      <c r="AA18" s="49">
        <v>16</v>
      </c>
      <c r="AB18" s="49">
        <v>16</v>
      </c>
      <c r="AC18" s="49">
        <v>16</v>
      </c>
      <c r="AD18" s="49">
        <v>16</v>
      </c>
      <c r="AE18" s="49">
        <v>16</v>
      </c>
      <c r="AF18" s="49">
        <v>16</v>
      </c>
      <c r="AG18" s="59">
        <v>22.1</v>
      </c>
      <c r="AH18" s="52">
        <f t="shared" si="2"/>
        <v>16</v>
      </c>
      <c r="AI18" s="53">
        <f t="shared" si="3"/>
        <v>16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14.6</v>
      </c>
      <c r="C19" s="56">
        <v>14.6</v>
      </c>
      <c r="D19" s="56">
        <v>13.9</v>
      </c>
      <c r="E19" s="56">
        <v>13.3</v>
      </c>
      <c r="F19" s="56">
        <v>13.6</v>
      </c>
      <c r="G19" s="56">
        <v>13.6</v>
      </c>
      <c r="H19" s="56">
        <v>14</v>
      </c>
      <c r="I19" s="56">
        <v>14</v>
      </c>
      <c r="J19" s="56">
        <v>13.2</v>
      </c>
      <c r="K19" s="56">
        <v>13.2</v>
      </c>
      <c r="L19" s="56">
        <v>13.2</v>
      </c>
      <c r="M19" s="49">
        <v>12.3</v>
      </c>
      <c r="N19" s="49">
        <v>12.5</v>
      </c>
      <c r="O19" s="49">
        <v>12.2</v>
      </c>
      <c r="P19" s="49">
        <v>11</v>
      </c>
      <c r="Q19" s="49">
        <v>10.7</v>
      </c>
      <c r="R19" s="49">
        <v>10.7</v>
      </c>
      <c r="S19" s="49">
        <v>12.5</v>
      </c>
      <c r="T19" s="49">
        <v>12.2</v>
      </c>
      <c r="U19" s="49">
        <v>11.9</v>
      </c>
      <c r="V19" s="49">
        <v>12.8</v>
      </c>
      <c r="W19" s="49">
        <v>12.8</v>
      </c>
      <c r="X19" s="49">
        <v>12.8</v>
      </c>
      <c r="Y19" s="49">
        <v>12.8</v>
      </c>
      <c r="Z19" s="49">
        <v>14.5</v>
      </c>
      <c r="AA19" s="49">
        <v>14.1</v>
      </c>
      <c r="AB19" s="49">
        <v>14</v>
      </c>
      <c r="AC19" s="49">
        <v>14</v>
      </c>
      <c r="AD19" s="49">
        <v>13.7</v>
      </c>
      <c r="AE19" s="49">
        <v>13.1</v>
      </c>
      <c r="AF19" s="49">
        <v>13.1</v>
      </c>
      <c r="AG19" s="59">
        <v>22</v>
      </c>
      <c r="AH19" s="52">
        <f t="shared" si="2"/>
        <v>14.6</v>
      </c>
      <c r="AI19" s="53">
        <f t="shared" si="3"/>
        <v>10.7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22</v>
      </c>
      <c r="C20" s="56">
        <v>22</v>
      </c>
      <c r="D20" s="56">
        <v>22</v>
      </c>
      <c r="E20" s="56">
        <v>22</v>
      </c>
      <c r="F20" s="56">
        <v>22</v>
      </c>
      <c r="G20" s="56">
        <v>22</v>
      </c>
      <c r="H20" s="56">
        <v>22</v>
      </c>
      <c r="I20" s="56">
        <v>22</v>
      </c>
      <c r="J20" s="56">
        <v>22</v>
      </c>
      <c r="K20" s="56">
        <v>22</v>
      </c>
      <c r="L20" s="56">
        <v>22</v>
      </c>
      <c r="M20" s="49">
        <v>22</v>
      </c>
      <c r="N20" s="49">
        <v>22</v>
      </c>
      <c r="O20" s="49">
        <v>22</v>
      </c>
      <c r="P20" s="49">
        <v>22</v>
      </c>
      <c r="Q20" s="49">
        <v>22</v>
      </c>
      <c r="R20" s="49">
        <v>22</v>
      </c>
      <c r="S20" s="49">
        <v>22</v>
      </c>
      <c r="T20" s="49">
        <v>22</v>
      </c>
      <c r="U20" s="49">
        <v>22</v>
      </c>
      <c r="V20" s="49">
        <v>22</v>
      </c>
      <c r="W20" s="49">
        <v>22</v>
      </c>
      <c r="X20" s="49">
        <v>22</v>
      </c>
      <c r="Y20" s="49">
        <v>22</v>
      </c>
      <c r="Z20" s="49">
        <v>22</v>
      </c>
      <c r="AA20" s="49">
        <v>22</v>
      </c>
      <c r="AB20" s="49">
        <v>22</v>
      </c>
      <c r="AC20" s="49">
        <v>22</v>
      </c>
      <c r="AD20" s="49">
        <v>22</v>
      </c>
      <c r="AE20" s="49">
        <v>22</v>
      </c>
      <c r="AF20" s="49">
        <v>22</v>
      </c>
      <c r="AG20" s="59">
        <v>22</v>
      </c>
      <c r="AH20" s="52">
        <f t="shared" si="2"/>
        <v>22</v>
      </c>
      <c r="AI20" s="53">
        <f t="shared" si="3"/>
        <v>22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7.5</v>
      </c>
      <c r="C21" s="56">
        <v>7.5</v>
      </c>
      <c r="D21" s="56">
        <v>7.5</v>
      </c>
      <c r="E21" s="56">
        <v>7.5</v>
      </c>
      <c r="F21" s="56">
        <v>7.5</v>
      </c>
      <c r="G21" s="56">
        <v>7.5</v>
      </c>
      <c r="H21" s="56">
        <v>7.5</v>
      </c>
      <c r="I21" s="56">
        <v>7.5</v>
      </c>
      <c r="J21" s="56">
        <v>7.5</v>
      </c>
      <c r="K21" s="56">
        <v>7.5</v>
      </c>
      <c r="L21" s="56">
        <v>7.5</v>
      </c>
      <c r="M21" s="49">
        <v>7.5</v>
      </c>
      <c r="N21" s="49">
        <v>7.5</v>
      </c>
      <c r="O21" s="49">
        <v>7.5</v>
      </c>
      <c r="P21" s="49">
        <v>7.5</v>
      </c>
      <c r="Q21" s="49">
        <v>7.5</v>
      </c>
      <c r="R21" s="49">
        <v>7.5</v>
      </c>
      <c r="S21" s="49">
        <v>7.5</v>
      </c>
      <c r="T21" s="49">
        <v>7.5</v>
      </c>
      <c r="U21" s="49">
        <v>7.5</v>
      </c>
      <c r="V21" s="49">
        <v>7.5</v>
      </c>
      <c r="W21" s="49">
        <v>7.5</v>
      </c>
      <c r="X21" s="49">
        <v>7.5</v>
      </c>
      <c r="Y21" s="49">
        <v>7.5</v>
      </c>
      <c r="Z21" s="49">
        <v>7.5</v>
      </c>
      <c r="AA21" s="49">
        <v>7.5</v>
      </c>
      <c r="AB21" s="49">
        <v>7.5</v>
      </c>
      <c r="AC21" s="49">
        <v>7.5</v>
      </c>
      <c r="AD21" s="49">
        <v>7.5</v>
      </c>
      <c r="AE21" s="49">
        <v>7.5</v>
      </c>
      <c r="AF21" s="49">
        <v>7.5</v>
      </c>
      <c r="AG21" s="59">
        <v>14.9</v>
      </c>
      <c r="AH21" s="52">
        <f t="shared" si="2"/>
        <v>7.5</v>
      </c>
      <c r="AI21" s="53">
        <f t="shared" si="3"/>
        <v>7.5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10</v>
      </c>
      <c r="C22" s="56">
        <v>10</v>
      </c>
      <c r="D22" s="56">
        <v>10</v>
      </c>
      <c r="E22" s="56">
        <v>10</v>
      </c>
      <c r="F22" s="56">
        <v>10</v>
      </c>
      <c r="G22" s="56">
        <v>10</v>
      </c>
      <c r="H22" s="56">
        <v>10</v>
      </c>
      <c r="I22" s="56">
        <v>10</v>
      </c>
      <c r="J22" s="56">
        <v>10</v>
      </c>
      <c r="K22" s="56">
        <v>10</v>
      </c>
      <c r="L22" s="56">
        <v>10</v>
      </c>
      <c r="M22" s="56">
        <v>10</v>
      </c>
      <c r="N22" s="56">
        <v>10</v>
      </c>
      <c r="O22" s="56">
        <v>10</v>
      </c>
      <c r="P22" s="56">
        <v>10</v>
      </c>
      <c r="Q22" s="56">
        <v>10</v>
      </c>
      <c r="R22" s="56">
        <v>10</v>
      </c>
      <c r="S22" s="56">
        <v>10</v>
      </c>
      <c r="T22" s="56">
        <v>10</v>
      </c>
      <c r="U22" s="56">
        <v>10</v>
      </c>
      <c r="V22" s="56">
        <v>10</v>
      </c>
      <c r="W22" s="56">
        <v>10</v>
      </c>
      <c r="X22" s="56">
        <v>10</v>
      </c>
      <c r="Y22" s="56">
        <v>10</v>
      </c>
      <c r="Z22" s="56">
        <v>10</v>
      </c>
      <c r="AA22" s="56">
        <v>10</v>
      </c>
      <c r="AB22" s="56">
        <v>10</v>
      </c>
      <c r="AC22" s="56">
        <v>10</v>
      </c>
      <c r="AD22" s="56">
        <v>10</v>
      </c>
      <c r="AE22" s="56">
        <v>10</v>
      </c>
      <c r="AF22" s="56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</v>
      </c>
      <c r="C23" s="56">
        <v>10</v>
      </c>
      <c r="D23" s="56">
        <v>10</v>
      </c>
      <c r="E23" s="56">
        <v>10</v>
      </c>
      <c r="F23" s="56">
        <v>10</v>
      </c>
      <c r="G23" s="56">
        <v>10</v>
      </c>
      <c r="H23" s="56">
        <v>10</v>
      </c>
      <c r="I23" s="56">
        <v>10</v>
      </c>
      <c r="J23" s="56">
        <v>10</v>
      </c>
      <c r="K23" s="56">
        <v>10</v>
      </c>
      <c r="L23" s="56">
        <v>10</v>
      </c>
      <c r="M23" s="56">
        <v>10</v>
      </c>
      <c r="N23" s="56">
        <v>10</v>
      </c>
      <c r="O23" s="56">
        <v>10</v>
      </c>
      <c r="P23" s="56">
        <v>10</v>
      </c>
      <c r="Q23" s="56">
        <v>10</v>
      </c>
      <c r="R23" s="56">
        <v>10</v>
      </c>
      <c r="S23" s="56">
        <v>10</v>
      </c>
      <c r="T23" s="56">
        <v>10</v>
      </c>
      <c r="U23" s="56">
        <v>10</v>
      </c>
      <c r="V23" s="56">
        <v>10</v>
      </c>
      <c r="W23" s="56">
        <v>10</v>
      </c>
      <c r="X23" s="56">
        <v>10</v>
      </c>
      <c r="Y23" s="56">
        <v>10</v>
      </c>
      <c r="Z23" s="56">
        <v>10</v>
      </c>
      <c r="AA23" s="56">
        <v>10</v>
      </c>
      <c r="AB23" s="56">
        <v>10</v>
      </c>
      <c r="AC23" s="56">
        <v>10</v>
      </c>
      <c r="AD23" s="56">
        <v>10</v>
      </c>
      <c r="AE23" s="56">
        <v>10</v>
      </c>
      <c r="AF23" s="56">
        <v>10</v>
      </c>
      <c r="AG23" s="59">
        <v>13</v>
      </c>
      <c r="AH23" s="52">
        <f t="shared" si="2"/>
        <v>10</v>
      </c>
      <c r="AI23" s="53">
        <f t="shared" si="3"/>
        <v>10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12</v>
      </c>
      <c r="C24" s="56">
        <v>12</v>
      </c>
      <c r="D24" s="56">
        <v>12</v>
      </c>
      <c r="E24" s="56">
        <v>12</v>
      </c>
      <c r="F24" s="56">
        <v>12</v>
      </c>
      <c r="G24" s="56">
        <v>12</v>
      </c>
      <c r="H24" s="56">
        <v>12</v>
      </c>
      <c r="I24" s="56">
        <v>12</v>
      </c>
      <c r="J24" s="56">
        <v>12</v>
      </c>
      <c r="K24" s="56">
        <v>12</v>
      </c>
      <c r="L24" s="56">
        <v>12</v>
      </c>
      <c r="M24" s="56">
        <v>12</v>
      </c>
      <c r="N24" s="56">
        <v>12</v>
      </c>
      <c r="O24" s="56">
        <v>12</v>
      </c>
      <c r="P24" s="56">
        <v>12</v>
      </c>
      <c r="Q24" s="56">
        <v>12</v>
      </c>
      <c r="R24" s="56">
        <v>12</v>
      </c>
      <c r="S24" s="56">
        <v>12</v>
      </c>
      <c r="T24" s="56">
        <v>12</v>
      </c>
      <c r="U24" s="56">
        <v>12</v>
      </c>
      <c r="V24" s="56">
        <v>12</v>
      </c>
      <c r="W24" s="56">
        <v>12</v>
      </c>
      <c r="X24" s="56">
        <v>12</v>
      </c>
      <c r="Y24" s="56">
        <v>12</v>
      </c>
      <c r="Z24" s="56">
        <v>12</v>
      </c>
      <c r="AA24" s="56">
        <v>12</v>
      </c>
      <c r="AB24" s="56">
        <v>12</v>
      </c>
      <c r="AC24" s="56">
        <v>12</v>
      </c>
      <c r="AD24" s="56">
        <v>12</v>
      </c>
      <c r="AE24" s="56">
        <v>12</v>
      </c>
      <c r="AF24" s="56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10</v>
      </c>
      <c r="AA26" s="56">
        <v>10</v>
      </c>
      <c r="AB26" s="56">
        <v>10</v>
      </c>
      <c r="AC26" s="56">
        <v>10</v>
      </c>
      <c r="AD26" s="56">
        <v>10</v>
      </c>
      <c r="AE26" s="56">
        <v>10</v>
      </c>
      <c r="AF26" s="56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164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164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>
        <v>90</v>
      </c>
      <c r="C29" s="56">
        <v>96</v>
      </c>
      <c r="D29" s="56">
        <v>90.2</v>
      </c>
      <c r="E29" s="56">
        <v>90</v>
      </c>
      <c r="F29" s="56">
        <v>89.2</v>
      </c>
      <c r="G29" s="56">
        <v>88.8</v>
      </c>
      <c r="H29" s="56">
        <v>87.9</v>
      </c>
      <c r="I29" s="56">
        <v>88</v>
      </c>
      <c r="J29" s="56">
        <v>85.2</v>
      </c>
      <c r="K29" s="56">
        <v>85.2</v>
      </c>
      <c r="L29" s="67">
        <v>83</v>
      </c>
      <c r="M29" s="67">
        <v>87</v>
      </c>
      <c r="N29" s="67">
        <v>87.8</v>
      </c>
      <c r="O29" s="67">
        <v>86.4</v>
      </c>
      <c r="P29" s="67">
        <v>81.2</v>
      </c>
      <c r="Q29" s="67">
        <v>65.5</v>
      </c>
      <c r="R29" s="67">
        <v>86.7</v>
      </c>
      <c r="S29" s="67">
        <v>81.400000000000006</v>
      </c>
      <c r="T29" s="67">
        <v>83.8</v>
      </c>
      <c r="U29" s="67">
        <v>68.7</v>
      </c>
      <c r="V29" s="67">
        <v>65.2</v>
      </c>
      <c r="W29" s="67">
        <v>65.900000000000006</v>
      </c>
      <c r="X29" s="67">
        <v>83.6</v>
      </c>
      <c r="Y29" s="67">
        <v>86</v>
      </c>
      <c r="Z29" s="67">
        <v>81.599999999999994</v>
      </c>
      <c r="AA29" s="67">
        <v>82</v>
      </c>
      <c r="AB29" s="67">
        <v>80.400000000000006</v>
      </c>
      <c r="AC29" s="67">
        <v>79.7</v>
      </c>
      <c r="AD29" s="67">
        <v>81.400000000000006</v>
      </c>
      <c r="AE29" s="56">
        <v>82.6</v>
      </c>
      <c r="AF29" s="56">
        <v>83.7</v>
      </c>
      <c r="AG29" s="59">
        <v>240</v>
      </c>
      <c r="AH29" s="52">
        <f t="shared" si="2"/>
        <v>96</v>
      </c>
      <c r="AI29" s="53">
        <f t="shared" si="3"/>
        <v>65.2</v>
      </c>
      <c r="AK29" s="54"/>
    </row>
    <row r="30" spans="1:88" ht="15.75" thickBot="1" x14ac:dyDescent="0.3">
      <c r="A30" s="68" t="s">
        <v>37</v>
      </c>
      <c r="B30" s="69">
        <f>SUM(B11:B28)</f>
        <v>469.99999999999994</v>
      </c>
      <c r="C30" s="69">
        <f t="shared" ref="C30:AF30" si="4">SUM(C11:C28)</f>
        <v>469.59999999999997</v>
      </c>
      <c r="D30" s="69">
        <f t="shared" si="4"/>
        <v>421.8</v>
      </c>
      <c r="E30" s="69">
        <f t="shared" si="4"/>
        <v>416.09999999999997</v>
      </c>
      <c r="F30" s="69">
        <f t="shared" si="4"/>
        <v>466.09999999999997</v>
      </c>
      <c r="G30" s="69">
        <f t="shared" si="4"/>
        <v>465.59999999999997</v>
      </c>
      <c r="H30" s="69">
        <f t="shared" si="4"/>
        <v>467.54999999999995</v>
      </c>
      <c r="I30" s="69">
        <f t="shared" si="4"/>
        <v>464.9</v>
      </c>
      <c r="J30" s="69">
        <f t="shared" si="4"/>
        <v>464.19999999999993</v>
      </c>
      <c r="K30" s="69">
        <f t="shared" si="4"/>
        <v>464.19999999999993</v>
      </c>
      <c r="L30" s="69">
        <f t="shared" si="4"/>
        <v>463.29999999999995</v>
      </c>
      <c r="M30" s="69">
        <f t="shared" si="4"/>
        <v>462.7</v>
      </c>
      <c r="N30" s="69">
        <f t="shared" si="4"/>
        <v>461.5</v>
      </c>
      <c r="O30" s="69">
        <f t="shared" si="4"/>
        <v>459.29999999999995</v>
      </c>
      <c r="P30" s="69">
        <f t="shared" si="4"/>
        <v>455.19999999999993</v>
      </c>
      <c r="Q30" s="69">
        <f t="shared" si="4"/>
        <v>455.59999999999997</v>
      </c>
      <c r="R30" s="69">
        <f t="shared" si="4"/>
        <v>455.59999999999997</v>
      </c>
      <c r="S30" s="69">
        <f t="shared" ref="S30:Z30" si="5">SUM(S11:S28)</f>
        <v>455.2</v>
      </c>
      <c r="T30" s="69">
        <f t="shared" si="5"/>
        <v>457.59999999999997</v>
      </c>
      <c r="U30" s="69">
        <f t="shared" si="5"/>
        <v>457.9</v>
      </c>
      <c r="V30" s="69">
        <f t="shared" si="5"/>
        <v>458.8</v>
      </c>
      <c r="W30" s="69">
        <f t="shared" si="5"/>
        <v>459.9</v>
      </c>
      <c r="X30" s="69">
        <f t="shared" si="5"/>
        <v>459.9</v>
      </c>
      <c r="Y30" s="69">
        <f t="shared" si="5"/>
        <v>459.9</v>
      </c>
      <c r="Z30" s="69">
        <f t="shared" si="5"/>
        <v>476.2</v>
      </c>
      <c r="AA30" s="69">
        <f t="shared" si="4"/>
        <v>462.5</v>
      </c>
      <c r="AB30" s="69">
        <f t="shared" si="4"/>
        <v>462.3</v>
      </c>
      <c r="AC30" s="69">
        <f t="shared" si="4"/>
        <v>462.49999999999994</v>
      </c>
      <c r="AD30" s="69">
        <f t="shared" si="4"/>
        <v>460.89999999999992</v>
      </c>
      <c r="AE30" s="69">
        <f t="shared" si="4"/>
        <v>458.8</v>
      </c>
      <c r="AF30" s="69">
        <f t="shared" si="4"/>
        <v>458.2</v>
      </c>
      <c r="AG30" s="59">
        <f>SUM(AG11:AG29)</f>
        <v>729.2</v>
      </c>
      <c r="AH30" s="52">
        <f t="shared" si="2"/>
        <v>476.2</v>
      </c>
      <c r="AI30" s="53">
        <f t="shared" si="3"/>
        <v>416.09999999999997</v>
      </c>
      <c r="AK30" s="54"/>
    </row>
    <row r="31" spans="1:88" x14ac:dyDescent="0.25">
      <c r="A31" s="55" t="s">
        <v>38</v>
      </c>
      <c r="B31" s="56">
        <v>97</v>
      </c>
      <c r="C31" s="56">
        <v>97</v>
      </c>
      <c r="D31" s="56">
        <v>97</v>
      </c>
      <c r="E31" s="56">
        <v>97</v>
      </c>
      <c r="F31" s="56">
        <v>97</v>
      </c>
      <c r="G31" s="56">
        <v>96.8</v>
      </c>
      <c r="H31" s="56">
        <v>97</v>
      </c>
      <c r="I31" s="56">
        <v>96.9</v>
      </c>
      <c r="J31" s="56">
        <v>96.5</v>
      </c>
      <c r="K31" s="56">
        <v>96.5</v>
      </c>
      <c r="L31" s="56">
        <v>97</v>
      </c>
      <c r="M31" s="49">
        <v>96.8</v>
      </c>
      <c r="N31" s="49">
        <v>97.8</v>
      </c>
      <c r="O31" s="49">
        <v>97.1</v>
      </c>
      <c r="P31" s="49">
        <v>97.1</v>
      </c>
      <c r="Q31" s="49">
        <v>97</v>
      </c>
      <c r="R31" s="49">
        <v>97</v>
      </c>
      <c r="S31" s="49">
        <v>97.1</v>
      </c>
      <c r="T31" s="49">
        <v>97</v>
      </c>
      <c r="U31" s="49">
        <v>97.1</v>
      </c>
      <c r="V31" s="49">
        <v>97</v>
      </c>
      <c r="W31" s="49">
        <v>97</v>
      </c>
      <c r="X31" s="49">
        <v>97</v>
      </c>
      <c r="Y31" s="49">
        <v>97</v>
      </c>
      <c r="Z31" s="49">
        <v>97</v>
      </c>
      <c r="AA31" s="48">
        <v>97</v>
      </c>
      <c r="AB31" s="48">
        <v>97</v>
      </c>
      <c r="AC31" s="48">
        <v>97</v>
      </c>
      <c r="AD31" s="48">
        <v>96.9</v>
      </c>
      <c r="AE31" s="48">
        <v>96.9</v>
      </c>
      <c r="AF31" s="48">
        <v>97</v>
      </c>
      <c r="AG31" s="57">
        <v>144</v>
      </c>
      <c r="AH31" s="52">
        <f t="shared" si="2"/>
        <v>97.8</v>
      </c>
      <c r="AI31" s="53">
        <f t="shared" si="3"/>
        <v>96.5</v>
      </c>
      <c r="AK31" s="54"/>
    </row>
    <row r="32" spans="1:88" x14ac:dyDescent="0.25">
      <c r="A32" s="58" t="s">
        <v>39</v>
      </c>
      <c r="B32" s="56">
        <v>70</v>
      </c>
      <c r="C32" s="56">
        <v>71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70">
        <v>0</v>
      </c>
      <c r="N32" s="70">
        <v>0</v>
      </c>
      <c r="O32" s="70">
        <v>0</v>
      </c>
      <c r="P32" s="70">
        <v>0</v>
      </c>
      <c r="Q32" s="70">
        <v>70.8</v>
      </c>
      <c r="R32" s="70">
        <v>70.7</v>
      </c>
      <c r="S32" s="70">
        <v>69.8</v>
      </c>
      <c r="T32" s="70">
        <v>69.400000000000006</v>
      </c>
      <c r="U32" s="70">
        <v>69.7</v>
      </c>
      <c r="V32" s="70">
        <v>69.900000000000006</v>
      </c>
      <c r="W32" s="70">
        <v>71</v>
      </c>
      <c r="X32" s="70">
        <v>71</v>
      </c>
      <c r="Y32" s="70">
        <v>71</v>
      </c>
      <c r="Z32" s="70">
        <v>71.3</v>
      </c>
      <c r="AA32" s="56">
        <v>72</v>
      </c>
      <c r="AB32" s="56">
        <v>70.2</v>
      </c>
      <c r="AC32" s="56">
        <v>70.599999999999994</v>
      </c>
      <c r="AD32" s="56">
        <v>70.2</v>
      </c>
      <c r="AE32" s="56">
        <v>71.7</v>
      </c>
      <c r="AF32" s="56">
        <v>70</v>
      </c>
      <c r="AG32" s="59">
        <v>70</v>
      </c>
      <c r="AH32" s="52">
        <f t="shared" si="2"/>
        <v>72</v>
      </c>
      <c r="AI32" s="53">
        <f t="shared" si="3"/>
        <v>0</v>
      </c>
      <c r="AK32" s="54"/>
    </row>
    <row r="33" spans="1:41" x14ac:dyDescent="0.25">
      <c r="A33" s="58" t="s">
        <v>40</v>
      </c>
      <c r="B33" s="56">
        <v>16</v>
      </c>
      <c r="C33" s="56">
        <v>63.5</v>
      </c>
      <c r="D33" s="56">
        <v>0</v>
      </c>
      <c r="E33" s="56">
        <v>0</v>
      </c>
      <c r="F33" s="56">
        <v>64.8</v>
      </c>
      <c r="G33" s="56">
        <v>64.5</v>
      </c>
      <c r="H33" s="56">
        <v>64.099999999999994</v>
      </c>
      <c r="I33" s="56">
        <v>64.8</v>
      </c>
      <c r="J33" s="56">
        <v>64.7</v>
      </c>
      <c r="K33" s="56">
        <v>64.7</v>
      </c>
      <c r="L33" s="56">
        <v>65</v>
      </c>
      <c r="M33" s="70">
        <v>49.7</v>
      </c>
      <c r="N33" s="70">
        <v>50.1</v>
      </c>
      <c r="O33" s="70">
        <v>50.1</v>
      </c>
      <c r="P33" s="70">
        <v>40</v>
      </c>
      <c r="Q33" s="70">
        <v>61.6</v>
      </c>
      <c r="R33" s="70">
        <v>63</v>
      </c>
      <c r="S33" s="70">
        <v>62.8</v>
      </c>
      <c r="T33" s="70">
        <v>62.1</v>
      </c>
      <c r="U33" s="70">
        <v>62.4</v>
      </c>
      <c r="V33" s="70">
        <v>62.4</v>
      </c>
      <c r="W33" s="70">
        <v>62.5</v>
      </c>
      <c r="X33" s="70">
        <v>62.5</v>
      </c>
      <c r="Y33" s="70">
        <v>62.5</v>
      </c>
      <c r="Z33" s="70">
        <v>63</v>
      </c>
      <c r="AA33" s="56">
        <v>62.5</v>
      </c>
      <c r="AB33" s="56">
        <v>62.3</v>
      </c>
      <c r="AC33" s="56">
        <v>62</v>
      </c>
      <c r="AD33" s="56">
        <v>62.8</v>
      </c>
      <c r="AE33" s="56">
        <v>63.3</v>
      </c>
      <c r="AF33" s="56">
        <v>60.5</v>
      </c>
      <c r="AG33" s="59">
        <v>69</v>
      </c>
      <c r="AH33" s="52">
        <f t="shared" si="2"/>
        <v>65</v>
      </c>
      <c r="AI33" s="53">
        <f t="shared" si="3"/>
        <v>0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28.5</v>
      </c>
      <c r="E34" s="56">
        <v>28.5</v>
      </c>
      <c r="F34" s="56">
        <v>28.5</v>
      </c>
      <c r="G34" s="56">
        <v>28.2</v>
      </c>
      <c r="H34" s="56">
        <v>28.5</v>
      </c>
      <c r="I34" s="56">
        <v>28.5</v>
      </c>
      <c r="J34" s="56">
        <v>28.5</v>
      </c>
      <c r="K34" s="56">
        <v>28.5</v>
      </c>
      <c r="L34" s="56">
        <v>28.5</v>
      </c>
      <c r="M34" s="70">
        <v>28.5</v>
      </c>
      <c r="N34" s="70">
        <v>28.5</v>
      </c>
      <c r="O34" s="70">
        <v>28.5</v>
      </c>
      <c r="P34" s="70">
        <v>28.5</v>
      </c>
      <c r="Q34" s="70">
        <v>28.2</v>
      </c>
      <c r="R34" s="70">
        <v>28.5</v>
      </c>
      <c r="S34" s="70">
        <v>28.5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28.5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15</v>
      </c>
      <c r="C35" s="56">
        <v>15</v>
      </c>
      <c r="D35" s="56">
        <v>20.8</v>
      </c>
      <c r="E35" s="56">
        <v>20</v>
      </c>
      <c r="F35" s="56">
        <v>20</v>
      </c>
      <c r="G35" s="56">
        <v>30.1</v>
      </c>
      <c r="H35" s="56">
        <v>30</v>
      </c>
      <c r="I35" s="56">
        <v>30</v>
      </c>
      <c r="J35" s="56">
        <v>29.8</v>
      </c>
      <c r="K35" s="56">
        <v>29.8</v>
      </c>
      <c r="L35" s="56">
        <v>29.7</v>
      </c>
      <c r="M35" s="49">
        <v>29.5</v>
      </c>
      <c r="N35" s="49">
        <v>29.6</v>
      </c>
      <c r="O35" s="49">
        <v>29.5</v>
      </c>
      <c r="P35" s="49">
        <v>20.3</v>
      </c>
      <c r="Q35" s="49">
        <v>20.3</v>
      </c>
      <c r="R35" s="49">
        <v>21</v>
      </c>
      <c r="S35" s="49">
        <v>25</v>
      </c>
      <c r="T35" s="49">
        <v>30</v>
      </c>
      <c r="U35" s="49">
        <v>30</v>
      </c>
      <c r="V35" s="49">
        <v>30</v>
      </c>
      <c r="W35" s="70">
        <v>21</v>
      </c>
      <c r="X35" s="70">
        <v>21</v>
      </c>
      <c r="Y35" s="70">
        <v>21</v>
      </c>
      <c r="Z35" s="70">
        <v>25.1</v>
      </c>
      <c r="AA35" s="56">
        <v>29.3</v>
      </c>
      <c r="AB35" s="56">
        <v>29.4</v>
      </c>
      <c r="AC35" s="56">
        <v>29.3</v>
      </c>
      <c r="AD35" s="56">
        <v>29.1</v>
      </c>
      <c r="AE35" s="56">
        <v>24.9</v>
      </c>
      <c r="AF35" s="56">
        <v>19.8</v>
      </c>
      <c r="AG35" s="59">
        <v>30</v>
      </c>
      <c r="AH35" s="52">
        <f t="shared" si="2"/>
        <v>30.1</v>
      </c>
      <c r="AI35" s="53">
        <f t="shared" si="3"/>
        <v>15</v>
      </c>
      <c r="AK35" s="54"/>
    </row>
    <row r="36" spans="1:41" x14ac:dyDescent="0.25">
      <c r="A36" s="58" t="s">
        <v>43</v>
      </c>
      <c r="B36" s="71">
        <v>16.7</v>
      </c>
      <c r="C36" s="71">
        <v>16.7</v>
      </c>
      <c r="D36" s="71">
        <v>16.600000000000001</v>
      </c>
      <c r="E36" s="71">
        <v>16.600000000000001</v>
      </c>
      <c r="F36" s="71">
        <v>16.7</v>
      </c>
      <c r="G36" s="71">
        <v>16.600000000000001</v>
      </c>
      <c r="H36" s="71">
        <v>16.600000000000001</v>
      </c>
      <c r="I36" s="71">
        <v>16.600000000000001</v>
      </c>
      <c r="J36" s="71">
        <v>16.600000000000001</v>
      </c>
      <c r="K36" s="71">
        <v>16.600000000000001</v>
      </c>
      <c r="L36" s="71">
        <v>16.600000000000001</v>
      </c>
      <c r="M36" s="49">
        <v>16.5</v>
      </c>
      <c r="N36" s="49">
        <v>16.5</v>
      </c>
      <c r="O36" s="49">
        <v>16.600000000000001</v>
      </c>
      <c r="P36" s="49">
        <v>16.600000000000001</v>
      </c>
      <c r="Q36" s="49">
        <v>16.600000000000001</v>
      </c>
      <c r="R36" s="49">
        <v>16.600000000000001</v>
      </c>
      <c r="S36" s="49">
        <v>16.600000000000001</v>
      </c>
      <c r="T36" s="49">
        <v>16.5</v>
      </c>
      <c r="U36" s="49">
        <v>16.5</v>
      </c>
      <c r="V36" s="49">
        <v>16.5</v>
      </c>
      <c r="W36" s="49">
        <v>16.600000000000001</v>
      </c>
      <c r="X36" s="49">
        <v>16.600000000000001</v>
      </c>
      <c r="Y36" s="49">
        <v>16.600000000000001</v>
      </c>
      <c r="Z36" s="49">
        <v>16.5</v>
      </c>
      <c r="AA36" s="56">
        <v>16.8</v>
      </c>
      <c r="AB36" s="56">
        <v>16.7</v>
      </c>
      <c r="AC36" s="56">
        <v>16.8</v>
      </c>
      <c r="AD36" s="56">
        <v>16.8</v>
      </c>
      <c r="AE36" s="56">
        <v>16.8</v>
      </c>
      <c r="AF36" s="56">
        <v>16.8</v>
      </c>
      <c r="AG36" s="59">
        <v>24</v>
      </c>
      <c r="AH36" s="52">
        <f t="shared" si="2"/>
        <v>16.8</v>
      </c>
      <c r="AI36" s="53">
        <f t="shared" si="3"/>
        <v>16.5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13</v>
      </c>
      <c r="C38" s="56">
        <v>13</v>
      </c>
      <c r="D38" s="56">
        <v>13</v>
      </c>
      <c r="E38" s="56">
        <v>13</v>
      </c>
      <c r="F38" s="56">
        <v>13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56">
        <v>13</v>
      </c>
      <c r="M38" s="49">
        <v>13</v>
      </c>
      <c r="N38" s="49">
        <v>13</v>
      </c>
      <c r="O38" s="49">
        <v>13</v>
      </c>
      <c r="P38" s="49">
        <v>13</v>
      </c>
      <c r="Q38" s="49">
        <v>13</v>
      </c>
      <c r="R38" s="49">
        <v>13</v>
      </c>
      <c r="S38" s="49">
        <v>13</v>
      </c>
      <c r="T38" s="49">
        <v>13</v>
      </c>
      <c r="U38" s="49">
        <v>13</v>
      </c>
      <c r="V38" s="49">
        <v>13</v>
      </c>
      <c r="W38" s="49">
        <v>13</v>
      </c>
      <c r="X38" s="49">
        <v>13</v>
      </c>
      <c r="Y38" s="49">
        <v>13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12</v>
      </c>
      <c r="C39" s="71">
        <v>12</v>
      </c>
      <c r="D39" s="71">
        <v>8</v>
      </c>
      <c r="E39" s="71">
        <v>8</v>
      </c>
      <c r="F39" s="71">
        <v>8</v>
      </c>
      <c r="G39" s="71">
        <v>8</v>
      </c>
      <c r="H39" s="71">
        <v>8</v>
      </c>
      <c r="I39" s="71">
        <v>8</v>
      </c>
      <c r="J39" s="71">
        <v>8</v>
      </c>
      <c r="K39" s="71">
        <v>8</v>
      </c>
      <c r="L39" s="71">
        <v>8</v>
      </c>
      <c r="M39" s="49">
        <v>8</v>
      </c>
      <c r="N39" s="49">
        <v>8</v>
      </c>
      <c r="O39" s="49">
        <v>8</v>
      </c>
      <c r="P39" s="49">
        <v>8</v>
      </c>
      <c r="Q39" s="49">
        <v>8</v>
      </c>
      <c r="R39" s="49">
        <v>8</v>
      </c>
      <c r="S39" s="49">
        <v>8</v>
      </c>
      <c r="T39" s="49">
        <v>8</v>
      </c>
      <c r="U39" s="49">
        <v>8</v>
      </c>
      <c r="V39" s="49">
        <v>8</v>
      </c>
      <c r="W39" s="49">
        <v>8</v>
      </c>
      <c r="X39" s="49">
        <v>8</v>
      </c>
      <c r="Y39" s="49">
        <v>8</v>
      </c>
      <c r="Z39" s="49">
        <v>12</v>
      </c>
      <c r="AA39" s="56">
        <v>12</v>
      </c>
      <c r="AB39" s="56">
        <v>12</v>
      </c>
      <c r="AC39" s="56">
        <v>12</v>
      </c>
      <c r="AD39" s="56">
        <v>12</v>
      </c>
      <c r="AE39" s="56">
        <v>12</v>
      </c>
      <c r="AF39" s="56">
        <v>12</v>
      </c>
      <c r="AG39" s="59">
        <v>14</v>
      </c>
      <c r="AH39" s="52">
        <f t="shared" si="2"/>
        <v>12</v>
      </c>
      <c r="AI39" s="53">
        <f t="shared" si="3"/>
        <v>8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8.6</v>
      </c>
      <c r="C40" s="56">
        <v>8.6</v>
      </c>
      <c r="D40" s="56">
        <v>9</v>
      </c>
      <c r="E40" s="56">
        <v>8.9</v>
      </c>
      <c r="F40" s="56">
        <v>8.9</v>
      </c>
      <c r="G40" s="56">
        <v>8.9</v>
      </c>
      <c r="H40" s="56">
        <v>8.9</v>
      </c>
      <c r="I40" s="56">
        <v>8.9</v>
      </c>
      <c r="J40" s="56">
        <v>8.9</v>
      </c>
      <c r="K40" s="56">
        <v>8.9</v>
      </c>
      <c r="L40" s="56">
        <v>8.9</v>
      </c>
      <c r="M40" s="49">
        <v>8.8000000000000007</v>
      </c>
      <c r="N40" s="49">
        <v>8.5</v>
      </c>
      <c r="O40" s="49">
        <v>8.4</v>
      </c>
      <c r="P40" s="49">
        <v>8.4</v>
      </c>
      <c r="Q40" s="49">
        <v>8.3000000000000007</v>
      </c>
      <c r="R40" s="49">
        <v>8.3000000000000007</v>
      </c>
      <c r="S40" s="49">
        <v>8.3000000000000007</v>
      </c>
      <c r="T40" s="49">
        <v>8.3000000000000007</v>
      </c>
      <c r="U40" s="49">
        <v>8.3000000000000007</v>
      </c>
      <c r="V40" s="49">
        <v>8.3000000000000007</v>
      </c>
      <c r="W40" s="49">
        <v>8.3000000000000007</v>
      </c>
      <c r="X40" s="49">
        <v>8.3000000000000007</v>
      </c>
      <c r="Y40" s="49">
        <v>8.3000000000000007</v>
      </c>
      <c r="Z40" s="49">
        <v>8.6</v>
      </c>
      <c r="AA40" s="56">
        <v>8.1999999999999993</v>
      </c>
      <c r="AB40" s="56">
        <v>8.3000000000000007</v>
      </c>
      <c r="AC40" s="56">
        <v>8.3000000000000007</v>
      </c>
      <c r="AD40" s="56">
        <v>8.6</v>
      </c>
      <c r="AE40" s="56">
        <v>9</v>
      </c>
      <c r="AF40" s="56">
        <v>9</v>
      </c>
      <c r="AG40" s="59">
        <v>10.050000000000001</v>
      </c>
      <c r="AH40" s="52">
        <f t="shared" si="2"/>
        <v>9</v>
      </c>
      <c r="AI40" s="53">
        <f t="shared" si="3"/>
        <v>8.1999999999999993</v>
      </c>
      <c r="AK40" s="54"/>
    </row>
    <row r="41" spans="1:41" x14ac:dyDescent="0.25">
      <c r="A41" s="58" t="s">
        <v>48</v>
      </c>
      <c r="B41" s="56">
        <v>2</v>
      </c>
      <c r="C41" s="56">
        <v>2</v>
      </c>
      <c r="D41" s="56">
        <v>2</v>
      </c>
      <c r="E41" s="56">
        <v>2</v>
      </c>
      <c r="F41" s="56">
        <v>2</v>
      </c>
      <c r="G41" s="56">
        <v>2</v>
      </c>
      <c r="H41" s="56">
        <v>2</v>
      </c>
      <c r="I41" s="56">
        <v>2</v>
      </c>
      <c r="J41" s="56">
        <v>2</v>
      </c>
      <c r="K41" s="56">
        <v>2</v>
      </c>
      <c r="L41" s="56">
        <v>2</v>
      </c>
      <c r="M41" s="49">
        <v>2</v>
      </c>
      <c r="N41" s="49">
        <v>2</v>
      </c>
      <c r="O41" s="49">
        <v>2</v>
      </c>
      <c r="P41" s="49">
        <v>2</v>
      </c>
      <c r="Q41" s="49">
        <v>2</v>
      </c>
      <c r="R41" s="49">
        <v>2</v>
      </c>
      <c r="S41" s="49">
        <v>2</v>
      </c>
      <c r="T41" s="49">
        <v>2</v>
      </c>
      <c r="U41" s="49">
        <v>2</v>
      </c>
      <c r="V41" s="49">
        <v>2</v>
      </c>
      <c r="W41" s="49">
        <v>2</v>
      </c>
      <c r="X41" s="49">
        <v>2</v>
      </c>
      <c r="Y41" s="49">
        <v>2</v>
      </c>
      <c r="Z41" s="49">
        <v>2</v>
      </c>
      <c r="AA41" s="56">
        <v>2</v>
      </c>
      <c r="AB41" s="56">
        <v>2</v>
      </c>
      <c r="AC41" s="56">
        <v>2</v>
      </c>
      <c r="AD41" s="56">
        <v>2</v>
      </c>
      <c r="AE41" s="56">
        <v>2</v>
      </c>
      <c r="AF41" s="56">
        <v>2</v>
      </c>
      <c r="AG41" s="59">
        <v>6.2</v>
      </c>
      <c r="AH41" s="52">
        <f t="shared" si="2"/>
        <v>2</v>
      </c>
      <c r="AI41" s="53">
        <f t="shared" si="3"/>
        <v>2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6">C179</f>
        <v>3.54</v>
      </c>
      <c r="D42" s="73">
        <f t="shared" si="6"/>
        <v>3.54</v>
      </c>
      <c r="E42" s="73">
        <f t="shared" si="6"/>
        <v>3.54</v>
      </c>
      <c r="F42" s="73">
        <f t="shared" si="6"/>
        <v>3.54</v>
      </c>
      <c r="G42" s="73">
        <f t="shared" si="6"/>
        <v>3.54</v>
      </c>
      <c r="H42" s="73">
        <f t="shared" si="6"/>
        <v>3.54</v>
      </c>
      <c r="I42" s="73">
        <f t="shared" si="6"/>
        <v>3.54</v>
      </c>
      <c r="J42" s="73">
        <f t="shared" si="6"/>
        <v>3.54</v>
      </c>
      <c r="K42" s="73">
        <f t="shared" si="6"/>
        <v>3.54</v>
      </c>
      <c r="L42" s="73">
        <f t="shared" si="6"/>
        <v>3.54</v>
      </c>
      <c r="M42" s="73">
        <f t="shared" si="6"/>
        <v>3.54</v>
      </c>
      <c r="N42" s="73">
        <f t="shared" si="6"/>
        <v>3.54</v>
      </c>
      <c r="O42" s="73">
        <f t="shared" si="6"/>
        <v>3.54</v>
      </c>
      <c r="P42" s="73">
        <f t="shared" si="6"/>
        <v>3.54</v>
      </c>
      <c r="Q42" s="73">
        <f t="shared" si="6"/>
        <v>3.54</v>
      </c>
      <c r="R42" s="73">
        <f t="shared" si="6"/>
        <v>3.54</v>
      </c>
      <c r="S42" s="73">
        <f t="shared" si="6"/>
        <v>3.54</v>
      </c>
      <c r="T42" s="73">
        <f t="shared" si="6"/>
        <v>3.54</v>
      </c>
      <c r="U42" s="73">
        <f t="shared" si="6"/>
        <v>3.54</v>
      </c>
      <c r="V42" s="73">
        <f t="shared" si="6"/>
        <v>3.54</v>
      </c>
      <c r="W42" s="73">
        <f t="shared" si="6"/>
        <v>3.54</v>
      </c>
      <c r="X42" s="73">
        <f t="shared" si="6"/>
        <v>3.54</v>
      </c>
      <c r="Y42" s="73">
        <f t="shared" si="6"/>
        <v>3.54</v>
      </c>
      <c r="Z42" s="73">
        <v>3.54</v>
      </c>
      <c r="AA42" s="73">
        <f t="shared" si="6"/>
        <v>3.54</v>
      </c>
      <c r="AB42" s="73">
        <f t="shared" si="6"/>
        <v>3.54</v>
      </c>
      <c r="AC42" s="73">
        <f t="shared" si="6"/>
        <v>3.54</v>
      </c>
      <c r="AD42" s="73">
        <f t="shared" si="6"/>
        <v>3.54</v>
      </c>
      <c r="AE42" s="73">
        <f t="shared" si="6"/>
        <v>3.54</v>
      </c>
      <c r="AF42" s="73">
        <f t="shared" si="6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7">SUM(B31:B42)</f>
        <v>282.34000000000003</v>
      </c>
      <c r="C43" s="69">
        <f t="shared" si="7"/>
        <v>330.84000000000003</v>
      </c>
      <c r="D43" s="69">
        <f t="shared" si="7"/>
        <v>198.44</v>
      </c>
      <c r="E43" s="69">
        <f t="shared" si="7"/>
        <v>197.54</v>
      </c>
      <c r="F43" s="69">
        <f t="shared" si="7"/>
        <v>262.44</v>
      </c>
      <c r="G43" s="69">
        <f t="shared" si="7"/>
        <v>271.64</v>
      </c>
      <c r="H43" s="69">
        <f t="shared" si="7"/>
        <v>271.64</v>
      </c>
      <c r="I43" s="69">
        <f t="shared" si="7"/>
        <v>272.23999999999995</v>
      </c>
      <c r="J43" s="69">
        <f t="shared" si="7"/>
        <v>271.54000000000002</v>
      </c>
      <c r="K43" s="69">
        <f t="shared" si="7"/>
        <v>271.54000000000002</v>
      </c>
      <c r="L43" s="69">
        <f t="shared" si="7"/>
        <v>272.23999999999995</v>
      </c>
      <c r="M43" s="69">
        <f t="shared" si="7"/>
        <v>256.34000000000003</v>
      </c>
      <c r="N43" s="69">
        <f t="shared" si="7"/>
        <v>257.54000000000002</v>
      </c>
      <c r="O43" s="69">
        <f t="shared" si="7"/>
        <v>256.74</v>
      </c>
      <c r="P43" s="69">
        <f t="shared" si="7"/>
        <v>237.44</v>
      </c>
      <c r="Q43" s="69">
        <f t="shared" si="7"/>
        <v>329.34000000000009</v>
      </c>
      <c r="R43" s="69">
        <f t="shared" si="7"/>
        <v>331.64000000000004</v>
      </c>
      <c r="S43" s="69">
        <f t="shared" si="7"/>
        <v>334.64000000000004</v>
      </c>
      <c r="T43" s="69">
        <f t="shared" si="7"/>
        <v>338.34000000000003</v>
      </c>
      <c r="U43" s="69">
        <f t="shared" si="7"/>
        <v>339.04000000000008</v>
      </c>
      <c r="V43" s="69">
        <f t="shared" si="7"/>
        <v>339.14000000000004</v>
      </c>
      <c r="W43" s="69">
        <f t="shared" si="7"/>
        <v>331.44000000000005</v>
      </c>
      <c r="X43" s="69">
        <f t="shared" si="7"/>
        <v>331.44000000000005</v>
      </c>
      <c r="Y43" s="69">
        <f t="shared" si="7"/>
        <v>331.44000000000005</v>
      </c>
      <c r="Z43" s="69">
        <f t="shared" si="7"/>
        <v>337.54000000000008</v>
      </c>
      <c r="AA43" s="69">
        <f t="shared" si="7"/>
        <v>341.84000000000003</v>
      </c>
      <c r="AB43" s="69">
        <f t="shared" si="7"/>
        <v>339.94</v>
      </c>
      <c r="AC43" s="69">
        <f t="shared" si="7"/>
        <v>340.04000000000008</v>
      </c>
      <c r="AD43" s="69">
        <f t="shared" si="7"/>
        <v>340.44000000000011</v>
      </c>
      <c r="AE43" s="69">
        <f t="shared" si="7"/>
        <v>338.64000000000004</v>
      </c>
      <c r="AF43" s="69">
        <f t="shared" si="7"/>
        <v>329.14000000000004</v>
      </c>
      <c r="AG43" s="74">
        <f>SUM(AG31:AG42)</f>
        <v>464.91</v>
      </c>
      <c r="AH43" s="52">
        <f t="shared" si="2"/>
        <v>341.84000000000003</v>
      </c>
      <c r="AI43" s="53">
        <f t="shared" si="3"/>
        <v>197.54</v>
      </c>
      <c r="AK43" s="54"/>
    </row>
    <row r="44" spans="1:41" x14ac:dyDescent="0.25">
      <c r="A44" s="55" t="s">
        <v>51</v>
      </c>
      <c r="B44" s="56">
        <v>54</v>
      </c>
      <c r="C44" s="56">
        <v>35</v>
      </c>
      <c r="D44" s="56">
        <v>29.4</v>
      </c>
      <c r="E44" s="56">
        <v>49.1</v>
      </c>
      <c r="F44" s="56">
        <v>20</v>
      </c>
      <c r="G44" s="56">
        <v>14.9</v>
      </c>
      <c r="H44" s="56">
        <v>14.7</v>
      </c>
      <c r="I44" s="56">
        <v>10.199999999999999</v>
      </c>
      <c r="J44" s="56">
        <v>24.2</v>
      </c>
      <c r="K44" s="56">
        <v>24.2</v>
      </c>
      <c r="L44" s="75">
        <v>30.5</v>
      </c>
      <c r="M44" s="75">
        <v>30.5</v>
      </c>
      <c r="N44" s="75">
        <v>30.7</v>
      </c>
      <c r="O44" s="75">
        <v>34</v>
      </c>
      <c r="P44" s="49">
        <v>44.4</v>
      </c>
      <c r="Q44" s="49">
        <v>29.7</v>
      </c>
      <c r="R44" s="49">
        <v>30</v>
      </c>
      <c r="S44" s="49">
        <v>30</v>
      </c>
      <c r="T44" s="49">
        <v>30.3</v>
      </c>
      <c r="U44" s="49">
        <v>20</v>
      </c>
      <c r="V44" s="49">
        <v>19.7</v>
      </c>
      <c r="W44" s="49">
        <v>10</v>
      </c>
      <c r="X44" s="49">
        <v>9.5</v>
      </c>
      <c r="Y44" s="49">
        <v>9.5</v>
      </c>
      <c r="Z44" s="49">
        <v>45</v>
      </c>
      <c r="AA44" s="49">
        <v>49.6</v>
      </c>
      <c r="AB44" s="49">
        <v>39.5</v>
      </c>
      <c r="AC44" s="49">
        <v>44</v>
      </c>
      <c r="AD44" s="49">
        <v>59.5</v>
      </c>
      <c r="AE44" s="49">
        <v>29.6</v>
      </c>
      <c r="AF44" s="49">
        <v>10.3</v>
      </c>
      <c r="AG44" s="57">
        <v>60</v>
      </c>
      <c r="AH44" s="52">
        <f t="shared" si="2"/>
        <v>59.5</v>
      </c>
      <c r="AI44" s="53">
        <f t="shared" si="3"/>
        <v>9.5</v>
      </c>
      <c r="AK44" s="54"/>
    </row>
    <row r="45" spans="1:41" x14ac:dyDescent="0.25">
      <c r="A45" s="58" t="s">
        <v>52</v>
      </c>
      <c r="B45" s="56">
        <v>25</v>
      </c>
      <c r="C45" s="56">
        <v>15</v>
      </c>
      <c r="D45" s="56">
        <v>15.3</v>
      </c>
      <c r="E45" s="56">
        <v>24.4</v>
      </c>
      <c r="F45" s="56">
        <v>16.100000000000001</v>
      </c>
      <c r="G45" s="56">
        <v>6.8</v>
      </c>
      <c r="H45" s="56">
        <v>6.1</v>
      </c>
      <c r="I45" s="56">
        <v>5</v>
      </c>
      <c r="J45" s="56">
        <v>7.7</v>
      </c>
      <c r="K45" s="56">
        <v>7.7</v>
      </c>
      <c r="L45" s="75">
        <v>15.2</v>
      </c>
      <c r="M45" s="75">
        <v>15.8</v>
      </c>
      <c r="N45" s="75">
        <v>15.7</v>
      </c>
      <c r="O45" s="75">
        <v>16.100000000000001</v>
      </c>
      <c r="P45" s="70">
        <v>21.8</v>
      </c>
      <c r="Q45" s="70">
        <v>15.1</v>
      </c>
      <c r="R45" s="49">
        <v>15.2</v>
      </c>
      <c r="S45" s="49">
        <v>14.4</v>
      </c>
      <c r="T45" s="49">
        <v>15.1</v>
      </c>
      <c r="U45" s="70">
        <v>9.1</v>
      </c>
      <c r="V45" s="70">
        <v>9.1999999999999993</v>
      </c>
      <c r="W45" s="70">
        <v>10</v>
      </c>
      <c r="X45" s="70">
        <v>5</v>
      </c>
      <c r="Y45" s="70">
        <v>4</v>
      </c>
      <c r="Z45" s="70">
        <v>19.7</v>
      </c>
      <c r="AA45" s="70">
        <v>16.8</v>
      </c>
      <c r="AB45" s="70">
        <v>18.3</v>
      </c>
      <c r="AC45" s="70">
        <v>20.2</v>
      </c>
      <c r="AD45" s="70">
        <v>25.8</v>
      </c>
      <c r="AE45" s="70">
        <v>15.7</v>
      </c>
      <c r="AF45" s="70">
        <v>5</v>
      </c>
      <c r="AG45" s="59">
        <v>32</v>
      </c>
      <c r="AH45" s="52">
        <f t="shared" si="2"/>
        <v>25.8</v>
      </c>
      <c r="AI45" s="53">
        <f t="shared" si="3"/>
        <v>4</v>
      </c>
      <c r="AK45" s="54"/>
    </row>
    <row r="46" spans="1:41" ht="15.75" thickBot="1" x14ac:dyDescent="0.3">
      <c r="A46" s="72" t="s">
        <v>53</v>
      </c>
      <c r="B46" s="71">
        <v>9</v>
      </c>
      <c r="C46" s="71">
        <v>5.5</v>
      </c>
      <c r="D46" s="71">
        <v>5.6</v>
      </c>
      <c r="E46" s="71">
        <v>8.9</v>
      </c>
      <c r="F46" s="71">
        <v>5.9</v>
      </c>
      <c r="G46" s="71">
        <v>2.5</v>
      </c>
      <c r="H46" s="71">
        <v>2.2000000000000002</v>
      </c>
      <c r="I46" s="71">
        <v>1.8</v>
      </c>
      <c r="J46" s="71">
        <v>3</v>
      </c>
      <c r="K46" s="71">
        <v>3</v>
      </c>
      <c r="L46" s="76">
        <v>5.6</v>
      </c>
      <c r="M46" s="76">
        <v>5.8</v>
      </c>
      <c r="N46" s="76">
        <v>5.7</v>
      </c>
      <c r="O46" s="76">
        <v>6.5</v>
      </c>
      <c r="P46" s="77">
        <v>8</v>
      </c>
      <c r="Q46" s="77">
        <v>5.5</v>
      </c>
      <c r="R46" s="49">
        <v>5.5</v>
      </c>
      <c r="S46" s="49">
        <v>5.2</v>
      </c>
      <c r="T46" s="49">
        <v>5.5</v>
      </c>
      <c r="U46" s="77">
        <v>3.3</v>
      </c>
      <c r="V46" s="77">
        <v>3.4</v>
      </c>
      <c r="W46" s="77">
        <v>3.7</v>
      </c>
      <c r="X46" s="77">
        <v>2</v>
      </c>
      <c r="Y46" s="77">
        <v>1.5</v>
      </c>
      <c r="Z46" s="77">
        <v>7.3</v>
      </c>
      <c r="AA46" s="77">
        <v>6.1</v>
      </c>
      <c r="AB46" s="77">
        <v>21.8</v>
      </c>
      <c r="AC46" s="77">
        <v>7.4</v>
      </c>
      <c r="AD46" s="77">
        <v>9.6</v>
      </c>
      <c r="AE46" s="77">
        <v>5.7</v>
      </c>
      <c r="AF46" s="77">
        <v>1.8</v>
      </c>
      <c r="AG46" s="78">
        <v>14</v>
      </c>
      <c r="AH46" s="52">
        <f t="shared" si="2"/>
        <v>21.8</v>
      </c>
      <c r="AI46" s="53">
        <f t="shared" si="3"/>
        <v>1.5</v>
      </c>
      <c r="AK46" s="54"/>
    </row>
    <row r="47" spans="1:41" ht="15.75" thickBot="1" x14ac:dyDescent="0.3">
      <c r="A47" s="68" t="s">
        <v>54</v>
      </c>
      <c r="B47" s="69">
        <f>SUM(B44:B46)</f>
        <v>88</v>
      </c>
      <c r="C47" s="69">
        <f t="shared" ref="C47:AF47" si="8">SUM(C44:C46)</f>
        <v>55.5</v>
      </c>
      <c r="D47" s="69">
        <f t="shared" si="8"/>
        <v>50.300000000000004</v>
      </c>
      <c r="E47" s="69">
        <f t="shared" si="8"/>
        <v>82.4</v>
      </c>
      <c r="F47" s="69">
        <f t="shared" si="8"/>
        <v>42</v>
      </c>
      <c r="G47" s="69">
        <f t="shared" si="8"/>
        <v>24.2</v>
      </c>
      <c r="H47" s="69">
        <f t="shared" si="8"/>
        <v>22.999999999999996</v>
      </c>
      <c r="I47" s="69">
        <f t="shared" si="8"/>
        <v>17</v>
      </c>
      <c r="J47" s="69">
        <f t="shared" si="8"/>
        <v>34.9</v>
      </c>
      <c r="K47" s="69">
        <f t="shared" si="8"/>
        <v>34.9</v>
      </c>
      <c r="L47" s="69">
        <f t="shared" si="8"/>
        <v>51.300000000000004</v>
      </c>
      <c r="M47" s="69">
        <f t="shared" si="8"/>
        <v>52.099999999999994</v>
      </c>
      <c r="N47" s="69">
        <f t="shared" si="8"/>
        <v>52.1</v>
      </c>
      <c r="O47" s="69">
        <f t="shared" si="8"/>
        <v>56.6</v>
      </c>
      <c r="P47" s="69">
        <f t="shared" si="8"/>
        <v>74.2</v>
      </c>
      <c r="Q47" s="69">
        <f t="shared" si="8"/>
        <v>50.3</v>
      </c>
      <c r="R47" s="69">
        <f t="shared" si="8"/>
        <v>50.7</v>
      </c>
      <c r="S47" s="69">
        <f t="shared" si="8"/>
        <v>49.6</v>
      </c>
      <c r="T47" s="69">
        <f t="shared" si="8"/>
        <v>50.9</v>
      </c>
      <c r="U47" s="69">
        <f t="shared" si="8"/>
        <v>32.4</v>
      </c>
      <c r="V47" s="69">
        <f t="shared" si="8"/>
        <v>32.299999999999997</v>
      </c>
      <c r="W47" s="69">
        <f t="shared" si="8"/>
        <v>23.7</v>
      </c>
      <c r="X47" s="69">
        <f t="shared" si="8"/>
        <v>16.5</v>
      </c>
      <c r="Y47" s="69">
        <f t="shared" si="8"/>
        <v>15</v>
      </c>
      <c r="Z47" s="69">
        <f t="shared" si="8"/>
        <v>72</v>
      </c>
      <c r="AA47" s="69">
        <f t="shared" si="8"/>
        <v>72.5</v>
      </c>
      <c r="AB47" s="69">
        <f t="shared" si="8"/>
        <v>79.599999999999994</v>
      </c>
      <c r="AC47" s="69">
        <f t="shared" si="8"/>
        <v>71.600000000000009</v>
      </c>
      <c r="AD47" s="69">
        <f t="shared" si="8"/>
        <v>94.899999999999991</v>
      </c>
      <c r="AE47" s="69">
        <f t="shared" si="8"/>
        <v>51</v>
      </c>
      <c r="AF47" s="69">
        <f t="shared" si="8"/>
        <v>17.100000000000001</v>
      </c>
      <c r="AG47" s="74">
        <f>SUM(AG44:AG46)</f>
        <v>106</v>
      </c>
      <c r="AH47" s="52">
        <f t="shared" si="2"/>
        <v>94.899999999999991</v>
      </c>
      <c r="AI47" s="53">
        <f t="shared" si="3"/>
        <v>15</v>
      </c>
      <c r="AK47" s="54"/>
    </row>
    <row r="48" spans="1:41" x14ac:dyDescent="0.25">
      <c r="A48" s="55" t="s">
        <v>55</v>
      </c>
      <c r="B48" s="49">
        <v>52</v>
      </c>
      <c r="C48" s="49">
        <v>50</v>
      </c>
      <c r="D48" s="49">
        <v>42.8</v>
      </c>
      <c r="E48" s="49">
        <v>38.9</v>
      </c>
      <c r="F48" s="49">
        <v>38</v>
      </c>
      <c r="G48" s="49">
        <v>44.6</v>
      </c>
      <c r="H48" s="49">
        <v>45</v>
      </c>
      <c r="I48" s="49">
        <v>40</v>
      </c>
      <c r="J48" s="49">
        <v>39.9</v>
      </c>
      <c r="K48" s="49">
        <v>39.9</v>
      </c>
      <c r="L48" s="49">
        <v>50.7</v>
      </c>
      <c r="M48" s="49">
        <v>66.2</v>
      </c>
      <c r="N48" s="49">
        <v>64.2</v>
      </c>
      <c r="O48" s="49">
        <v>59.1</v>
      </c>
      <c r="P48" s="49">
        <v>59.5</v>
      </c>
      <c r="Q48" s="49">
        <v>48.1</v>
      </c>
      <c r="R48" s="49">
        <v>67.5</v>
      </c>
      <c r="S48" s="49">
        <v>67.5</v>
      </c>
      <c r="T48" s="49">
        <v>69</v>
      </c>
      <c r="U48" s="49">
        <v>66</v>
      </c>
      <c r="V48" s="49">
        <v>63.7</v>
      </c>
      <c r="W48" s="49">
        <v>67</v>
      </c>
      <c r="X48" s="49">
        <v>62</v>
      </c>
      <c r="Y48" s="49">
        <v>62</v>
      </c>
      <c r="Z48" s="49">
        <v>62</v>
      </c>
      <c r="AA48" s="49">
        <v>76.3</v>
      </c>
      <c r="AB48" s="49">
        <v>62.5</v>
      </c>
      <c r="AC48" s="49">
        <v>68.86</v>
      </c>
      <c r="AD48" s="49">
        <v>66.760000000000005</v>
      </c>
      <c r="AE48" s="49">
        <v>65.8</v>
      </c>
      <c r="AF48" s="49">
        <v>67.599999999999994</v>
      </c>
      <c r="AG48" s="57"/>
      <c r="AH48" s="52">
        <f t="shared" si="2"/>
        <v>76.3</v>
      </c>
      <c r="AI48" s="53">
        <f t="shared" si="3"/>
        <v>38</v>
      </c>
      <c r="AK48" s="54"/>
    </row>
    <row r="49" spans="1:37" x14ac:dyDescent="0.25">
      <c r="A49" s="58" t="s">
        <v>56</v>
      </c>
      <c r="B49" s="70">
        <v>88</v>
      </c>
      <c r="C49" s="70">
        <v>81</v>
      </c>
      <c r="D49" s="70">
        <v>82</v>
      </c>
      <c r="E49" s="70">
        <v>85</v>
      </c>
      <c r="F49" s="70">
        <f>32+51.6</f>
        <v>83.6</v>
      </c>
      <c r="G49" s="70">
        <v>78</v>
      </c>
      <c r="H49" s="70">
        <v>55.1</v>
      </c>
      <c r="I49" s="70">
        <v>46.6</v>
      </c>
      <c r="J49" s="70">
        <v>47.2</v>
      </c>
      <c r="K49" s="70">
        <v>47.2</v>
      </c>
      <c r="L49" s="49">
        <v>100</v>
      </c>
      <c r="M49" s="49">
        <v>105.8</v>
      </c>
      <c r="N49" s="49">
        <v>112</v>
      </c>
      <c r="O49" s="49">
        <v>112</v>
      </c>
      <c r="P49" s="49">
        <v>113</v>
      </c>
      <c r="Q49" s="49">
        <v>60.3</v>
      </c>
      <c r="R49" s="49">
        <v>57</v>
      </c>
      <c r="S49" s="49">
        <v>39.299999999999997</v>
      </c>
      <c r="T49" s="49">
        <v>39.200000000000003</v>
      </c>
      <c r="U49" s="79">
        <v>35.299999999999997</v>
      </c>
      <c r="V49" s="79">
        <v>36</v>
      </c>
      <c r="W49" s="79">
        <v>33</v>
      </c>
      <c r="X49" s="79">
        <v>32.700000000000003</v>
      </c>
      <c r="Y49" s="79">
        <v>39</v>
      </c>
      <c r="Z49" s="79">
        <v>42</v>
      </c>
      <c r="AA49" s="70">
        <v>75.3</v>
      </c>
      <c r="AB49" s="70">
        <v>75.5</v>
      </c>
      <c r="AC49" s="70">
        <v>71.8</v>
      </c>
      <c r="AD49" s="70">
        <v>81.8</v>
      </c>
      <c r="AE49" s="70">
        <v>59.7</v>
      </c>
      <c r="AF49" s="70">
        <v>124</v>
      </c>
      <c r="AG49" s="59"/>
      <c r="AH49" s="52">
        <f t="shared" si="2"/>
        <v>124</v>
      </c>
      <c r="AI49" s="53">
        <f t="shared" si="3"/>
        <v>32.700000000000003</v>
      </c>
      <c r="AK49" s="54"/>
    </row>
    <row r="50" spans="1:37" x14ac:dyDescent="0.25">
      <c r="A50" s="58" t="s">
        <v>57</v>
      </c>
      <c r="B50" s="70">
        <v>25</v>
      </c>
      <c r="C50" s="70">
        <v>6</v>
      </c>
      <c r="D50" s="70">
        <v>150</v>
      </c>
      <c r="E50" s="70">
        <v>120</v>
      </c>
      <c r="F50" s="70">
        <v>15</v>
      </c>
      <c r="G50" s="49">
        <v>24</v>
      </c>
      <c r="H50" s="49">
        <v>39.200000000000003</v>
      </c>
      <c r="I50" s="49">
        <v>80</v>
      </c>
      <c r="J50" s="49">
        <v>65</v>
      </c>
      <c r="K50" s="49">
        <v>65</v>
      </c>
      <c r="L50" s="70">
        <v>102</v>
      </c>
      <c r="M50" s="70">
        <v>118</v>
      </c>
      <c r="N50" s="70">
        <v>132</v>
      </c>
      <c r="O50" s="70">
        <v>115</v>
      </c>
      <c r="P50" s="70">
        <v>106</v>
      </c>
      <c r="Q50" s="70">
        <v>94</v>
      </c>
      <c r="R50" s="70">
        <v>85</v>
      </c>
      <c r="S50" s="70">
        <v>84</v>
      </c>
      <c r="T50" s="70">
        <v>86</v>
      </c>
      <c r="U50" s="80">
        <v>96</v>
      </c>
      <c r="V50" s="80">
        <v>92</v>
      </c>
      <c r="W50" s="80">
        <v>75</v>
      </c>
      <c r="X50" s="80">
        <v>90</v>
      </c>
      <c r="Y50" s="80">
        <v>176</v>
      </c>
      <c r="Z50" s="80">
        <v>190</v>
      </c>
      <c r="AA50" s="70">
        <v>179</v>
      </c>
      <c r="AB50" s="70">
        <v>188.5</v>
      </c>
      <c r="AC50" s="70">
        <v>164</v>
      </c>
      <c r="AD50" s="70">
        <v>82.7</v>
      </c>
      <c r="AE50" s="70">
        <v>94</v>
      </c>
      <c r="AF50" s="70">
        <v>5</v>
      </c>
      <c r="AG50" s="81"/>
      <c r="AH50" s="52">
        <f t="shared" si="2"/>
        <v>190</v>
      </c>
      <c r="AI50" s="53">
        <f t="shared" si="3"/>
        <v>5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10</v>
      </c>
      <c r="H51" s="82">
        <v>10</v>
      </c>
      <c r="I51" s="82">
        <v>10</v>
      </c>
      <c r="J51" s="82">
        <v>10</v>
      </c>
      <c r="K51" s="82">
        <v>10</v>
      </c>
      <c r="L51" s="70">
        <v>10</v>
      </c>
      <c r="M51" s="70">
        <v>10</v>
      </c>
      <c r="N51" s="70">
        <v>10</v>
      </c>
      <c r="O51" s="70">
        <v>10</v>
      </c>
      <c r="P51" s="70">
        <v>10</v>
      </c>
      <c r="Q51" s="70">
        <v>10</v>
      </c>
      <c r="R51" s="70">
        <v>10</v>
      </c>
      <c r="S51" s="70">
        <v>10</v>
      </c>
      <c r="T51" s="70">
        <v>10</v>
      </c>
      <c r="U51" s="70">
        <v>9</v>
      </c>
      <c r="V51" s="70">
        <v>9</v>
      </c>
      <c r="W51" s="70">
        <v>9</v>
      </c>
      <c r="X51" s="70">
        <v>9</v>
      </c>
      <c r="Y51" s="70">
        <v>10</v>
      </c>
      <c r="Z51" s="70">
        <v>11</v>
      </c>
      <c r="AA51" s="82">
        <v>11</v>
      </c>
      <c r="AB51" s="82">
        <v>11</v>
      </c>
      <c r="AC51" s="82">
        <v>11</v>
      </c>
      <c r="AD51" s="82">
        <v>13.6</v>
      </c>
      <c r="AE51" s="82">
        <v>14.4</v>
      </c>
      <c r="AF51" s="82">
        <v>14.4</v>
      </c>
      <c r="AG51" s="81"/>
      <c r="AH51" s="52">
        <f t="shared" si="2"/>
        <v>14.4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52.9</v>
      </c>
      <c r="G52" s="82">
        <v>50.6</v>
      </c>
      <c r="H52" s="82">
        <v>48.8</v>
      </c>
      <c r="I52" s="82">
        <v>49.4</v>
      </c>
      <c r="J52" s="82">
        <v>50.6</v>
      </c>
      <c r="K52" s="82">
        <v>50.6</v>
      </c>
      <c r="L52" s="49">
        <v>54.7</v>
      </c>
      <c r="M52" s="49">
        <v>55.1</v>
      </c>
      <c r="N52" s="49">
        <v>55.9</v>
      </c>
      <c r="O52" s="49">
        <v>64.7</v>
      </c>
      <c r="P52" s="49">
        <v>63.8</v>
      </c>
      <c r="Q52" s="49">
        <v>57.7</v>
      </c>
      <c r="R52" s="49">
        <v>60</v>
      </c>
      <c r="S52" s="49">
        <v>60.8</v>
      </c>
      <c r="T52" s="49">
        <v>58</v>
      </c>
      <c r="U52" s="49">
        <v>51.3</v>
      </c>
      <c r="V52" s="49">
        <v>50.4</v>
      </c>
      <c r="W52" s="49">
        <v>47</v>
      </c>
      <c r="X52" s="49">
        <v>48</v>
      </c>
      <c r="Y52" s="49">
        <v>49</v>
      </c>
      <c r="Z52" s="49">
        <v>48</v>
      </c>
      <c r="AA52" s="49">
        <v>56.2</v>
      </c>
      <c r="AB52" s="49">
        <v>58.9</v>
      </c>
      <c r="AC52" s="49">
        <v>61.2</v>
      </c>
      <c r="AD52" s="49">
        <v>70.7</v>
      </c>
      <c r="AE52" s="49">
        <v>73.5</v>
      </c>
      <c r="AF52" s="49">
        <v>67.3</v>
      </c>
      <c r="AG52" s="81"/>
      <c r="AH52" s="52">
        <f t="shared" si="2"/>
        <v>73.5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70">
        <v>0</v>
      </c>
      <c r="J53" s="70">
        <v>0</v>
      </c>
      <c r="K53" s="70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8</v>
      </c>
      <c r="S53" s="83">
        <v>8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7.5</v>
      </c>
      <c r="AB53" s="83">
        <v>7.5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8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70">
        <v>0</v>
      </c>
      <c r="J54" s="70">
        <v>0</v>
      </c>
      <c r="K54" s="70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70">
        <v>0</v>
      </c>
      <c r="J55" s="70">
        <v>0</v>
      </c>
      <c r="K55" s="70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70">
        <v>0</v>
      </c>
      <c r="J56" s="70">
        <v>0</v>
      </c>
      <c r="K56" s="70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70">
        <v>0</v>
      </c>
      <c r="J57" s="70">
        <v>0</v>
      </c>
      <c r="K57" s="70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70">
        <v>0</v>
      </c>
      <c r="J58" s="70">
        <v>0</v>
      </c>
      <c r="K58" s="70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165</v>
      </c>
      <c r="C59" s="69">
        <f t="shared" ref="C59:AF59" si="9">SUM(C48:C58)</f>
        <v>137</v>
      </c>
      <c r="D59" s="69">
        <f t="shared" si="9"/>
        <v>274.8</v>
      </c>
      <c r="E59" s="69">
        <f t="shared" si="9"/>
        <v>243.9</v>
      </c>
      <c r="F59" s="69">
        <f t="shared" si="9"/>
        <v>189.5</v>
      </c>
      <c r="G59" s="69">
        <f t="shared" si="9"/>
        <v>207.2</v>
      </c>
      <c r="H59" s="69">
        <f t="shared" si="9"/>
        <v>198.10000000000002</v>
      </c>
      <c r="I59" s="69">
        <f t="shared" si="9"/>
        <v>226</v>
      </c>
      <c r="J59" s="69">
        <f t="shared" si="9"/>
        <v>212.7</v>
      </c>
      <c r="K59" s="69">
        <f t="shared" si="9"/>
        <v>212.7</v>
      </c>
      <c r="L59" s="69">
        <f t="shared" si="9"/>
        <v>317.39999999999998</v>
      </c>
      <c r="M59" s="69">
        <f t="shared" si="9"/>
        <v>355.1</v>
      </c>
      <c r="N59" s="69">
        <f t="shared" si="9"/>
        <v>374.09999999999997</v>
      </c>
      <c r="O59" s="69">
        <f t="shared" si="9"/>
        <v>360.8</v>
      </c>
      <c r="P59" s="69">
        <f t="shared" si="9"/>
        <v>352.3</v>
      </c>
      <c r="Q59" s="69">
        <f t="shared" si="9"/>
        <v>270.10000000000002</v>
      </c>
      <c r="R59" s="69">
        <f t="shared" si="9"/>
        <v>287.5</v>
      </c>
      <c r="S59" s="69">
        <f t="shared" si="9"/>
        <v>269.60000000000002</v>
      </c>
      <c r="T59" s="69">
        <f t="shared" si="9"/>
        <v>262.2</v>
      </c>
      <c r="U59" s="69">
        <f t="shared" si="9"/>
        <v>257.60000000000002</v>
      </c>
      <c r="V59" s="69">
        <f t="shared" si="9"/>
        <v>251.1</v>
      </c>
      <c r="W59" s="69">
        <f t="shared" si="9"/>
        <v>231</v>
      </c>
      <c r="X59" s="69">
        <f t="shared" si="9"/>
        <v>241.7</v>
      </c>
      <c r="Y59" s="69">
        <f t="shared" si="9"/>
        <v>336</v>
      </c>
      <c r="Z59" s="69">
        <f t="shared" si="9"/>
        <v>353</v>
      </c>
      <c r="AA59" s="69">
        <f t="shared" si="9"/>
        <v>405.3</v>
      </c>
      <c r="AB59" s="69">
        <f t="shared" si="9"/>
        <v>403.9</v>
      </c>
      <c r="AC59" s="69">
        <f t="shared" si="9"/>
        <v>376.85999999999996</v>
      </c>
      <c r="AD59" s="69">
        <f t="shared" si="9"/>
        <v>315.56</v>
      </c>
      <c r="AE59" s="69">
        <f t="shared" si="9"/>
        <v>307.39999999999998</v>
      </c>
      <c r="AF59" s="69">
        <f t="shared" si="9"/>
        <v>278.3</v>
      </c>
      <c r="AG59" s="74">
        <f>SUM(AG48:AG58)</f>
        <v>0</v>
      </c>
      <c r="AH59" s="52">
        <f t="shared" si="2"/>
        <v>405.3</v>
      </c>
      <c r="AI59" s="53">
        <f t="shared" si="3"/>
        <v>137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10">SUM(C60:C62)</f>
        <v>0</v>
      </c>
      <c r="D63" s="69">
        <f t="shared" si="10"/>
        <v>0</v>
      </c>
      <c r="E63" s="69">
        <f t="shared" si="10"/>
        <v>0</v>
      </c>
      <c r="F63" s="69">
        <f t="shared" si="10"/>
        <v>0</v>
      </c>
      <c r="G63" s="69">
        <f t="shared" si="10"/>
        <v>0</v>
      </c>
      <c r="H63" s="69">
        <f t="shared" si="10"/>
        <v>0</v>
      </c>
      <c r="I63" s="69">
        <f t="shared" si="10"/>
        <v>0</v>
      </c>
      <c r="J63" s="69">
        <f t="shared" si="10"/>
        <v>0</v>
      </c>
      <c r="K63" s="69">
        <f t="shared" si="10"/>
        <v>0</v>
      </c>
      <c r="L63" s="69">
        <f t="shared" si="10"/>
        <v>0</v>
      </c>
      <c r="M63" s="69">
        <f t="shared" si="10"/>
        <v>0</v>
      </c>
      <c r="N63" s="69">
        <f t="shared" si="10"/>
        <v>0</v>
      </c>
      <c r="O63" s="69">
        <f t="shared" si="10"/>
        <v>0</v>
      </c>
      <c r="P63" s="69">
        <f t="shared" si="10"/>
        <v>0</v>
      </c>
      <c r="Q63" s="69">
        <f t="shared" si="10"/>
        <v>0</v>
      </c>
      <c r="R63" s="69">
        <f t="shared" si="10"/>
        <v>0</v>
      </c>
      <c r="S63" s="69">
        <f t="shared" si="10"/>
        <v>0</v>
      </c>
      <c r="T63" s="69">
        <f t="shared" si="10"/>
        <v>0</v>
      </c>
      <c r="U63" s="69">
        <f t="shared" si="10"/>
        <v>0</v>
      </c>
      <c r="V63" s="69">
        <f t="shared" si="10"/>
        <v>0</v>
      </c>
      <c r="W63" s="69">
        <f t="shared" si="10"/>
        <v>0</v>
      </c>
      <c r="X63" s="69">
        <f t="shared" si="10"/>
        <v>0</v>
      </c>
      <c r="Y63" s="69">
        <f t="shared" si="10"/>
        <v>0</v>
      </c>
      <c r="Z63" s="69">
        <f t="shared" si="10"/>
        <v>0</v>
      </c>
      <c r="AA63" s="69">
        <f t="shared" si="10"/>
        <v>0</v>
      </c>
      <c r="AB63" s="69">
        <f t="shared" si="10"/>
        <v>0</v>
      </c>
      <c r="AC63" s="69">
        <f t="shared" si="10"/>
        <v>0</v>
      </c>
      <c r="AD63" s="69">
        <f t="shared" si="10"/>
        <v>0</v>
      </c>
      <c r="AE63" s="69">
        <f t="shared" si="10"/>
        <v>0</v>
      </c>
      <c r="AF63" s="69">
        <f t="shared" si="10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>
        <v>20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20</v>
      </c>
      <c r="AI64" s="53">
        <f t="shared" si="3"/>
        <v>20</v>
      </c>
    </row>
    <row r="65" spans="1:35" ht="15.75" thickBot="1" x14ac:dyDescent="0.3">
      <c r="A65" s="90" t="s">
        <v>72</v>
      </c>
      <c r="B65" s="91">
        <f>B63+B59+B47+B43+B30+B64</f>
        <v>1005.3399999999999</v>
      </c>
      <c r="C65" s="91">
        <f t="shared" ref="C65:AF65" si="11">C63+C59+C47+C43+C30+C64</f>
        <v>992.94</v>
      </c>
      <c r="D65" s="91">
        <f t="shared" si="11"/>
        <v>965.33999999999992</v>
      </c>
      <c r="E65" s="91">
        <f t="shared" si="11"/>
        <v>939.94</v>
      </c>
      <c r="F65" s="91">
        <f t="shared" si="11"/>
        <v>960.04</v>
      </c>
      <c r="G65" s="91">
        <f t="shared" si="11"/>
        <v>968.63999999999987</v>
      </c>
      <c r="H65" s="91">
        <f t="shared" si="11"/>
        <v>960.29</v>
      </c>
      <c r="I65" s="91">
        <f t="shared" si="11"/>
        <v>980.14</v>
      </c>
      <c r="J65" s="91">
        <f t="shared" si="11"/>
        <v>983.33999999999992</v>
      </c>
      <c r="K65" s="91">
        <f t="shared" si="11"/>
        <v>983.33999999999992</v>
      </c>
      <c r="L65" s="91">
        <f t="shared" si="11"/>
        <v>1104.2399999999998</v>
      </c>
      <c r="M65" s="91">
        <f t="shared" si="11"/>
        <v>1126.24</v>
      </c>
      <c r="N65" s="91">
        <f t="shared" si="11"/>
        <v>1145.24</v>
      </c>
      <c r="O65" s="91">
        <f t="shared" si="11"/>
        <v>1133.44</v>
      </c>
      <c r="P65" s="91">
        <f t="shared" si="11"/>
        <v>1119.1399999999999</v>
      </c>
      <c r="Q65" s="91">
        <f t="shared" si="11"/>
        <v>1105.3400000000001</v>
      </c>
      <c r="R65" s="91">
        <f t="shared" si="11"/>
        <v>1125.44</v>
      </c>
      <c r="S65" s="91">
        <f t="shared" si="11"/>
        <v>1109.0400000000002</v>
      </c>
      <c r="T65" s="91">
        <f t="shared" si="11"/>
        <v>1109.04</v>
      </c>
      <c r="U65" s="91">
        <f t="shared" si="11"/>
        <v>1086.94</v>
      </c>
      <c r="V65" s="91">
        <f t="shared" si="11"/>
        <v>1081.3399999999999</v>
      </c>
      <c r="W65" s="91">
        <f t="shared" si="11"/>
        <v>1046.04</v>
      </c>
      <c r="X65" s="91">
        <f t="shared" si="11"/>
        <v>1049.54</v>
      </c>
      <c r="Y65" s="91">
        <f t="shared" si="11"/>
        <v>1142.3400000000001</v>
      </c>
      <c r="Z65" s="91">
        <f t="shared" si="11"/>
        <v>1238.74</v>
      </c>
      <c r="AA65" s="91">
        <f t="shared" si="11"/>
        <v>1282.1400000000001</v>
      </c>
      <c r="AB65" s="91">
        <f t="shared" si="11"/>
        <v>1285.74</v>
      </c>
      <c r="AC65" s="91">
        <f t="shared" si="11"/>
        <v>1251</v>
      </c>
      <c r="AD65" s="91">
        <f t="shared" si="11"/>
        <v>1211.8</v>
      </c>
      <c r="AE65" s="91">
        <f t="shared" si="11"/>
        <v>1155.8399999999999</v>
      </c>
      <c r="AF65" s="91">
        <f t="shared" si="11"/>
        <v>1082.74</v>
      </c>
      <c r="AG65" s="74">
        <f>AG63+AG59+AG47+AG43+AG30+AG64</f>
        <v>1355.5100000000002</v>
      </c>
      <c r="AH65" s="52">
        <f t="shared" si="2"/>
        <v>1285.74</v>
      </c>
      <c r="AI65" s="53">
        <f t="shared" si="3"/>
        <v>939.94</v>
      </c>
    </row>
    <row r="66" spans="1:35" x14ac:dyDescent="0.25">
      <c r="A66" s="55" t="s">
        <v>73</v>
      </c>
      <c r="B66" s="82">
        <f t="shared" ref="B66:Q66" si="12">IF(B51&lt;0,B51*-1,0)</f>
        <v>0</v>
      </c>
      <c r="C66" s="82">
        <f t="shared" si="12"/>
        <v>0</v>
      </c>
      <c r="D66" s="82">
        <f t="shared" si="12"/>
        <v>0</v>
      </c>
      <c r="E66" s="82">
        <f t="shared" si="12"/>
        <v>0</v>
      </c>
      <c r="F66" s="82">
        <f t="shared" si="12"/>
        <v>0</v>
      </c>
      <c r="G66" s="82">
        <f t="shared" si="12"/>
        <v>0</v>
      </c>
      <c r="H66" s="82">
        <f t="shared" si="12"/>
        <v>0</v>
      </c>
      <c r="I66" s="82">
        <f t="shared" si="12"/>
        <v>0</v>
      </c>
      <c r="J66" s="82">
        <f t="shared" si="12"/>
        <v>0</v>
      </c>
      <c r="K66" s="82">
        <f t="shared" si="12"/>
        <v>0</v>
      </c>
      <c r="L66" s="82">
        <f t="shared" si="12"/>
        <v>0</v>
      </c>
      <c r="M66" s="82">
        <f t="shared" si="12"/>
        <v>0</v>
      </c>
      <c r="N66" s="82">
        <f t="shared" si="12"/>
        <v>0</v>
      </c>
      <c r="O66" s="82">
        <f t="shared" si="12"/>
        <v>0</v>
      </c>
      <c r="P66" s="82">
        <f t="shared" si="12"/>
        <v>0</v>
      </c>
      <c r="Q66" s="82">
        <f t="shared" si="12"/>
        <v>0</v>
      </c>
      <c r="R66" s="82">
        <f>IF(R51&lt;0,R51*-1,0)</f>
        <v>0</v>
      </c>
      <c r="S66" s="82">
        <f t="shared" ref="S66:AF66" si="13">IF(S51&lt;0,S51*-1,0)</f>
        <v>0</v>
      </c>
      <c r="T66" s="82">
        <f t="shared" si="13"/>
        <v>0</v>
      </c>
      <c r="U66" s="82">
        <f t="shared" si="13"/>
        <v>0</v>
      </c>
      <c r="V66" s="82">
        <f t="shared" si="13"/>
        <v>0</v>
      </c>
      <c r="W66" s="82">
        <f t="shared" si="13"/>
        <v>0</v>
      </c>
      <c r="X66" s="82">
        <f t="shared" si="13"/>
        <v>0</v>
      </c>
      <c r="Y66" s="82">
        <f t="shared" si="13"/>
        <v>0</v>
      </c>
      <c r="Z66" s="82">
        <f t="shared" si="13"/>
        <v>0</v>
      </c>
      <c r="AA66" s="82">
        <f t="shared" si="13"/>
        <v>0</v>
      </c>
      <c r="AB66" s="82">
        <f t="shared" si="13"/>
        <v>0</v>
      </c>
      <c r="AC66" s="82">
        <f t="shared" si="13"/>
        <v>0</v>
      </c>
      <c r="AD66" s="82">
        <f t="shared" si="13"/>
        <v>0</v>
      </c>
      <c r="AE66" s="82">
        <f t="shared" si="13"/>
        <v>0</v>
      </c>
      <c r="AF66" s="82">
        <f t="shared" si="13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4">IF(B49&lt;0,B49*-1,0)</f>
        <v>0</v>
      </c>
      <c r="C67" s="82">
        <f t="shared" si="14"/>
        <v>0</v>
      </c>
      <c r="D67" s="82">
        <f t="shared" si="14"/>
        <v>0</v>
      </c>
      <c r="E67" s="82">
        <f t="shared" si="14"/>
        <v>0</v>
      </c>
      <c r="F67" s="82">
        <f t="shared" si="14"/>
        <v>0</v>
      </c>
      <c r="G67" s="82">
        <f t="shared" si="14"/>
        <v>0</v>
      </c>
      <c r="H67" s="82">
        <f t="shared" si="14"/>
        <v>0</v>
      </c>
      <c r="I67" s="82">
        <f t="shared" si="14"/>
        <v>0</v>
      </c>
      <c r="J67" s="82">
        <f t="shared" si="14"/>
        <v>0</v>
      </c>
      <c r="K67" s="82">
        <f t="shared" si="14"/>
        <v>0</v>
      </c>
      <c r="L67" s="82">
        <f t="shared" si="14"/>
        <v>0</v>
      </c>
      <c r="M67" s="82">
        <f t="shared" si="14"/>
        <v>0</v>
      </c>
      <c r="N67" s="82">
        <f t="shared" si="14"/>
        <v>0</v>
      </c>
      <c r="O67" s="82">
        <f t="shared" si="14"/>
        <v>0</v>
      </c>
      <c r="P67" s="82">
        <f t="shared" si="14"/>
        <v>0</v>
      </c>
      <c r="Q67" s="82">
        <f t="shared" si="14"/>
        <v>0</v>
      </c>
      <c r="R67" s="82">
        <f>IF(R49&lt;0,R49*-1,0)</f>
        <v>0</v>
      </c>
      <c r="S67" s="82">
        <f t="shared" ref="S67:AF67" si="15">IF(S49&lt;0,S49*-1,0)</f>
        <v>0</v>
      </c>
      <c r="T67" s="82">
        <f t="shared" si="15"/>
        <v>0</v>
      </c>
      <c r="U67" s="82">
        <f t="shared" si="15"/>
        <v>0</v>
      </c>
      <c r="V67" s="82">
        <f t="shared" si="15"/>
        <v>0</v>
      </c>
      <c r="W67" s="82">
        <f t="shared" si="15"/>
        <v>0</v>
      </c>
      <c r="X67" s="82">
        <f t="shared" si="15"/>
        <v>0</v>
      </c>
      <c r="Y67" s="82">
        <f t="shared" si="15"/>
        <v>0</v>
      </c>
      <c r="Z67" s="82">
        <f t="shared" si="15"/>
        <v>0</v>
      </c>
      <c r="AA67" s="82">
        <f t="shared" si="15"/>
        <v>0</v>
      </c>
      <c r="AB67" s="82">
        <f t="shared" si="15"/>
        <v>0</v>
      </c>
      <c r="AC67" s="82">
        <f t="shared" si="15"/>
        <v>0</v>
      </c>
      <c r="AD67" s="82">
        <f t="shared" si="15"/>
        <v>0</v>
      </c>
      <c r="AE67" s="82">
        <f t="shared" si="15"/>
        <v>0</v>
      </c>
      <c r="AF67" s="82">
        <f t="shared" si="15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6">IF(B52&lt;0,B52*-1,0)</f>
        <v>0</v>
      </c>
      <c r="C68" s="82">
        <f t="shared" si="16"/>
        <v>0</v>
      </c>
      <c r="D68" s="82">
        <f t="shared" si="16"/>
        <v>0</v>
      </c>
      <c r="E68" s="82">
        <f t="shared" si="16"/>
        <v>0</v>
      </c>
      <c r="F68" s="82">
        <f t="shared" si="16"/>
        <v>0</v>
      </c>
      <c r="G68" s="82">
        <f t="shared" si="16"/>
        <v>0</v>
      </c>
      <c r="H68" s="82">
        <f t="shared" si="16"/>
        <v>0</v>
      </c>
      <c r="I68" s="82">
        <f t="shared" si="16"/>
        <v>0</v>
      </c>
      <c r="J68" s="82">
        <f t="shared" si="16"/>
        <v>0</v>
      </c>
      <c r="K68" s="82">
        <f t="shared" si="16"/>
        <v>0</v>
      </c>
      <c r="L68" s="82">
        <f t="shared" si="16"/>
        <v>0</v>
      </c>
      <c r="M68" s="82">
        <f t="shared" si="16"/>
        <v>0</v>
      </c>
      <c r="N68" s="82">
        <f t="shared" si="16"/>
        <v>0</v>
      </c>
      <c r="O68" s="82">
        <f t="shared" si="16"/>
        <v>0</v>
      </c>
      <c r="P68" s="82">
        <f t="shared" si="16"/>
        <v>0</v>
      </c>
      <c r="Q68" s="82">
        <f t="shared" si="16"/>
        <v>0</v>
      </c>
      <c r="R68" s="82">
        <f>IF(R52&lt;0,R52*-1,0)</f>
        <v>0</v>
      </c>
      <c r="S68" s="82">
        <f t="shared" ref="S68:AF68" si="17">IF(S52&lt;0,S52*-1,0)</f>
        <v>0</v>
      </c>
      <c r="T68" s="82">
        <f t="shared" si="17"/>
        <v>0</v>
      </c>
      <c r="U68" s="82">
        <f t="shared" si="17"/>
        <v>0</v>
      </c>
      <c r="V68" s="82">
        <f t="shared" si="17"/>
        <v>0</v>
      </c>
      <c r="W68" s="82">
        <f t="shared" si="17"/>
        <v>0</v>
      </c>
      <c r="X68" s="82">
        <f t="shared" si="17"/>
        <v>0</v>
      </c>
      <c r="Y68" s="82">
        <f t="shared" si="17"/>
        <v>0</v>
      </c>
      <c r="Z68" s="82">
        <f t="shared" si="17"/>
        <v>0</v>
      </c>
      <c r="AA68" s="82">
        <f t="shared" si="17"/>
        <v>0</v>
      </c>
      <c r="AB68" s="82">
        <f t="shared" si="17"/>
        <v>0</v>
      </c>
      <c r="AC68" s="82">
        <f t="shared" si="17"/>
        <v>0</v>
      </c>
      <c r="AD68" s="82">
        <f t="shared" si="17"/>
        <v>0</v>
      </c>
      <c r="AE68" s="82">
        <f t="shared" si="17"/>
        <v>0</v>
      </c>
      <c r="AF68" s="82">
        <f t="shared" si="17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8">IF(C50&lt;0,C50*-1,0)</f>
        <v>0</v>
      </c>
      <c r="D69" s="82">
        <f t="shared" si="18"/>
        <v>0</v>
      </c>
      <c r="E69" s="82">
        <f t="shared" si="18"/>
        <v>0</v>
      </c>
      <c r="F69" s="82">
        <f t="shared" si="18"/>
        <v>0</v>
      </c>
      <c r="G69" s="82">
        <f t="shared" si="18"/>
        <v>0</v>
      </c>
      <c r="H69" s="82">
        <f t="shared" si="18"/>
        <v>0</v>
      </c>
      <c r="I69" s="82">
        <f t="shared" si="18"/>
        <v>0</v>
      </c>
      <c r="J69" s="82">
        <f t="shared" si="18"/>
        <v>0</v>
      </c>
      <c r="K69" s="82">
        <f t="shared" si="18"/>
        <v>0</v>
      </c>
      <c r="L69" s="82">
        <f t="shared" si="18"/>
        <v>0</v>
      </c>
      <c r="M69" s="82">
        <f t="shared" si="18"/>
        <v>0</v>
      </c>
      <c r="N69" s="82">
        <f t="shared" si="18"/>
        <v>0</v>
      </c>
      <c r="O69" s="82">
        <f t="shared" si="18"/>
        <v>0</v>
      </c>
      <c r="P69" s="82">
        <f t="shared" si="18"/>
        <v>0</v>
      </c>
      <c r="Q69" s="82">
        <f t="shared" si="18"/>
        <v>0</v>
      </c>
      <c r="R69" s="82">
        <f t="shared" si="18"/>
        <v>0</v>
      </c>
      <c r="S69" s="82">
        <f t="shared" si="18"/>
        <v>0</v>
      </c>
      <c r="T69" s="82">
        <f t="shared" si="18"/>
        <v>0</v>
      </c>
      <c r="U69" s="82">
        <f t="shared" si="18"/>
        <v>0</v>
      </c>
      <c r="V69" s="82">
        <f t="shared" si="18"/>
        <v>0</v>
      </c>
      <c r="W69" s="82">
        <f t="shared" si="18"/>
        <v>0</v>
      </c>
      <c r="X69" s="82">
        <f t="shared" si="18"/>
        <v>0</v>
      </c>
      <c r="Y69" s="82">
        <f t="shared" si="18"/>
        <v>0</v>
      </c>
      <c r="Z69" s="82">
        <f t="shared" si="18"/>
        <v>0</v>
      </c>
      <c r="AA69" s="82">
        <f t="shared" si="18"/>
        <v>0</v>
      </c>
      <c r="AB69" s="82">
        <f t="shared" si="18"/>
        <v>0</v>
      </c>
      <c r="AC69" s="82">
        <f t="shared" si="18"/>
        <v>0</v>
      </c>
      <c r="AD69" s="82">
        <f t="shared" si="18"/>
        <v>0</v>
      </c>
      <c r="AE69" s="82">
        <f t="shared" si="18"/>
        <v>0</v>
      </c>
      <c r="AF69" s="82">
        <f t="shared" si="18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9">SUM(C66:C70)</f>
        <v>0</v>
      </c>
      <c r="D71" s="69">
        <f t="shared" si="19"/>
        <v>0</v>
      </c>
      <c r="E71" s="69">
        <f t="shared" si="19"/>
        <v>0</v>
      </c>
      <c r="F71" s="69">
        <f t="shared" si="19"/>
        <v>0</v>
      </c>
      <c r="G71" s="69">
        <f t="shared" si="19"/>
        <v>0</v>
      </c>
      <c r="H71" s="69">
        <f t="shared" si="19"/>
        <v>0</v>
      </c>
      <c r="I71" s="69">
        <f t="shared" si="19"/>
        <v>0</v>
      </c>
      <c r="J71" s="69">
        <f t="shared" si="19"/>
        <v>0</v>
      </c>
      <c r="K71" s="69">
        <f t="shared" si="19"/>
        <v>0</v>
      </c>
      <c r="L71" s="69">
        <f t="shared" si="19"/>
        <v>0</v>
      </c>
      <c r="M71" s="69">
        <f t="shared" si="19"/>
        <v>0</v>
      </c>
      <c r="N71" s="69">
        <f t="shared" si="19"/>
        <v>0</v>
      </c>
      <c r="O71" s="69">
        <f t="shared" si="19"/>
        <v>0</v>
      </c>
      <c r="P71" s="69">
        <f t="shared" si="19"/>
        <v>0</v>
      </c>
      <c r="Q71" s="69">
        <f t="shared" si="19"/>
        <v>0</v>
      </c>
      <c r="R71" s="69">
        <f t="shared" si="19"/>
        <v>0</v>
      </c>
      <c r="S71" s="69">
        <f t="shared" si="19"/>
        <v>0</v>
      </c>
      <c r="T71" s="69">
        <f t="shared" si="19"/>
        <v>0</v>
      </c>
      <c r="U71" s="69">
        <f t="shared" si="19"/>
        <v>0</v>
      </c>
      <c r="V71" s="69">
        <f t="shared" si="19"/>
        <v>0</v>
      </c>
      <c r="W71" s="69">
        <f t="shared" si="19"/>
        <v>0</v>
      </c>
      <c r="X71" s="69">
        <f t="shared" si="19"/>
        <v>0</v>
      </c>
      <c r="Y71" s="69">
        <f t="shared" si="19"/>
        <v>0</v>
      </c>
      <c r="Z71" s="69">
        <f t="shared" si="19"/>
        <v>0</v>
      </c>
      <c r="AA71" s="69">
        <f t="shared" si="19"/>
        <v>0</v>
      </c>
      <c r="AB71" s="69">
        <f t="shared" si="19"/>
        <v>0</v>
      </c>
      <c r="AC71" s="69">
        <f t="shared" si="19"/>
        <v>0</v>
      </c>
      <c r="AD71" s="69">
        <f t="shared" si="19"/>
        <v>0</v>
      </c>
      <c r="AE71" s="69">
        <f t="shared" si="19"/>
        <v>0</v>
      </c>
      <c r="AF71" s="69">
        <f t="shared" si="19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50.03</v>
      </c>
      <c r="C72" s="94">
        <v>49.96</v>
      </c>
      <c r="D72" s="94">
        <v>49.853000000000002</v>
      </c>
      <c r="E72" s="94">
        <v>49.978999999999999</v>
      </c>
      <c r="F72" s="94">
        <v>49.926000000000002</v>
      </c>
      <c r="G72" s="94">
        <v>50.012999999999998</v>
      </c>
      <c r="H72" s="94">
        <v>50.052999999999997</v>
      </c>
      <c r="I72" s="94">
        <v>50.05</v>
      </c>
      <c r="J72" s="94">
        <v>50.033000000000001</v>
      </c>
      <c r="K72" s="94">
        <v>50.033000000000001</v>
      </c>
      <c r="L72" s="94">
        <v>49.94</v>
      </c>
      <c r="M72" s="94">
        <v>50</v>
      </c>
      <c r="N72" s="94">
        <v>50.05</v>
      </c>
      <c r="O72" s="94">
        <v>50.01</v>
      </c>
      <c r="P72" s="94">
        <v>50</v>
      </c>
      <c r="Q72" s="95">
        <v>49.95</v>
      </c>
      <c r="R72" s="94">
        <v>49.933</v>
      </c>
      <c r="S72" s="94">
        <v>50.006</v>
      </c>
      <c r="T72" s="94">
        <v>49.978999999999999</v>
      </c>
      <c r="U72" s="94">
        <v>50.034999999999997</v>
      </c>
      <c r="V72" s="94">
        <v>49.970999999999997</v>
      </c>
      <c r="W72" s="94">
        <v>49.859000000000002</v>
      </c>
      <c r="X72" s="94">
        <v>49.938000000000002</v>
      </c>
      <c r="Y72" s="94">
        <v>49.933</v>
      </c>
      <c r="Z72" s="94">
        <v>49.779000000000003</v>
      </c>
      <c r="AA72" s="94">
        <v>49.893000000000001</v>
      </c>
      <c r="AB72" s="94">
        <v>49.935000000000002</v>
      </c>
      <c r="AC72" s="94">
        <v>49.902999999999999</v>
      </c>
      <c r="AD72" s="94">
        <v>49.972999999999999</v>
      </c>
      <c r="AE72" s="94">
        <v>50.000999999999998</v>
      </c>
      <c r="AF72" s="96">
        <v>50.037999999999997</v>
      </c>
      <c r="AG72" s="97"/>
      <c r="AH72" s="52">
        <f t="shared" si="2"/>
        <v>50.052999999999997</v>
      </c>
      <c r="AI72" s="53">
        <f t="shared" si="3"/>
        <v>49.779000000000003</v>
      </c>
    </row>
    <row r="73" spans="1:35" x14ac:dyDescent="0.25">
      <c r="A73" s="98" t="s">
        <v>80</v>
      </c>
      <c r="B73" s="70">
        <v>126</v>
      </c>
      <c r="C73" s="70">
        <v>126</v>
      </c>
      <c r="D73" s="70">
        <v>127.5</v>
      </c>
      <c r="E73" s="70">
        <v>128.5</v>
      </c>
      <c r="F73" s="70">
        <v>129.5</v>
      </c>
      <c r="G73" s="70">
        <v>129.4</v>
      </c>
      <c r="H73" s="70">
        <v>129.19999999999999</v>
      </c>
      <c r="I73" s="70">
        <v>128.30000000000001</v>
      </c>
      <c r="J73" s="70">
        <v>127.6</v>
      </c>
      <c r="K73" s="70">
        <v>127.6</v>
      </c>
      <c r="L73" s="70">
        <v>126.5</v>
      </c>
      <c r="M73" s="70">
        <v>124.7</v>
      </c>
      <c r="N73" s="70">
        <v>125.3</v>
      </c>
      <c r="O73" s="70">
        <v>126.3</v>
      </c>
      <c r="P73" s="70">
        <v>126.4</v>
      </c>
      <c r="Q73" s="99">
        <v>127</v>
      </c>
      <c r="R73" s="99">
        <v>126.4</v>
      </c>
      <c r="S73" s="99">
        <v>126.4</v>
      </c>
      <c r="T73" s="99">
        <v>127.3</v>
      </c>
      <c r="U73" s="99">
        <v>128.30000000000001</v>
      </c>
      <c r="V73" s="99">
        <v>128.30000000000001</v>
      </c>
      <c r="W73" s="99">
        <v>128.30000000000001</v>
      </c>
      <c r="X73" s="99">
        <v>127.8</v>
      </c>
      <c r="Y73" s="99">
        <v>127.8</v>
      </c>
      <c r="Z73" s="99">
        <v>127.8</v>
      </c>
      <c r="AA73" s="70">
        <v>127.5</v>
      </c>
      <c r="AB73" s="70">
        <v>127.5</v>
      </c>
      <c r="AC73" s="70">
        <v>127.4</v>
      </c>
      <c r="AD73" s="70">
        <v>127.8</v>
      </c>
      <c r="AE73" s="70">
        <v>127.4</v>
      </c>
      <c r="AF73" s="100">
        <v>127</v>
      </c>
      <c r="AG73" s="101"/>
      <c r="AH73" s="52">
        <f t="shared" si="2"/>
        <v>129.5</v>
      </c>
      <c r="AI73" s="53">
        <f t="shared" si="3"/>
        <v>124.7</v>
      </c>
    </row>
    <row r="74" spans="1:35" x14ac:dyDescent="0.25">
      <c r="A74" s="98" t="s">
        <v>81</v>
      </c>
      <c r="B74" s="70">
        <v>129.5</v>
      </c>
      <c r="C74" s="70">
        <v>130</v>
      </c>
      <c r="D74" s="70">
        <v>130.9</v>
      </c>
      <c r="E74" s="70">
        <v>132.1</v>
      </c>
      <c r="F74" s="70">
        <v>132.5</v>
      </c>
      <c r="G74" s="70">
        <v>67.5</v>
      </c>
      <c r="H74" s="70">
        <v>131.69999999999999</v>
      </c>
      <c r="I74" s="70">
        <v>130.6</v>
      </c>
      <c r="J74" s="70">
        <v>129.9</v>
      </c>
      <c r="K74" s="70">
        <v>129.9</v>
      </c>
      <c r="L74" s="70">
        <v>128.5</v>
      </c>
      <c r="M74" s="70">
        <v>127.4</v>
      </c>
      <c r="N74" s="70">
        <v>127.8</v>
      </c>
      <c r="O74" s="70">
        <v>128.6</v>
      </c>
      <c r="P74" s="70">
        <v>128.80000000000001</v>
      </c>
      <c r="Q74" s="99">
        <v>129.19999999999999</v>
      </c>
      <c r="R74" s="99">
        <v>128.69999999999999</v>
      </c>
      <c r="S74" s="99">
        <v>128.69999999999999</v>
      </c>
      <c r="T74" s="99">
        <v>129.4</v>
      </c>
      <c r="U74" s="99">
        <v>130.19999999999999</v>
      </c>
      <c r="V74" s="99">
        <v>130.19999999999999</v>
      </c>
      <c r="W74" s="99">
        <v>130.19999999999999</v>
      </c>
      <c r="X74" s="99">
        <v>129.80000000000001</v>
      </c>
      <c r="Y74" s="99">
        <v>129.80000000000001</v>
      </c>
      <c r="Z74" s="99">
        <v>129.9</v>
      </c>
      <c r="AA74" s="70">
        <v>129.4</v>
      </c>
      <c r="AB74" s="70">
        <v>129.69999999999999</v>
      </c>
      <c r="AC74" s="70">
        <v>129.69999999999999</v>
      </c>
      <c r="AD74" s="70">
        <v>130.6</v>
      </c>
      <c r="AE74" s="70">
        <v>130.4</v>
      </c>
      <c r="AF74" s="100">
        <v>130.19999999999999</v>
      </c>
      <c r="AG74" s="101"/>
      <c r="AH74" s="52">
        <f t="shared" si="2"/>
        <v>132.5</v>
      </c>
      <c r="AI74" s="53">
        <f t="shared" si="3"/>
        <v>67.5</v>
      </c>
    </row>
    <row r="75" spans="1:35" x14ac:dyDescent="0.25">
      <c r="A75" s="98" t="s">
        <v>82</v>
      </c>
      <c r="B75" s="70">
        <v>128</v>
      </c>
      <c r="C75" s="70">
        <v>129</v>
      </c>
      <c r="D75" s="70">
        <v>129.30000000000001</v>
      </c>
      <c r="E75" s="70">
        <v>129.9</v>
      </c>
      <c r="F75" s="70">
        <v>130.69999999999999</v>
      </c>
      <c r="G75" s="70">
        <v>129.6</v>
      </c>
      <c r="H75" s="70">
        <v>130.69999999999999</v>
      </c>
      <c r="I75" s="70">
        <v>129.5</v>
      </c>
      <c r="J75" s="70">
        <v>128.5</v>
      </c>
      <c r="K75" s="70">
        <v>128.5</v>
      </c>
      <c r="L75" s="70">
        <v>129.4</v>
      </c>
      <c r="M75" s="70">
        <v>127.5</v>
      </c>
      <c r="N75" s="70">
        <v>127.3</v>
      </c>
      <c r="O75" s="70">
        <v>127.9</v>
      </c>
      <c r="P75" s="70">
        <v>127.2</v>
      </c>
      <c r="Q75" s="70">
        <v>128.6</v>
      </c>
      <c r="R75" s="70">
        <v>128.9</v>
      </c>
      <c r="S75" s="70">
        <v>128.9</v>
      </c>
      <c r="T75" s="99">
        <v>129</v>
      </c>
      <c r="U75" s="99">
        <v>130.4</v>
      </c>
      <c r="V75" s="99">
        <v>130.4</v>
      </c>
      <c r="W75" s="99">
        <v>130.4</v>
      </c>
      <c r="X75" s="99">
        <v>129.5</v>
      </c>
      <c r="Y75" s="99">
        <v>129.5</v>
      </c>
      <c r="Z75" s="99">
        <v>129.5</v>
      </c>
      <c r="AA75" s="70">
        <v>125.9</v>
      </c>
      <c r="AB75" s="70">
        <v>125.9</v>
      </c>
      <c r="AC75" s="70">
        <v>125.5</v>
      </c>
      <c r="AD75" s="70">
        <v>127.6</v>
      </c>
      <c r="AE75" s="70">
        <v>127.7</v>
      </c>
      <c r="AF75" s="100">
        <v>126.6</v>
      </c>
      <c r="AG75" s="101"/>
      <c r="AH75" s="52">
        <f t="shared" si="2"/>
        <v>130.69999999999999</v>
      </c>
      <c r="AI75" s="53">
        <f t="shared" si="3"/>
        <v>125.5</v>
      </c>
    </row>
    <row r="76" spans="1:35" x14ac:dyDescent="0.25">
      <c r="A76" s="102" t="s">
        <v>83</v>
      </c>
      <c r="B76" s="70">
        <v>132</v>
      </c>
      <c r="C76" s="70">
        <v>133</v>
      </c>
      <c r="D76" s="70">
        <v>131.80000000000001</v>
      </c>
      <c r="E76" s="70">
        <v>132.5</v>
      </c>
      <c r="F76" s="70">
        <v>133.19999999999999</v>
      </c>
      <c r="G76" s="70">
        <v>131.80000000000001</v>
      </c>
      <c r="H76" s="70">
        <v>132.4</v>
      </c>
      <c r="I76" s="70">
        <v>131</v>
      </c>
      <c r="J76" s="70">
        <v>130.30000000000001</v>
      </c>
      <c r="K76" s="70">
        <v>130.30000000000001</v>
      </c>
      <c r="L76" s="70">
        <v>130.9</v>
      </c>
      <c r="M76" s="70">
        <v>129.69999999999999</v>
      </c>
      <c r="N76" s="70">
        <v>129.6</v>
      </c>
      <c r="O76" s="70">
        <v>131.9</v>
      </c>
      <c r="P76" s="70">
        <v>130.4</v>
      </c>
      <c r="Q76" s="70">
        <v>132</v>
      </c>
      <c r="R76" s="70">
        <v>131.6</v>
      </c>
      <c r="S76" s="70">
        <v>131.6</v>
      </c>
      <c r="T76" s="99">
        <v>131.69999999999999</v>
      </c>
      <c r="U76" s="99">
        <v>132.69999999999999</v>
      </c>
      <c r="V76" s="99">
        <v>132.69999999999999</v>
      </c>
      <c r="W76" s="99">
        <v>132.69999999999999</v>
      </c>
      <c r="X76" s="99">
        <v>130.80000000000001</v>
      </c>
      <c r="Y76" s="99">
        <v>130.80000000000001</v>
      </c>
      <c r="Z76" s="99">
        <v>130.80000000000001</v>
      </c>
      <c r="AA76" s="70">
        <v>128.80000000000001</v>
      </c>
      <c r="AB76" s="70">
        <v>129.19999999999999</v>
      </c>
      <c r="AC76" s="70">
        <v>129</v>
      </c>
      <c r="AD76" s="70">
        <v>131.80000000000001</v>
      </c>
      <c r="AE76" s="70">
        <v>130.30000000000001</v>
      </c>
      <c r="AF76" s="100">
        <v>131.5</v>
      </c>
      <c r="AG76" s="101"/>
      <c r="AH76" s="52">
        <f t="shared" si="2"/>
        <v>133.19999999999999</v>
      </c>
      <c r="AI76" s="53">
        <f t="shared" si="3"/>
        <v>128.80000000000001</v>
      </c>
    </row>
    <row r="77" spans="1:35" x14ac:dyDescent="0.25">
      <c r="A77" s="102" t="s">
        <v>84</v>
      </c>
      <c r="B77" s="103">
        <v>132</v>
      </c>
      <c r="C77" s="103">
        <v>135</v>
      </c>
      <c r="D77" s="103">
        <v>136.4</v>
      </c>
      <c r="E77" s="103">
        <v>135.5</v>
      </c>
      <c r="F77" s="103">
        <v>134</v>
      </c>
      <c r="G77" s="103">
        <v>131.69999999999999</v>
      </c>
      <c r="H77" s="103">
        <v>136.19999999999999</v>
      </c>
      <c r="I77" s="103">
        <v>134.69999999999999</v>
      </c>
      <c r="J77" s="103">
        <v>135.30000000000001</v>
      </c>
      <c r="K77" s="103">
        <v>135.30000000000001</v>
      </c>
      <c r="L77" s="103">
        <v>134.1</v>
      </c>
      <c r="M77" s="103">
        <v>130</v>
      </c>
      <c r="N77" s="103">
        <v>130</v>
      </c>
      <c r="O77" s="103">
        <v>128.19999999999999</v>
      </c>
      <c r="P77" s="103">
        <v>130</v>
      </c>
      <c r="Q77" s="103">
        <v>133.30000000000001</v>
      </c>
      <c r="R77" s="103">
        <v>132.30000000000001</v>
      </c>
      <c r="S77" s="103">
        <v>132.30000000000001</v>
      </c>
      <c r="T77" s="99">
        <v>135.19999999999999</v>
      </c>
      <c r="U77" s="99">
        <v>134.6</v>
      </c>
      <c r="V77" s="99">
        <v>134.6</v>
      </c>
      <c r="W77" s="99">
        <v>134.6</v>
      </c>
      <c r="X77" s="99">
        <v>134</v>
      </c>
      <c r="Y77" s="99">
        <v>134</v>
      </c>
      <c r="Z77" s="99">
        <v>134</v>
      </c>
      <c r="AA77" s="103">
        <v>132.80000000000001</v>
      </c>
      <c r="AB77" s="103">
        <v>97.1</v>
      </c>
      <c r="AC77" s="103">
        <v>131.19999999999999</v>
      </c>
      <c r="AD77" s="103">
        <v>129.5</v>
      </c>
      <c r="AE77" s="103">
        <v>96.9</v>
      </c>
      <c r="AF77" s="104">
        <v>132.9</v>
      </c>
      <c r="AG77" s="105"/>
      <c r="AH77" s="52">
        <f t="shared" si="2"/>
        <v>136.4</v>
      </c>
      <c r="AI77" s="53">
        <f t="shared" si="3"/>
        <v>96.9</v>
      </c>
    </row>
    <row r="78" spans="1:35" x14ac:dyDescent="0.25">
      <c r="A78" s="98" t="s">
        <v>85</v>
      </c>
      <c r="B78" s="70">
        <v>134</v>
      </c>
      <c r="C78" s="70">
        <v>135</v>
      </c>
      <c r="D78" s="70">
        <v>137.9</v>
      </c>
      <c r="E78" s="70">
        <v>139.4</v>
      </c>
      <c r="F78" s="70">
        <v>139.4</v>
      </c>
      <c r="G78" s="70">
        <v>132.30000000000001</v>
      </c>
      <c r="H78" s="70">
        <v>130.9</v>
      </c>
      <c r="I78" s="70">
        <v>132.19999999999999</v>
      </c>
      <c r="J78" s="70">
        <v>132.6</v>
      </c>
      <c r="K78" s="70">
        <v>132.6</v>
      </c>
      <c r="L78" s="70">
        <v>124.5</v>
      </c>
      <c r="M78" s="70">
        <v>123.2</v>
      </c>
      <c r="N78" s="70">
        <v>124</v>
      </c>
      <c r="O78" s="70">
        <v>131</v>
      </c>
      <c r="P78" s="70">
        <v>130.6</v>
      </c>
      <c r="Q78" s="70">
        <v>138</v>
      </c>
      <c r="R78" s="70">
        <v>126.2</v>
      </c>
      <c r="S78" s="70">
        <v>126.2</v>
      </c>
      <c r="T78" s="99">
        <v>126.4</v>
      </c>
      <c r="U78" s="99">
        <v>128.4</v>
      </c>
      <c r="V78" s="99">
        <v>128.4</v>
      </c>
      <c r="W78" s="99">
        <v>128.4</v>
      </c>
      <c r="X78" s="99">
        <v>133.6</v>
      </c>
      <c r="Y78" s="99">
        <v>133.6</v>
      </c>
      <c r="Z78" s="99">
        <v>133.6</v>
      </c>
      <c r="AA78" s="70">
        <v>129.80000000000001</v>
      </c>
      <c r="AB78" s="70">
        <v>129.69999999999999</v>
      </c>
      <c r="AC78" s="70">
        <v>124.6</v>
      </c>
      <c r="AD78" s="70">
        <v>125.1</v>
      </c>
      <c r="AE78" s="70">
        <v>128.30000000000001</v>
      </c>
      <c r="AF78" s="100">
        <v>129.1</v>
      </c>
      <c r="AG78" s="101"/>
      <c r="AH78" s="52">
        <f>MAX(B78:AF78)</f>
        <v>139.4</v>
      </c>
      <c r="AI78" s="53">
        <f>MIN(B78:AF78)</f>
        <v>123.2</v>
      </c>
    </row>
    <row r="79" spans="1:35" ht="15.75" thickBot="1" x14ac:dyDescent="0.3">
      <c r="A79" s="98" t="s">
        <v>86</v>
      </c>
      <c r="B79" s="106">
        <v>66.400000000000006</v>
      </c>
      <c r="C79" s="106">
        <v>66.599999999999994</v>
      </c>
      <c r="D79" s="106">
        <v>66.900000000000006</v>
      </c>
      <c r="E79" s="106">
        <v>67.599999999999994</v>
      </c>
      <c r="F79" s="106">
        <v>67.8</v>
      </c>
      <c r="G79" s="106">
        <v>67.5</v>
      </c>
      <c r="H79" s="106">
        <v>67.2</v>
      </c>
      <c r="I79" s="106">
        <v>66.7</v>
      </c>
      <c r="J79" s="106">
        <v>66.2</v>
      </c>
      <c r="K79" s="106">
        <v>66.2</v>
      </c>
      <c r="L79" s="106">
        <v>65.5</v>
      </c>
      <c r="M79" s="106">
        <v>65.5</v>
      </c>
      <c r="N79" s="106">
        <v>0</v>
      </c>
      <c r="O79" s="106">
        <v>0</v>
      </c>
      <c r="P79" s="106">
        <v>0</v>
      </c>
      <c r="Q79" s="106">
        <v>0</v>
      </c>
      <c r="R79" s="106" t="s">
        <v>205</v>
      </c>
      <c r="S79" s="106" t="s">
        <v>205</v>
      </c>
      <c r="T79" s="106" t="s">
        <v>205</v>
      </c>
      <c r="U79" s="106" t="s">
        <v>205</v>
      </c>
      <c r="V79" s="106">
        <v>66.3</v>
      </c>
      <c r="W79" s="106">
        <v>66.3</v>
      </c>
      <c r="X79" s="106">
        <v>66.5</v>
      </c>
      <c r="Y79" s="106">
        <v>66.5</v>
      </c>
      <c r="Z79" s="106">
        <v>66.5</v>
      </c>
      <c r="AA79" s="106">
        <v>66</v>
      </c>
      <c r="AB79" s="106">
        <v>66.2</v>
      </c>
      <c r="AC79" s="106">
        <v>66.3</v>
      </c>
      <c r="AD79" s="106">
        <v>66.7</v>
      </c>
      <c r="AE79" s="106">
        <v>66.8</v>
      </c>
      <c r="AF79" s="107">
        <v>66.7</v>
      </c>
      <c r="AG79" s="108"/>
      <c r="AH79" s="52">
        <f>MAX(B79:AF79)</f>
        <v>67.8</v>
      </c>
      <c r="AI79" s="53">
        <f>MIN(B79:AF79)</f>
        <v>0</v>
      </c>
    </row>
    <row r="80" spans="1:35" x14ac:dyDescent="0.25">
      <c r="A80" s="109" t="s">
        <v>87</v>
      </c>
      <c r="B80" s="110">
        <f t="shared" ref="B80:AF80" si="20">SUMIF(B48:B57,"&gt;0")</f>
        <v>165</v>
      </c>
      <c r="C80" s="110">
        <f t="shared" si="20"/>
        <v>137</v>
      </c>
      <c r="D80" s="110">
        <f t="shared" si="20"/>
        <v>274.8</v>
      </c>
      <c r="E80" s="110">
        <f t="shared" si="20"/>
        <v>243.9</v>
      </c>
      <c r="F80" s="110">
        <f t="shared" si="20"/>
        <v>189.5</v>
      </c>
      <c r="G80" s="110">
        <f t="shared" si="20"/>
        <v>207.2</v>
      </c>
      <c r="H80" s="110">
        <f t="shared" si="20"/>
        <v>198.10000000000002</v>
      </c>
      <c r="I80" s="110">
        <f t="shared" si="20"/>
        <v>226</v>
      </c>
      <c r="J80" s="110">
        <f t="shared" si="20"/>
        <v>212.7</v>
      </c>
      <c r="K80" s="110">
        <f t="shared" si="20"/>
        <v>212.7</v>
      </c>
      <c r="L80" s="110">
        <f t="shared" si="20"/>
        <v>317.39999999999998</v>
      </c>
      <c r="M80" s="110">
        <f t="shared" si="20"/>
        <v>355.1</v>
      </c>
      <c r="N80" s="110">
        <f t="shared" si="20"/>
        <v>374.09999999999997</v>
      </c>
      <c r="O80" s="110">
        <f t="shared" si="20"/>
        <v>360.8</v>
      </c>
      <c r="P80" s="110">
        <f t="shared" si="20"/>
        <v>352.3</v>
      </c>
      <c r="Q80" s="110">
        <f t="shared" si="20"/>
        <v>270.10000000000002</v>
      </c>
      <c r="R80" s="110">
        <f t="shared" si="20"/>
        <v>287.5</v>
      </c>
      <c r="S80" s="110">
        <f t="shared" si="20"/>
        <v>269.60000000000002</v>
      </c>
      <c r="T80" s="110">
        <f t="shared" si="20"/>
        <v>262.2</v>
      </c>
      <c r="U80" s="110">
        <f t="shared" si="20"/>
        <v>257.60000000000002</v>
      </c>
      <c r="V80" s="110">
        <f t="shared" si="20"/>
        <v>251.1</v>
      </c>
      <c r="W80" s="110">
        <f t="shared" si="20"/>
        <v>231</v>
      </c>
      <c r="X80" s="110">
        <f t="shared" si="20"/>
        <v>241.7</v>
      </c>
      <c r="Y80" s="110">
        <f t="shared" si="20"/>
        <v>336</v>
      </c>
      <c r="Z80" s="110">
        <f t="shared" si="20"/>
        <v>353</v>
      </c>
      <c r="AA80" s="110">
        <f t="shared" si="20"/>
        <v>405.3</v>
      </c>
      <c r="AB80" s="110">
        <f t="shared" si="20"/>
        <v>403.9</v>
      </c>
      <c r="AC80" s="110">
        <f t="shared" si="20"/>
        <v>376.85999999999996</v>
      </c>
      <c r="AD80" s="110">
        <f t="shared" si="20"/>
        <v>315.56</v>
      </c>
      <c r="AE80" s="110">
        <f t="shared" si="20"/>
        <v>307.39999999999998</v>
      </c>
      <c r="AF80" s="110">
        <f t="shared" si="20"/>
        <v>278.3</v>
      </c>
      <c r="AG80" s="111"/>
      <c r="AH80" s="52">
        <f>MAX(B80:AF80)</f>
        <v>405.3</v>
      </c>
      <c r="AI80" s="53">
        <f>MIN(B80:AF80)</f>
        <v>137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123.61999999999995</v>
      </c>
      <c r="C82" s="115">
        <f t="shared" ref="C82:AF82" si="21">C11+C13+C17+C34+C36+C38+C40+C94+C108+C110+C121+C127+C130+C139+C143+C144+C147+C154+C159+C162+C163+C164+C172+C177+C83+C84+C85+C86+C99</f>
        <v>123.21999999999997</v>
      </c>
      <c r="D82" s="115">
        <f t="shared" si="21"/>
        <v>143.81999999999996</v>
      </c>
      <c r="E82" s="115">
        <f t="shared" si="21"/>
        <v>133.11999999999998</v>
      </c>
      <c r="F82" s="115">
        <f t="shared" si="21"/>
        <v>146.91999999999996</v>
      </c>
      <c r="G82" s="115">
        <f t="shared" si="21"/>
        <v>162.62</v>
      </c>
      <c r="H82" s="115">
        <f t="shared" si="21"/>
        <v>182.47</v>
      </c>
      <c r="I82" s="115">
        <f t="shared" si="21"/>
        <v>190.81999999999996</v>
      </c>
      <c r="J82" s="115">
        <f t="shared" si="21"/>
        <v>208.72000000000003</v>
      </c>
      <c r="K82" s="115">
        <f t="shared" si="21"/>
        <v>208.72000000000003</v>
      </c>
      <c r="L82" s="115">
        <f t="shared" si="21"/>
        <v>237.01999999999995</v>
      </c>
      <c r="M82" s="115">
        <f t="shared" si="21"/>
        <v>228.61999999999998</v>
      </c>
      <c r="N82" s="115">
        <f t="shared" si="21"/>
        <v>228.12</v>
      </c>
      <c r="O82" s="115">
        <f t="shared" si="21"/>
        <v>198.72</v>
      </c>
      <c r="P82" s="115">
        <f t="shared" si="21"/>
        <v>200.01999999999998</v>
      </c>
      <c r="Q82" s="115">
        <f t="shared" si="21"/>
        <v>193.72</v>
      </c>
      <c r="R82" s="115">
        <f t="shared" si="21"/>
        <v>200.72</v>
      </c>
      <c r="S82" s="115">
        <f t="shared" ref="S82:Z82" si="22">S11+S13+S17+S34+S36+S38+S40+S94+S108+S110+S121+S127+S130+S139+S143+S144+S147+S154+S159+S162+S163+S164+S172+S177+S83+S84+S85+S86+S99</f>
        <v>303.02</v>
      </c>
      <c r="T82" s="115">
        <f t="shared" si="22"/>
        <v>208.61999999999998</v>
      </c>
      <c r="U82" s="115">
        <f t="shared" si="22"/>
        <v>206.72</v>
      </c>
      <c r="V82" s="115">
        <f t="shared" si="22"/>
        <v>208.72</v>
      </c>
      <c r="W82" s="115">
        <f t="shared" si="22"/>
        <v>211.11999999999998</v>
      </c>
      <c r="X82" s="115">
        <f t="shared" si="22"/>
        <v>220.92</v>
      </c>
      <c r="Y82" s="115">
        <f t="shared" si="22"/>
        <v>264.91999999999996</v>
      </c>
      <c r="Z82" s="115">
        <f t="shared" si="22"/>
        <v>286.32</v>
      </c>
      <c r="AA82" s="115">
        <f t="shared" si="21"/>
        <v>269.41999999999996</v>
      </c>
      <c r="AB82" s="115">
        <f t="shared" si="21"/>
        <v>249.01999999999998</v>
      </c>
      <c r="AC82" s="115">
        <f t="shared" si="21"/>
        <v>232.82</v>
      </c>
      <c r="AD82" s="115">
        <f t="shared" si="21"/>
        <v>172.91999999999996</v>
      </c>
      <c r="AE82" s="115">
        <f t="shared" si="21"/>
        <v>149.72</v>
      </c>
      <c r="AF82" s="115">
        <f t="shared" si="21"/>
        <v>131.51999999999998</v>
      </c>
      <c r="AG82" s="116"/>
      <c r="AH82" s="52">
        <f>MAX(B82:AF82)</f>
        <v>303.02</v>
      </c>
      <c r="AI82" s="53">
        <f>MIN(B82:AF82)</f>
        <v>123.21999999999997</v>
      </c>
    </row>
    <row r="83" spans="1:37" x14ac:dyDescent="0.25">
      <c r="A83" s="117" t="s">
        <v>89</v>
      </c>
      <c r="B83" s="118">
        <v>29</v>
      </c>
      <c r="C83" s="118">
        <v>55</v>
      </c>
      <c r="D83" s="118">
        <v>-13.3</v>
      </c>
      <c r="E83" s="118">
        <v>45.9</v>
      </c>
      <c r="F83" s="118">
        <v>69.2</v>
      </c>
      <c r="G83" s="118">
        <v>68.3</v>
      </c>
      <c r="H83" s="118">
        <v>66.900000000000006</v>
      </c>
      <c r="I83" s="118">
        <v>65.400000000000006</v>
      </c>
      <c r="J83" s="118">
        <v>62</v>
      </c>
      <c r="K83" s="118">
        <v>62</v>
      </c>
      <c r="L83" s="118">
        <v>54.5</v>
      </c>
      <c r="M83" s="118">
        <v>46.6</v>
      </c>
      <c r="N83" s="118">
        <v>40.299999999999997</v>
      </c>
      <c r="O83" s="118">
        <v>33.6</v>
      </c>
      <c r="P83" s="118">
        <v>36.799999999999997</v>
      </c>
      <c r="Q83" s="118">
        <v>57.2</v>
      </c>
      <c r="R83" s="118">
        <v>59</v>
      </c>
      <c r="S83" s="118">
        <v>63.6</v>
      </c>
      <c r="T83" s="118">
        <v>59.7</v>
      </c>
      <c r="U83" s="118">
        <v>61</v>
      </c>
      <c r="V83" s="118">
        <v>64</v>
      </c>
      <c r="W83" s="118">
        <v>67.5</v>
      </c>
      <c r="X83" s="118">
        <v>67</v>
      </c>
      <c r="Y83" s="118">
        <v>67</v>
      </c>
      <c r="Z83" s="118">
        <v>59</v>
      </c>
      <c r="AA83" s="50">
        <v>50</v>
      </c>
      <c r="AB83" s="50">
        <v>44.7</v>
      </c>
      <c r="AC83" s="50">
        <v>47.1</v>
      </c>
      <c r="AD83" s="50">
        <v>39.799999999999997</v>
      </c>
      <c r="AE83" s="50">
        <v>50.3</v>
      </c>
      <c r="AF83" s="119">
        <v>59.8</v>
      </c>
      <c r="AG83" s="120">
        <v>75</v>
      </c>
      <c r="AH83" s="52">
        <f>IF(ABS(MAX(B83:AF83))&gt;ABS(MIN(B83:AF83)),MAX(B83:AF83),MIN(B83:AF83))</f>
        <v>69.2</v>
      </c>
      <c r="AI83" s="121">
        <f>INDEX($B$9:$AF$9,1,MATCH(AH83,B83:AF83,0))</f>
        <v>0.20833333333333301</v>
      </c>
    </row>
    <row r="84" spans="1:37" x14ac:dyDescent="0.25">
      <c r="A84" s="122" t="s">
        <v>90</v>
      </c>
      <c r="B84" s="83">
        <v>-47</v>
      </c>
      <c r="C84" s="83">
        <v>-60</v>
      </c>
      <c r="D84" s="83">
        <v>-47</v>
      </c>
      <c r="E84" s="83">
        <v>-80</v>
      </c>
      <c r="F84" s="83">
        <v>-84</v>
      </c>
      <c r="G84" s="83">
        <v>-63</v>
      </c>
      <c r="H84" s="83">
        <v>-55</v>
      </c>
      <c r="I84" s="83">
        <v>-48</v>
      </c>
      <c r="J84" s="83">
        <v>-35</v>
      </c>
      <c r="K84" s="83">
        <v>-35</v>
      </c>
      <c r="L84" s="83">
        <v>3.6</v>
      </c>
      <c r="M84" s="83">
        <v>-5.0999999999999996</v>
      </c>
      <c r="N84" s="83">
        <v>1</v>
      </c>
      <c r="O84" s="83">
        <v>-8</v>
      </c>
      <c r="P84" s="83">
        <v>-13.1</v>
      </c>
      <c r="Q84" s="83">
        <v>-28</v>
      </c>
      <c r="R84" s="83">
        <v>-26</v>
      </c>
      <c r="S84" s="83">
        <v>-27</v>
      </c>
      <c r="T84" s="83">
        <v>-25</v>
      </c>
      <c r="U84" s="83">
        <v>-26</v>
      </c>
      <c r="V84" s="83">
        <v>-25</v>
      </c>
      <c r="W84" s="83">
        <v>-26</v>
      </c>
      <c r="X84" s="83">
        <v>-21</v>
      </c>
      <c r="Y84" s="83">
        <v>-3</v>
      </c>
      <c r="Z84" s="83">
        <v>3</v>
      </c>
      <c r="AA84" s="70">
        <v>1</v>
      </c>
      <c r="AB84" s="70">
        <v>-1.5</v>
      </c>
      <c r="AC84" s="70">
        <v>-5.5</v>
      </c>
      <c r="AD84" s="70">
        <v>-33</v>
      </c>
      <c r="AE84" s="70">
        <v>-39</v>
      </c>
      <c r="AF84" s="123">
        <v>-46</v>
      </c>
      <c r="AG84" s="120">
        <v>240</v>
      </c>
      <c r="AH84" s="52">
        <f>IF(ABS(MAX(B84:AF84))&gt;ABS(MIN(B84:AF84)),MAX(B84:AF84),MIN(B84:AF84))</f>
        <v>-84</v>
      </c>
      <c r="AI84" s="121">
        <f>INDEX($B$9:$AF$9,1,MATCH(AH84,B84:AF84,0))</f>
        <v>0.20833333333333301</v>
      </c>
    </row>
    <row r="85" spans="1:37" x14ac:dyDescent="0.25">
      <c r="A85" s="122" t="s">
        <v>91</v>
      </c>
      <c r="B85" s="83">
        <v>27</v>
      </c>
      <c r="C85" s="83">
        <v>15</v>
      </c>
      <c r="D85" s="83">
        <v>13.5</v>
      </c>
      <c r="E85" s="83">
        <v>18.5</v>
      </c>
      <c r="F85" s="83">
        <v>5</v>
      </c>
      <c r="G85" s="83">
        <v>7.3</v>
      </c>
      <c r="H85" s="83">
        <v>14.2</v>
      </c>
      <c r="I85" s="83">
        <v>8.9</v>
      </c>
      <c r="J85" s="83">
        <v>18.3</v>
      </c>
      <c r="K85" s="83">
        <v>18.3</v>
      </c>
      <c r="L85" s="83">
        <v>29.7</v>
      </c>
      <c r="M85" s="83">
        <v>27.2</v>
      </c>
      <c r="N85" s="83">
        <v>28.8</v>
      </c>
      <c r="O85" s="83">
        <v>32</v>
      </c>
      <c r="P85" s="83">
        <v>31.2</v>
      </c>
      <c r="Q85" s="83">
        <v>20.2</v>
      </c>
      <c r="R85" s="83">
        <v>23.6</v>
      </c>
      <c r="S85" s="83">
        <v>24.4</v>
      </c>
      <c r="T85" s="83">
        <v>24.7</v>
      </c>
      <c r="U85" s="83">
        <v>18</v>
      </c>
      <c r="V85" s="83">
        <v>16</v>
      </c>
      <c r="W85" s="83">
        <v>14</v>
      </c>
      <c r="X85" s="83">
        <v>15</v>
      </c>
      <c r="Y85" s="83">
        <v>20</v>
      </c>
      <c r="Z85" s="83">
        <v>42</v>
      </c>
      <c r="AA85" s="70">
        <v>40.200000000000003</v>
      </c>
      <c r="AB85" s="70">
        <v>35.9</v>
      </c>
      <c r="AC85" s="70">
        <v>30</v>
      </c>
      <c r="AD85" s="70">
        <v>33.5</v>
      </c>
      <c r="AE85" s="70">
        <v>17</v>
      </c>
      <c r="AF85" s="123">
        <v>5.0999999999999996</v>
      </c>
      <c r="AG85" s="120">
        <v>60</v>
      </c>
      <c r="AH85" s="52">
        <f>IF(ABS(MAX(B85:AF85))&gt;ABS(MIN(B85:AF85)),MAX(B85:AF85),MIN(B85:AF85))</f>
        <v>42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-92</v>
      </c>
      <c r="C86" s="85">
        <v>-93</v>
      </c>
      <c r="D86" s="85">
        <v>-19.600000000000001</v>
      </c>
      <c r="E86" s="85">
        <v>-57</v>
      </c>
      <c r="F86" s="85">
        <v>-48</v>
      </c>
      <c r="G86" s="85">
        <v>-54.2</v>
      </c>
      <c r="H86" s="85">
        <v>-49.6</v>
      </c>
      <c r="I86" s="85">
        <v>-36.9</v>
      </c>
      <c r="J86" s="85">
        <v>-37.6</v>
      </c>
      <c r="K86" s="85">
        <v>-37.6</v>
      </c>
      <c r="L86" s="85">
        <v>-51.3</v>
      </c>
      <c r="M86" s="85">
        <v>-42</v>
      </c>
      <c r="N86" s="85">
        <v>-42.6</v>
      </c>
      <c r="O86" s="85">
        <v>-57.3</v>
      </c>
      <c r="P86" s="85">
        <v>-51</v>
      </c>
      <c r="Q86" s="85">
        <v>-52</v>
      </c>
      <c r="R86" s="85">
        <v>-52.5</v>
      </c>
      <c r="S86" s="85">
        <v>47.7</v>
      </c>
      <c r="T86" s="85">
        <v>-47</v>
      </c>
      <c r="U86" s="85">
        <v>-43</v>
      </c>
      <c r="V86" s="85">
        <v>-43</v>
      </c>
      <c r="W86" s="85">
        <v>-42.3</v>
      </c>
      <c r="X86" s="85">
        <v>-38</v>
      </c>
      <c r="Y86" s="85">
        <v>-17</v>
      </c>
      <c r="Z86" s="85">
        <v>-10.7</v>
      </c>
      <c r="AA86" s="125">
        <v>-15.8</v>
      </c>
      <c r="AB86" s="125">
        <v>-24.1</v>
      </c>
      <c r="AC86" s="125">
        <v>-33.1</v>
      </c>
      <c r="AD86" s="125">
        <v>-60.6</v>
      </c>
      <c r="AE86" s="125">
        <v>-71</v>
      </c>
      <c r="AF86" s="126">
        <v>-79</v>
      </c>
      <c r="AG86" s="127">
        <v>120</v>
      </c>
      <c r="AH86" s="52">
        <f>IF(ABS(MAX(B86:AF86))&gt;ABS(MIN(B86:AF86)),MAX(B86:AF86),MIN(B86:AF86))</f>
        <v>-93</v>
      </c>
      <c r="AI86" s="121">
        <f>INDEX($B$9:$AF$9,1,MATCH(AH86,B86:AF86,0))</f>
        <v>8.3333333333333301E-2</v>
      </c>
    </row>
    <row r="87" spans="1:37" ht="15.75" thickBot="1" x14ac:dyDescent="0.3">
      <c r="A87" s="124" t="s">
        <v>93</v>
      </c>
      <c r="B87" s="85">
        <v>20</v>
      </c>
      <c r="C87" s="85">
        <v>6</v>
      </c>
      <c r="D87" s="85">
        <v>60.3</v>
      </c>
      <c r="E87" s="85">
        <v>30.6</v>
      </c>
      <c r="F87" s="85">
        <v>26</v>
      </c>
      <c r="G87" s="85">
        <v>12.7</v>
      </c>
      <c r="H87" s="85">
        <v>16.600000000000001</v>
      </c>
      <c r="I87" s="85">
        <v>27.2</v>
      </c>
      <c r="J87" s="85">
        <v>18.3</v>
      </c>
      <c r="K87" s="85">
        <v>18.3</v>
      </c>
      <c r="L87" s="85">
        <v>49.4</v>
      </c>
      <c r="M87" s="85">
        <v>49.5</v>
      </c>
      <c r="N87" s="85">
        <v>63.2</v>
      </c>
      <c r="O87" s="85">
        <v>48.3</v>
      </c>
      <c r="P87" s="85">
        <v>40.5</v>
      </c>
      <c r="Q87" s="85">
        <v>6.5</v>
      </c>
      <c r="R87" s="85">
        <v>5.2</v>
      </c>
      <c r="S87" s="85">
        <v>2</v>
      </c>
      <c r="T87" s="85">
        <v>1</v>
      </c>
      <c r="U87" s="85">
        <v>0</v>
      </c>
      <c r="V87" s="85">
        <v>-10</v>
      </c>
      <c r="W87" s="85">
        <v>-14</v>
      </c>
      <c r="X87" s="85">
        <v>2</v>
      </c>
      <c r="Y87" s="85">
        <v>21</v>
      </c>
      <c r="Z87" s="85">
        <v>6.4</v>
      </c>
      <c r="AA87" s="125">
        <v>19.5</v>
      </c>
      <c r="AB87" s="125">
        <v>27.4</v>
      </c>
      <c r="AC87" s="125">
        <v>20.3</v>
      </c>
      <c r="AD87" s="125">
        <v>-7.4</v>
      </c>
      <c r="AE87" s="125">
        <v>3.1</v>
      </c>
      <c r="AF87" s="126">
        <v>4.0999999999999996</v>
      </c>
      <c r="AG87" s="127"/>
      <c r="AH87" s="52">
        <f>IF(ABS(MAX(B87:AF87))&gt;ABS(MIN(B87:AF87)),MAX(B87:AF87),MIN(B87:AF87))</f>
        <v>63.2</v>
      </c>
      <c r="AI87" s="121">
        <f>INDEX($B$9:$AF$9,1,MATCH(AH87,B87:AF87,0))</f>
        <v>0.41666666666666702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3">B89</f>
        <v>9.9</v>
      </c>
      <c r="D89" s="133">
        <f t="shared" si="23"/>
        <v>9.9</v>
      </c>
      <c r="E89" s="133">
        <f t="shared" si="23"/>
        <v>9.9</v>
      </c>
      <c r="F89" s="133">
        <f t="shared" si="23"/>
        <v>9.9</v>
      </c>
      <c r="G89" s="133">
        <f t="shared" si="23"/>
        <v>9.9</v>
      </c>
      <c r="H89" s="133">
        <f t="shared" si="23"/>
        <v>9.9</v>
      </c>
      <c r="I89" s="133">
        <f t="shared" si="23"/>
        <v>9.9</v>
      </c>
      <c r="J89" s="133">
        <f t="shared" si="23"/>
        <v>9.9</v>
      </c>
      <c r="K89" s="133">
        <f t="shared" si="23"/>
        <v>9.9</v>
      </c>
      <c r="L89" s="133">
        <f t="shared" si="23"/>
        <v>9.9</v>
      </c>
      <c r="M89" s="133">
        <f t="shared" si="23"/>
        <v>9.9</v>
      </c>
      <c r="N89" s="133">
        <f t="shared" si="23"/>
        <v>9.9</v>
      </c>
      <c r="O89" s="133">
        <f t="shared" si="23"/>
        <v>9.9</v>
      </c>
      <c r="P89" s="133">
        <f t="shared" si="23"/>
        <v>9.9</v>
      </c>
      <c r="Q89" s="133">
        <f t="shared" si="23"/>
        <v>9.9</v>
      </c>
      <c r="R89" s="133">
        <f t="shared" si="23"/>
        <v>9.9</v>
      </c>
      <c r="S89" s="133">
        <f t="shared" ref="S89:AF104" si="24">R89</f>
        <v>9.9</v>
      </c>
      <c r="T89" s="133">
        <f t="shared" si="24"/>
        <v>9.9</v>
      </c>
      <c r="U89" s="133">
        <f t="shared" si="24"/>
        <v>9.9</v>
      </c>
      <c r="V89" s="133">
        <f t="shared" si="24"/>
        <v>9.9</v>
      </c>
      <c r="W89" s="133">
        <f t="shared" si="24"/>
        <v>9.9</v>
      </c>
      <c r="X89" s="133">
        <f t="shared" si="24"/>
        <v>9.9</v>
      </c>
      <c r="Y89" s="133">
        <f t="shared" si="24"/>
        <v>9.9</v>
      </c>
      <c r="Z89" s="133">
        <f t="shared" si="24"/>
        <v>9.9</v>
      </c>
      <c r="AA89" s="133">
        <f t="shared" si="24"/>
        <v>9.9</v>
      </c>
      <c r="AB89" s="133">
        <f t="shared" si="24"/>
        <v>9.9</v>
      </c>
      <c r="AC89" s="133">
        <f t="shared" si="24"/>
        <v>9.9</v>
      </c>
      <c r="AD89" s="133">
        <f t="shared" si="24"/>
        <v>9.9</v>
      </c>
      <c r="AE89" s="133">
        <f t="shared" si="24"/>
        <v>9.9</v>
      </c>
      <c r="AF89" s="133">
        <f t="shared" si="24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3"/>
        <v>9.6</v>
      </c>
      <c r="D90" s="136">
        <f t="shared" si="23"/>
        <v>9.6</v>
      </c>
      <c r="E90" s="136">
        <f t="shared" si="23"/>
        <v>9.6</v>
      </c>
      <c r="F90" s="136">
        <f t="shared" si="23"/>
        <v>9.6</v>
      </c>
      <c r="G90" s="136">
        <f t="shared" si="23"/>
        <v>9.6</v>
      </c>
      <c r="H90" s="136">
        <f t="shared" si="23"/>
        <v>9.6</v>
      </c>
      <c r="I90" s="136">
        <f t="shared" si="23"/>
        <v>9.6</v>
      </c>
      <c r="J90" s="136">
        <f t="shared" si="23"/>
        <v>9.6</v>
      </c>
      <c r="K90" s="136">
        <f t="shared" si="23"/>
        <v>9.6</v>
      </c>
      <c r="L90" s="136">
        <f t="shared" si="23"/>
        <v>9.6</v>
      </c>
      <c r="M90" s="136">
        <f t="shared" si="23"/>
        <v>9.6</v>
      </c>
      <c r="N90" s="136">
        <f t="shared" si="23"/>
        <v>9.6</v>
      </c>
      <c r="O90" s="136">
        <f t="shared" si="23"/>
        <v>9.6</v>
      </c>
      <c r="P90" s="136">
        <f t="shared" si="23"/>
        <v>9.6</v>
      </c>
      <c r="Q90" s="136">
        <f t="shared" si="23"/>
        <v>9.6</v>
      </c>
      <c r="R90" s="136">
        <f t="shared" si="23"/>
        <v>9.6</v>
      </c>
      <c r="S90" s="136">
        <f t="shared" si="24"/>
        <v>9.6</v>
      </c>
      <c r="T90" s="136">
        <f t="shared" si="24"/>
        <v>9.6</v>
      </c>
      <c r="U90" s="136">
        <f t="shared" si="24"/>
        <v>9.6</v>
      </c>
      <c r="V90" s="136">
        <f t="shared" si="24"/>
        <v>9.6</v>
      </c>
      <c r="W90" s="136">
        <f t="shared" si="24"/>
        <v>9.6</v>
      </c>
      <c r="X90" s="136">
        <f t="shared" si="24"/>
        <v>9.6</v>
      </c>
      <c r="Y90" s="136">
        <f t="shared" si="24"/>
        <v>9.6</v>
      </c>
      <c r="Z90" s="136">
        <f t="shared" si="24"/>
        <v>9.6</v>
      </c>
      <c r="AA90" s="136">
        <f t="shared" si="24"/>
        <v>9.6</v>
      </c>
      <c r="AB90" s="136">
        <f t="shared" si="24"/>
        <v>9.6</v>
      </c>
      <c r="AC90" s="136">
        <f t="shared" si="24"/>
        <v>9.6</v>
      </c>
      <c r="AD90" s="136">
        <f t="shared" si="24"/>
        <v>9.6</v>
      </c>
      <c r="AE90" s="136">
        <f t="shared" si="24"/>
        <v>9.6</v>
      </c>
      <c r="AF90" s="136">
        <f t="shared" si="24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3"/>
        <v>9.98</v>
      </c>
      <c r="D91" s="136">
        <f t="shared" si="23"/>
        <v>9.98</v>
      </c>
      <c r="E91" s="136">
        <f t="shared" si="23"/>
        <v>9.98</v>
      </c>
      <c r="F91" s="136">
        <f t="shared" si="23"/>
        <v>9.98</v>
      </c>
      <c r="G91" s="136">
        <f t="shared" si="23"/>
        <v>9.98</v>
      </c>
      <c r="H91" s="136">
        <f t="shared" si="23"/>
        <v>9.98</v>
      </c>
      <c r="I91" s="136">
        <f t="shared" si="23"/>
        <v>9.98</v>
      </c>
      <c r="J91" s="136">
        <f t="shared" si="23"/>
        <v>9.98</v>
      </c>
      <c r="K91" s="136">
        <f t="shared" si="23"/>
        <v>9.98</v>
      </c>
      <c r="L91" s="136">
        <f t="shared" si="23"/>
        <v>9.98</v>
      </c>
      <c r="M91" s="136">
        <f t="shared" si="23"/>
        <v>9.98</v>
      </c>
      <c r="N91" s="136">
        <f t="shared" si="23"/>
        <v>9.98</v>
      </c>
      <c r="O91" s="136">
        <f t="shared" si="23"/>
        <v>9.98</v>
      </c>
      <c r="P91" s="136">
        <f t="shared" si="23"/>
        <v>9.98</v>
      </c>
      <c r="Q91" s="136">
        <f t="shared" si="23"/>
        <v>9.98</v>
      </c>
      <c r="R91" s="136">
        <f t="shared" si="23"/>
        <v>9.98</v>
      </c>
      <c r="S91" s="136">
        <f t="shared" si="24"/>
        <v>9.98</v>
      </c>
      <c r="T91" s="136">
        <f t="shared" si="24"/>
        <v>9.98</v>
      </c>
      <c r="U91" s="136">
        <f t="shared" si="24"/>
        <v>9.98</v>
      </c>
      <c r="V91" s="136">
        <f t="shared" si="24"/>
        <v>9.98</v>
      </c>
      <c r="W91" s="136">
        <f t="shared" si="24"/>
        <v>9.98</v>
      </c>
      <c r="X91" s="136">
        <f t="shared" si="24"/>
        <v>9.98</v>
      </c>
      <c r="Y91" s="136">
        <f t="shared" si="24"/>
        <v>9.98</v>
      </c>
      <c r="Z91" s="136">
        <f t="shared" si="24"/>
        <v>9.98</v>
      </c>
      <c r="AA91" s="136">
        <f t="shared" si="24"/>
        <v>9.98</v>
      </c>
      <c r="AB91" s="136">
        <f t="shared" si="24"/>
        <v>9.98</v>
      </c>
      <c r="AC91" s="136">
        <f t="shared" si="24"/>
        <v>9.98</v>
      </c>
      <c r="AD91" s="136">
        <f t="shared" si="24"/>
        <v>9.98</v>
      </c>
      <c r="AE91" s="136">
        <f t="shared" si="24"/>
        <v>9.98</v>
      </c>
      <c r="AF91" s="136">
        <f t="shared" si="24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3"/>
        <v>9.1</v>
      </c>
      <c r="D92" s="136">
        <f t="shared" si="23"/>
        <v>9.1</v>
      </c>
      <c r="E92" s="136">
        <f t="shared" si="23"/>
        <v>9.1</v>
      </c>
      <c r="F92" s="136">
        <f t="shared" si="23"/>
        <v>9.1</v>
      </c>
      <c r="G92" s="136">
        <f t="shared" si="23"/>
        <v>9.1</v>
      </c>
      <c r="H92" s="136">
        <f t="shared" si="23"/>
        <v>9.1</v>
      </c>
      <c r="I92" s="136">
        <f t="shared" si="23"/>
        <v>9.1</v>
      </c>
      <c r="J92" s="136">
        <f t="shared" si="23"/>
        <v>9.1</v>
      </c>
      <c r="K92" s="136">
        <f t="shared" si="23"/>
        <v>9.1</v>
      </c>
      <c r="L92" s="136">
        <f t="shared" si="23"/>
        <v>9.1</v>
      </c>
      <c r="M92" s="136">
        <f t="shared" si="23"/>
        <v>9.1</v>
      </c>
      <c r="N92" s="136">
        <f t="shared" si="23"/>
        <v>9.1</v>
      </c>
      <c r="O92" s="136">
        <f t="shared" si="23"/>
        <v>9.1</v>
      </c>
      <c r="P92" s="136">
        <f t="shared" si="23"/>
        <v>9.1</v>
      </c>
      <c r="Q92" s="136">
        <f t="shared" si="23"/>
        <v>9.1</v>
      </c>
      <c r="R92" s="136">
        <f t="shared" si="23"/>
        <v>9.1</v>
      </c>
      <c r="S92" s="136">
        <f t="shared" si="24"/>
        <v>9.1</v>
      </c>
      <c r="T92" s="136">
        <f t="shared" si="24"/>
        <v>9.1</v>
      </c>
      <c r="U92" s="136">
        <f t="shared" si="24"/>
        <v>9.1</v>
      </c>
      <c r="V92" s="136">
        <f t="shared" si="24"/>
        <v>9.1</v>
      </c>
      <c r="W92" s="136">
        <f t="shared" si="24"/>
        <v>9.1</v>
      </c>
      <c r="X92" s="136">
        <f t="shared" si="24"/>
        <v>9.1</v>
      </c>
      <c r="Y92" s="136">
        <f t="shared" si="24"/>
        <v>9.1</v>
      </c>
      <c r="Z92" s="136">
        <f t="shared" si="24"/>
        <v>9.1</v>
      </c>
      <c r="AA92" s="136">
        <f t="shared" si="24"/>
        <v>9.1</v>
      </c>
      <c r="AB92" s="136">
        <f t="shared" si="24"/>
        <v>9.1</v>
      </c>
      <c r="AC92" s="136">
        <f t="shared" si="24"/>
        <v>9.1</v>
      </c>
      <c r="AD92" s="136">
        <f t="shared" si="24"/>
        <v>9.1</v>
      </c>
      <c r="AE92" s="136">
        <f t="shared" si="24"/>
        <v>9.1</v>
      </c>
      <c r="AF92" s="136">
        <f t="shared" si="24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3"/>
        <v>9.18</v>
      </c>
      <c r="D93" s="136">
        <f t="shared" si="23"/>
        <v>9.18</v>
      </c>
      <c r="E93" s="136">
        <f t="shared" si="23"/>
        <v>9.18</v>
      </c>
      <c r="F93" s="136">
        <f t="shared" si="23"/>
        <v>9.18</v>
      </c>
      <c r="G93" s="136">
        <f t="shared" si="23"/>
        <v>9.18</v>
      </c>
      <c r="H93" s="136">
        <f t="shared" si="23"/>
        <v>9.18</v>
      </c>
      <c r="I93" s="136">
        <f t="shared" si="23"/>
        <v>9.18</v>
      </c>
      <c r="J93" s="136">
        <f t="shared" si="23"/>
        <v>9.18</v>
      </c>
      <c r="K93" s="136">
        <f t="shared" si="23"/>
        <v>9.18</v>
      </c>
      <c r="L93" s="136">
        <f t="shared" si="23"/>
        <v>9.18</v>
      </c>
      <c r="M93" s="136">
        <f t="shared" si="23"/>
        <v>9.18</v>
      </c>
      <c r="N93" s="136">
        <f t="shared" si="23"/>
        <v>9.18</v>
      </c>
      <c r="O93" s="136">
        <f t="shared" si="23"/>
        <v>9.18</v>
      </c>
      <c r="P93" s="136">
        <f t="shared" si="23"/>
        <v>9.18</v>
      </c>
      <c r="Q93" s="136">
        <f t="shared" si="23"/>
        <v>9.18</v>
      </c>
      <c r="R93" s="136">
        <f t="shared" si="23"/>
        <v>9.18</v>
      </c>
      <c r="S93" s="136">
        <f t="shared" si="24"/>
        <v>9.18</v>
      </c>
      <c r="T93" s="136">
        <f t="shared" si="24"/>
        <v>9.18</v>
      </c>
      <c r="U93" s="136">
        <f t="shared" si="24"/>
        <v>9.18</v>
      </c>
      <c r="V93" s="136">
        <f t="shared" si="24"/>
        <v>9.18</v>
      </c>
      <c r="W93" s="136">
        <f t="shared" si="24"/>
        <v>9.18</v>
      </c>
      <c r="X93" s="136">
        <f t="shared" si="24"/>
        <v>9.18</v>
      </c>
      <c r="Y93" s="136">
        <f t="shared" si="24"/>
        <v>9.18</v>
      </c>
      <c r="Z93" s="136">
        <f t="shared" si="24"/>
        <v>9.18</v>
      </c>
      <c r="AA93" s="136">
        <f t="shared" si="24"/>
        <v>9.18</v>
      </c>
      <c r="AB93" s="136">
        <f t="shared" si="24"/>
        <v>9.18</v>
      </c>
      <c r="AC93" s="136">
        <f t="shared" si="24"/>
        <v>9.18</v>
      </c>
      <c r="AD93" s="136">
        <f t="shared" si="24"/>
        <v>9.18</v>
      </c>
      <c r="AE93" s="136">
        <f t="shared" si="24"/>
        <v>9.18</v>
      </c>
      <c r="AF93" s="136">
        <f t="shared" si="24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3"/>
        <v>7</v>
      </c>
      <c r="D94" s="136">
        <f t="shared" si="23"/>
        <v>7</v>
      </c>
      <c r="E94" s="136">
        <f t="shared" si="23"/>
        <v>7</v>
      </c>
      <c r="F94" s="136">
        <f t="shared" si="23"/>
        <v>7</v>
      </c>
      <c r="G94" s="136">
        <f t="shared" si="23"/>
        <v>7</v>
      </c>
      <c r="H94" s="136">
        <f t="shared" si="23"/>
        <v>7</v>
      </c>
      <c r="I94" s="136">
        <f t="shared" si="23"/>
        <v>7</v>
      </c>
      <c r="J94" s="136">
        <f t="shared" si="23"/>
        <v>7</v>
      </c>
      <c r="K94" s="136">
        <f t="shared" si="23"/>
        <v>7</v>
      </c>
      <c r="L94" s="136">
        <f t="shared" si="23"/>
        <v>7</v>
      </c>
      <c r="M94" s="136">
        <f t="shared" si="23"/>
        <v>7</v>
      </c>
      <c r="N94" s="136">
        <f t="shared" si="23"/>
        <v>7</v>
      </c>
      <c r="O94" s="136">
        <f t="shared" si="23"/>
        <v>7</v>
      </c>
      <c r="P94" s="136">
        <f t="shared" si="23"/>
        <v>7</v>
      </c>
      <c r="Q94" s="136">
        <f t="shared" si="23"/>
        <v>7</v>
      </c>
      <c r="R94" s="136">
        <f t="shared" si="23"/>
        <v>7</v>
      </c>
      <c r="S94" s="136">
        <f t="shared" si="24"/>
        <v>7</v>
      </c>
      <c r="T94" s="136">
        <f t="shared" si="24"/>
        <v>7</v>
      </c>
      <c r="U94" s="136">
        <f t="shared" si="24"/>
        <v>7</v>
      </c>
      <c r="V94" s="136">
        <f t="shared" si="24"/>
        <v>7</v>
      </c>
      <c r="W94" s="136">
        <f t="shared" si="24"/>
        <v>7</v>
      </c>
      <c r="X94" s="136">
        <f t="shared" si="24"/>
        <v>7</v>
      </c>
      <c r="Y94" s="136">
        <f t="shared" si="24"/>
        <v>7</v>
      </c>
      <c r="Z94" s="136">
        <f t="shared" si="24"/>
        <v>7</v>
      </c>
      <c r="AA94" s="136">
        <f t="shared" si="24"/>
        <v>7</v>
      </c>
      <c r="AB94" s="136">
        <f t="shared" si="24"/>
        <v>7</v>
      </c>
      <c r="AC94" s="136">
        <f t="shared" si="24"/>
        <v>7</v>
      </c>
      <c r="AD94" s="136">
        <f t="shared" si="24"/>
        <v>7</v>
      </c>
      <c r="AE94" s="136">
        <f t="shared" si="24"/>
        <v>7</v>
      </c>
      <c r="AF94" s="136">
        <f t="shared" si="24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3"/>
        <v>2.25</v>
      </c>
      <c r="D95" s="136">
        <f t="shared" si="23"/>
        <v>2.25</v>
      </c>
      <c r="E95" s="136">
        <f t="shared" si="23"/>
        <v>2.25</v>
      </c>
      <c r="F95" s="136">
        <f t="shared" si="23"/>
        <v>2.25</v>
      </c>
      <c r="G95" s="136">
        <f t="shared" si="23"/>
        <v>2.25</v>
      </c>
      <c r="H95" s="136">
        <f t="shared" si="23"/>
        <v>2.25</v>
      </c>
      <c r="I95" s="136">
        <f t="shared" si="23"/>
        <v>2.25</v>
      </c>
      <c r="J95" s="136">
        <f t="shared" si="23"/>
        <v>2.25</v>
      </c>
      <c r="K95" s="136">
        <f t="shared" si="23"/>
        <v>2.25</v>
      </c>
      <c r="L95" s="136">
        <f t="shared" si="23"/>
        <v>2.25</v>
      </c>
      <c r="M95" s="136">
        <f t="shared" si="23"/>
        <v>2.25</v>
      </c>
      <c r="N95" s="136">
        <f t="shared" si="23"/>
        <v>2.25</v>
      </c>
      <c r="O95" s="136">
        <f t="shared" si="23"/>
        <v>2.25</v>
      </c>
      <c r="P95" s="136">
        <f t="shared" si="23"/>
        <v>2.25</v>
      </c>
      <c r="Q95" s="136">
        <f t="shared" si="23"/>
        <v>2.25</v>
      </c>
      <c r="R95" s="136">
        <f t="shared" si="23"/>
        <v>2.25</v>
      </c>
      <c r="S95" s="136">
        <f t="shared" si="24"/>
        <v>2.25</v>
      </c>
      <c r="T95" s="136">
        <f t="shared" si="24"/>
        <v>2.25</v>
      </c>
      <c r="U95" s="136">
        <f t="shared" si="24"/>
        <v>2.25</v>
      </c>
      <c r="V95" s="136">
        <f t="shared" si="24"/>
        <v>2.25</v>
      </c>
      <c r="W95" s="136">
        <f t="shared" si="24"/>
        <v>2.25</v>
      </c>
      <c r="X95" s="136">
        <f t="shared" si="24"/>
        <v>2.25</v>
      </c>
      <c r="Y95" s="136">
        <f t="shared" si="24"/>
        <v>2.25</v>
      </c>
      <c r="Z95" s="136">
        <f t="shared" si="24"/>
        <v>2.25</v>
      </c>
      <c r="AA95" s="136">
        <f t="shared" si="24"/>
        <v>2.25</v>
      </c>
      <c r="AB95" s="136">
        <f t="shared" si="24"/>
        <v>2.25</v>
      </c>
      <c r="AC95" s="136">
        <f t="shared" si="24"/>
        <v>2.25</v>
      </c>
      <c r="AD95" s="136">
        <f t="shared" si="24"/>
        <v>2.25</v>
      </c>
      <c r="AE95" s="136">
        <f t="shared" si="24"/>
        <v>2.25</v>
      </c>
      <c r="AF95" s="136">
        <f t="shared" si="24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3"/>
        <v>1.64</v>
      </c>
      <c r="D96" s="136">
        <f t="shared" si="23"/>
        <v>1.64</v>
      </c>
      <c r="E96" s="136">
        <f t="shared" si="23"/>
        <v>1.64</v>
      </c>
      <c r="F96" s="136">
        <f t="shared" si="23"/>
        <v>1.64</v>
      </c>
      <c r="G96" s="136">
        <f t="shared" si="23"/>
        <v>1.64</v>
      </c>
      <c r="H96" s="136">
        <f t="shared" si="23"/>
        <v>1.64</v>
      </c>
      <c r="I96" s="136">
        <f t="shared" si="23"/>
        <v>1.64</v>
      </c>
      <c r="J96" s="136">
        <f t="shared" si="23"/>
        <v>1.64</v>
      </c>
      <c r="K96" s="136">
        <f t="shared" si="23"/>
        <v>1.64</v>
      </c>
      <c r="L96" s="136">
        <f t="shared" si="23"/>
        <v>1.64</v>
      </c>
      <c r="M96" s="136">
        <f t="shared" si="23"/>
        <v>1.64</v>
      </c>
      <c r="N96" s="136">
        <f t="shared" si="23"/>
        <v>1.64</v>
      </c>
      <c r="O96" s="136">
        <f t="shared" si="23"/>
        <v>1.64</v>
      </c>
      <c r="P96" s="136">
        <f t="shared" si="23"/>
        <v>1.64</v>
      </c>
      <c r="Q96" s="136">
        <f t="shared" si="23"/>
        <v>1.64</v>
      </c>
      <c r="R96" s="136">
        <f t="shared" si="23"/>
        <v>1.64</v>
      </c>
      <c r="S96" s="136">
        <f t="shared" si="24"/>
        <v>1.64</v>
      </c>
      <c r="T96" s="136">
        <f t="shared" si="24"/>
        <v>1.64</v>
      </c>
      <c r="U96" s="136">
        <f t="shared" si="24"/>
        <v>1.64</v>
      </c>
      <c r="V96" s="136">
        <f t="shared" si="24"/>
        <v>1.64</v>
      </c>
      <c r="W96" s="136">
        <f t="shared" si="24"/>
        <v>1.64</v>
      </c>
      <c r="X96" s="136">
        <f t="shared" si="24"/>
        <v>1.64</v>
      </c>
      <c r="Y96" s="136">
        <f t="shared" si="24"/>
        <v>1.64</v>
      </c>
      <c r="Z96" s="136">
        <f t="shared" si="24"/>
        <v>1.64</v>
      </c>
      <c r="AA96" s="136">
        <f t="shared" si="24"/>
        <v>1.64</v>
      </c>
      <c r="AB96" s="136">
        <f t="shared" si="24"/>
        <v>1.64</v>
      </c>
      <c r="AC96" s="136">
        <f t="shared" si="24"/>
        <v>1.64</v>
      </c>
      <c r="AD96" s="136">
        <f t="shared" si="24"/>
        <v>1.64</v>
      </c>
      <c r="AE96" s="136">
        <f t="shared" si="24"/>
        <v>1.64</v>
      </c>
      <c r="AF96" s="136">
        <f t="shared" si="24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3"/>
        <v>1.62</v>
      </c>
      <c r="D97" s="136">
        <f t="shared" si="23"/>
        <v>1.62</v>
      </c>
      <c r="E97" s="136">
        <f t="shared" si="23"/>
        <v>1.62</v>
      </c>
      <c r="F97" s="136">
        <f t="shared" si="23"/>
        <v>1.62</v>
      </c>
      <c r="G97" s="136">
        <f t="shared" si="23"/>
        <v>1.62</v>
      </c>
      <c r="H97" s="136">
        <f t="shared" si="23"/>
        <v>1.62</v>
      </c>
      <c r="I97" s="136">
        <f t="shared" si="23"/>
        <v>1.62</v>
      </c>
      <c r="J97" s="136">
        <f t="shared" si="23"/>
        <v>1.62</v>
      </c>
      <c r="K97" s="136">
        <f t="shared" si="23"/>
        <v>1.62</v>
      </c>
      <c r="L97" s="136">
        <f t="shared" si="23"/>
        <v>1.62</v>
      </c>
      <c r="M97" s="136">
        <f t="shared" si="23"/>
        <v>1.62</v>
      </c>
      <c r="N97" s="136">
        <f t="shared" si="23"/>
        <v>1.62</v>
      </c>
      <c r="O97" s="136">
        <f t="shared" si="23"/>
        <v>1.62</v>
      </c>
      <c r="P97" s="136">
        <f t="shared" si="23"/>
        <v>1.62</v>
      </c>
      <c r="Q97" s="136">
        <f t="shared" si="23"/>
        <v>1.62</v>
      </c>
      <c r="R97" s="136">
        <f t="shared" si="23"/>
        <v>1.62</v>
      </c>
      <c r="S97" s="136">
        <f t="shared" si="24"/>
        <v>1.62</v>
      </c>
      <c r="T97" s="136">
        <f t="shared" si="24"/>
        <v>1.62</v>
      </c>
      <c r="U97" s="136">
        <f t="shared" si="24"/>
        <v>1.62</v>
      </c>
      <c r="V97" s="136">
        <f t="shared" si="24"/>
        <v>1.62</v>
      </c>
      <c r="W97" s="136">
        <f t="shared" si="24"/>
        <v>1.62</v>
      </c>
      <c r="X97" s="136">
        <f t="shared" si="24"/>
        <v>1.62</v>
      </c>
      <c r="Y97" s="136">
        <f t="shared" si="24"/>
        <v>1.62</v>
      </c>
      <c r="Z97" s="136">
        <f t="shared" si="24"/>
        <v>1.62</v>
      </c>
      <c r="AA97" s="136">
        <f t="shared" si="24"/>
        <v>1.62</v>
      </c>
      <c r="AB97" s="136">
        <f t="shared" si="24"/>
        <v>1.62</v>
      </c>
      <c r="AC97" s="136">
        <f t="shared" si="24"/>
        <v>1.62</v>
      </c>
      <c r="AD97" s="136">
        <f t="shared" si="24"/>
        <v>1.62</v>
      </c>
      <c r="AE97" s="136">
        <f t="shared" si="24"/>
        <v>1.62</v>
      </c>
      <c r="AF97" s="136">
        <f t="shared" si="24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3"/>
        <v>8.36</v>
      </c>
      <c r="D98" s="136">
        <f t="shared" si="23"/>
        <v>8.36</v>
      </c>
      <c r="E98" s="136">
        <f t="shared" si="23"/>
        <v>8.36</v>
      </c>
      <c r="F98" s="136">
        <f t="shared" si="23"/>
        <v>8.36</v>
      </c>
      <c r="G98" s="136">
        <f t="shared" si="23"/>
        <v>8.36</v>
      </c>
      <c r="H98" s="136">
        <f t="shared" si="23"/>
        <v>8.36</v>
      </c>
      <c r="I98" s="136">
        <f t="shared" si="23"/>
        <v>8.36</v>
      </c>
      <c r="J98" s="136">
        <f t="shared" si="23"/>
        <v>8.36</v>
      </c>
      <c r="K98" s="136">
        <f t="shared" si="23"/>
        <v>8.36</v>
      </c>
      <c r="L98" s="136">
        <f t="shared" si="23"/>
        <v>8.36</v>
      </c>
      <c r="M98" s="136">
        <f t="shared" si="23"/>
        <v>8.36</v>
      </c>
      <c r="N98" s="136">
        <f t="shared" si="23"/>
        <v>8.36</v>
      </c>
      <c r="O98" s="136">
        <f t="shared" si="23"/>
        <v>8.36</v>
      </c>
      <c r="P98" s="136">
        <f t="shared" si="23"/>
        <v>8.36</v>
      </c>
      <c r="Q98" s="136">
        <f t="shared" si="23"/>
        <v>8.36</v>
      </c>
      <c r="R98" s="136">
        <f t="shared" si="23"/>
        <v>8.36</v>
      </c>
      <c r="S98" s="136">
        <f t="shared" si="24"/>
        <v>8.36</v>
      </c>
      <c r="T98" s="136">
        <f t="shared" si="24"/>
        <v>8.36</v>
      </c>
      <c r="U98" s="136">
        <f t="shared" si="24"/>
        <v>8.36</v>
      </c>
      <c r="V98" s="136">
        <f t="shared" si="24"/>
        <v>8.36</v>
      </c>
      <c r="W98" s="136">
        <f t="shared" si="24"/>
        <v>8.36</v>
      </c>
      <c r="X98" s="136">
        <f t="shared" si="24"/>
        <v>8.36</v>
      </c>
      <c r="Y98" s="136">
        <f t="shared" si="24"/>
        <v>8.36</v>
      </c>
      <c r="Z98" s="136">
        <f t="shared" si="24"/>
        <v>8.36</v>
      </c>
      <c r="AA98" s="136">
        <f t="shared" si="24"/>
        <v>8.36</v>
      </c>
      <c r="AB98" s="136">
        <f t="shared" si="24"/>
        <v>8.36</v>
      </c>
      <c r="AC98" s="136">
        <f t="shared" si="24"/>
        <v>8.36</v>
      </c>
      <c r="AD98" s="136">
        <f t="shared" si="24"/>
        <v>8.36</v>
      </c>
      <c r="AE98" s="136">
        <f t="shared" si="24"/>
        <v>8.36</v>
      </c>
      <c r="AF98" s="136">
        <f t="shared" si="24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3"/>
        <v>8</v>
      </c>
      <c r="D99" s="136">
        <f t="shared" si="23"/>
        <v>8</v>
      </c>
      <c r="E99" s="136">
        <f t="shared" si="23"/>
        <v>8</v>
      </c>
      <c r="F99" s="136">
        <f t="shared" si="23"/>
        <v>8</v>
      </c>
      <c r="G99" s="136">
        <f t="shared" si="23"/>
        <v>8</v>
      </c>
      <c r="H99" s="136">
        <f t="shared" si="23"/>
        <v>8</v>
      </c>
      <c r="I99" s="136">
        <v>5.4</v>
      </c>
      <c r="J99" s="136">
        <f t="shared" si="23"/>
        <v>5.4</v>
      </c>
      <c r="K99" s="136">
        <f t="shared" si="23"/>
        <v>5.4</v>
      </c>
      <c r="L99" s="136">
        <f t="shared" si="23"/>
        <v>5.4</v>
      </c>
      <c r="M99" s="136">
        <f t="shared" si="23"/>
        <v>5.4</v>
      </c>
      <c r="N99" s="136">
        <f t="shared" si="23"/>
        <v>5.4</v>
      </c>
      <c r="O99" s="136">
        <f t="shared" si="23"/>
        <v>5.4</v>
      </c>
      <c r="P99" s="136">
        <f t="shared" si="23"/>
        <v>5.4</v>
      </c>
      <c r="Q99" s="136">
        <f t="shared" si="23"/>
        <v>5.4</v>
      </c>
      <c r="R99" s="136">
        <f t="shared" si="23"/>
        <v>5.4</v>
      </c>
      <c r="S99" s="136">
        <f t="shared" si="24"/>
        <v>5.4</v>
      </c>
      <c r="T99" s="136">
        <f t="shared" si="24"/>
        <v>5.4</v>
      </c>
      <c r="U99" s="136">
        <f t="shared" si="24"/>
        <v>5.4</v>
      </c>
      <c r="V99" s="136">
        <f t="shared" si="24"/>
        <v>5.4</v>
      </c>
      <c r="W99" s="136">
        <f t="shared" si="24"/>
        <v>5.4</v>
      </c>
      <c r="X99" s="136">
        <f t="shared" si="24"/>
        <v>5.4</v>
      </c>
      <c r="Y99" s="136">
        <f t="shared" si="24"/>
        <v>5.4</v>
      </c>
      <c r="Z99" s="136">
        <f t="shared" si="24"/>
        <v>5.4</v>
      </c>
      <c r="AA99" s="136">
        <f t="shared" si="24"/>
        <v>5.4</v>
      </c>
      <c r="AB99" s="136">
        <f t="shared" si="24"/>
        <v>5.4</v>
      </c>
      <c r="AC99" s="136">
        <f t="shared" si="24"/>
        <v>5.4</v>
      </c>
      <c r="AD99" s="136">
        <f t="shared" si="24"/>
        <v>5.4</v>
      </c>
      <c r="AE99" s="136">
        <f t="shared" si="24"/>
        <v>5.4</v>
      </c>
      <c r="AF99" s="136">
        <f t="shared" si="24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3"/>
        <v>6.57</v>
      </c>
      <c r="D100" s="136">
        <f t="shared" si="23"/>
        <v>6.57</v>
      </c>
      <c r="E100" s="136">
        <f t="shared" si="23"/>
        <v>6.57</v>
      </c>
      <c r="F100" s="136">
        <f t="shared" si="23"/>
        <v>6.57</v>
      </c>
      <c r="G100" s="136">
        <f t="shared" si="23"/>
        <v>6.57</v>
      </c>
      <c r="H100" s="136">
        <f t="shared" si="23"/>
        <v>6.57</v>
      </c>
      <c r="I100" s="136">
        <f t="shared" si="23"/>
        <v>6.57</v>
      </c>
      <c r="J100" s="136">
        <f t="shared" si="23"/>
        <v>6.57</v>
      </c>
      <c r="K100" s="136">
        <f t="shared" si="23"/>
        <v>6.57</v>
      </c>
      <c r="L100" s="136">
        <f t="shared" si="23"/>
        <v>6.57</v>
      </c>
      <c r="M100" s="136">
        <f t="shared" si="23"/>
        <v>6.57</v>
      </c>
      <c r="N100" s="136">
        <f t="shared" si="23"/>
        <v>6.57</v>
      </c>
      <c r="O100" s="136">
        <f t="shared" si="23"/>
        <v>6.57</v>
      </c>
      <c r="P100" s="136">
        <f t="shared" si="23"/>
        <v>6.57</v>
      </c>
      <c r="Q100" s="136">
        <f t="shared" si="23"/>
        <v>6.57</v>
      </c>
      <c r="R100" s="136">
        <f t="shared" si="23"/>
        <v>6.57</v>
      </c>
      <c r="S100" s="136">
        <f t="shared" si="24"/>
        <v>6.57</v>
      </c>
      <c r="T100" s="136">
        <f t="shared" si="24"/>
        <v>6.57</v>
      </c>
      <c r="U100" s="136">
        <f t="shared" si="24"/>
        <v>6.57</v>
      </c>
      <c r="V100" s="136">
        <f t="shared" si="24"/>
        <v>6.57</v>
      </c>
      <c r="W100" s="136">
        <f t="shared" si="24"/>
        <v>6.57</v>
      </c>
      <c r="X100" s="136">
        <f t="shared" si="24"/>
        <v>6.57</v>
      </c>
      <c r="Y100" s="136">
        <f t="shared" si="24"/>
        <v>6.57</v>
      </c>
      <c r="Z100" s="136">
        <f t="shared" si="24"/>
        <v>6.57</v>
      </c>
      <c r="AA100" s="136">
        <f t="shared" si="24"/>
        <v>6.57</v>
      </c>
      <c r="AB100" s="136">
        <f t="shared" si="24"/>
        <v>6.57</v>
      </c>
      <c r="AC100" s="136">
        <f t="shared" si="24"/>
        <v>6.57</v>
      </c>
      <c r="AD100" s="136">
        <f t="shared" si="24"/>
        <v>6.57</v>
      </c>
      <c r="AE100" s="136">
        <f t="shared" si="24"/>
        <v>6.57</v>
      </c>
      <c r="AF100" s="136">
        <f t="shared" si="24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3"/>
        <v>3.43</v>
      </c>
      <c r="D101" s="136">
        <f t="shared" si="23"/>
        <v>3.43</v>
      </c>
      <c r="E101" s="136">
        <f t="shared" si="23"/>
        <v>3.43</v>
      </c>
      <c r="F101" s="136">
        <f t="shared" si="23"/>
        <v>3.43</v>
      </c>
      <c r="G101" s="136">
        <f t="shared" si="23"/>
        <v>3.43</v>
      </c>
      <c r="H101" s="136">
        <f t="shared" si="23"/>
        <v>3.43</v>
      </c>
      <c r="I101" s="136">
        <f t="shared" si="23"/>
        <v>3.43</v>
      </c>
      <c r="J101" s="136">
        <f t="shared" si="23"/>
        <v>3.43</v>
      </c>
      <c r="K101" s="136">
        <f t="shared" si="23"/>
        <v>3.43</v>
      </c>
      <c r="L101" s="136">
        <f t="shared" si="23"/>
        <v>3.43</v>
      </c>
      <c r="M101" s="136">
        <f t="shared" si="23"/>
        <v>3.43</v>
      </c>
      <c r="N101" s="136">
        <f t="shared" si="23"/>
        <v>3.43</v>
      </c>
      <c r="O101" s="136">
        <f t="shared" si="23"/>
        <v>3.43</v>
      </c>
      <c r="P101" s="136">
        <f t="shared" si="23"/>
        <v>3.43</v>
      </c>
      <c r="Q101" s="136">
        <f t="shared" si="23"/>
        <v>3.43</v>
      </c>
      <c r="R101" s="136">
        <f t="shared" si="23"/>
        <v>3.43</v>
      </c>
      <c r="S101" s="136">
        <f t="shared" si="24"/>
        <v>3.43</v>
      </c>
      <c r="T101" s="136">
        <f t="shared" si="24"/>
        <v>3.43</v>
      </c>
      <c r="U101" s="136">
        <f t="shared" si="24"/>
        <v>3.43</v>
      </c>
      <c r="V101" s="136">
        <f t="shared" si="24"/>
        <v>3.43</v>
      </c>
      <c r="W101" s="136">
        <f t="shared" si="24"/>
        <v>3.43</v>
      </c>
      <c r="X101" s="136">
        <f t="shared" si="24"/>
        <v>3.43</v>
      </c>
      <c r="Y101" s="136">
        <f t="shared" si="24"/>
        <v>3.43</v>
      </c>
      <c r="Z101" s="136">
        <f t="shared" si="24"/>
        <v>3.43</v>
      </c>
      <c r="AA101" s="136">
        <f t="shared" si="24"/>
        <v>3.43</v>
      </c>
      <c r="AB101" s="136">
        <f t="shared" si="24"/>
        <v>3.43</v>
      </c>
      <c r="AC101" s="136">
        <f t="shared" si="24"/>
        <v>3.43</v>
      </c>
      <c r="AD101" s="136">
        <f t="shared" si="24"/>
        <v>3.43</v>
      </c>
      <c r="AE101" s="136">
        <f t="shared" si="24"/>
        <v>3.43</v>
      </c>
      <c r="AF101" s="136">
        <f t="shared" si="24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3"/>
        <v>8</v>
      </c>
      <c r="D102" s="136">
        <f t="shared" si="23"/>
        <v>8</v>
      </c>
      <c r="E102" s="136">
        <f t="shared" si="23"/>
        <v>8</v>
      </c>
      <c r="F102" s="136">
        <f t="shared" si="23"/>
        <v>8</v>
      </c>
      <c r="G102" s="136">
        <f t="shared" si="23"/>
        <v>8</v>
      </c>
      <c r="H102" s="136">
        <f t="shared" si="23"/>
        <v>8</v>
      </c>
      <c r="I102" s="136">
        <f t="shared" si="23"/>
        <v>8</v>
      </c>
      <c r="J102" s="136">
        <f t="shared" si="23"/>
        <v>8</v>
      </c>
      <c r="K102" s="136">
        <f t="shared" si="23"/>
        <v>8</v>
      </c>
      <c r="L102" s="136">
        <f t="shared" si="23"/>
        <v>8</v>
      </c>
      <c r="M102" s="136">
        <f t="shared" si="23"/>
        <v>8</v>
      </c>
      <c r="N102" s="136">
        <f t="shared" si="23"/>
        <v>8</v>
      </c>
      <c r="O102" s="136">
        <f t="shared" si="23"/>
        <v>8</v>
      </c>
      <c r="P102" s="136">
        <f t="shared" si="23"/>
        <v>8</v>
      </c>
      <c r="Q102" s="136">
        <f t="shared" si="23"/>
        <v>8</v>
      </c>
      <c r="R102" s="136">
        <f t="shared" si="23"/>
        <v>8</v>
      </c>
      <c r="S102" s="136">
        <f t="shared" si="24"/>
        <v>8</v>
      </c>
      <c r="T102" s="136">
        <f t="shared" si="24"/>
        <v>8</v>
      </c>
      <c r="U102" s="136">
        <f t="shared" si="24"/>
        <v>8</v>
      </c>
      <c r="V102" s="136">
        <f t="shared" si="24"/>
        <v>8</v>
      </c>
      <c r="W102" s="136">
        <f t="shared" si="24"/>
        <v>8</v>
      </c>
      <c r="X102" s="136">
        <f t="shared" si="24"/>
        <v>8</v>
      </c>
      <c r="Y102" s="136">
        <f t="shared" si="24"/>
        <v>8</v>
      </c>
      <c r="Z102" s="136">
        <f t="shared" si="24"/>
        <v>8</v>
      </c>
      <c r="AA102" s="136">
        <f t="shared" si="24"/>
        <v>8</v>
      </c>
      <c r="AB102" s="136">
        <f t="shared" si="24"/>
        <v>8</v>
      </c>
      <c r="AC102" s="136">
        <f t="shared" si="24"/>
        <v>8</v>
      </c>
      <c r="AD102" s="136">
        <f t="shared" si="24"/>
        <v>8</v>
      </c>
      <c r="AE102" s="136">
        <f t="shared" si="24"/>
        <v>8</v>
      </c>
      <c r="AF102" s="136">
        <f t="shared" si="24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3"/>
        <v>2.96</v>
      </c>
      <c r="D103" s="136">
        <f t="shared" si="23"/>
        <v>2.96</v>
      </c>
      <c r="E103" s="136">
        <f t="shared" si="23"/>
        <v>2.96</v>
      </c>
      <c r="F103" s="136">
        <f t="shared" si="23"/>
        <v>2.96</v>
      </c>
      <c r="G103" s="136">
        <f t="shared" si="23"/>
        <v>2.96</v>
      </c>
      <c r="H103" s="136">
        <f t="shared" si="23"/>
        <v>2.96</v>
      </c>
      <c r="I103" s="136">
        <f t="shared" si="23"/>
        <v>2.96</v>
      </c>
      <c r="J103" s="136">
        <f t="shared" si="23"/>
        <v>2.96</v>
      </c>
      <c r="K103" s="136">
        <f t="shared" si="23"/>
        <v>2.96</v>
      </c>
      <c r="L103" s="136">
        <f t="shared" si="23"/>
        <v>2.96</v>
      </c>
      <c r="M103" s="136">
        <f t="shared" si="23"/>
        <v>2.96</v>
      </c>
      <c r="N103" s="136">
        <f t="shared" si="23"/>
        <v>2.96</v>
      </c>
      <c r="O103" s="136">
        <f t="shared" si="23"/>
        <v>2.96</v>
      </c>
      <c r="P103" s="136">
        <f t="shared" si="23"/>
        <v>2.96</v>
      </c>
      <c r="Q103" s="136">
        <f t="shared" si="23"/>
        <v>2.96</v>
      </c>
      <c r="R103" s="136">
        <f t="shared" si="23"/>
        <v>2.96</v>
      </c>
      <c r="S103" s="136">
        <f t="shared" si="24"/>
        <v>2.96</v>
      </c>
      <c r="T103" s="136">
        <f t="shared" si="24"/>
        <v>2.96</v>
      </c>
      <c r="U103" s="136">
        <f t="shared" si="24"/>
        <v>2.96</v>
      </c>
      <c r="V103" s="136">
        <f t="shared" si="24"/>
        <v>2.96</v>
      </c>
      <c r="W103" s="136">
        <f t="shared" si="24"/>
        <v>2.96</v>
      </c>
      <c r="X103" s="136">
        <f t="shared" si="24"/>
        <v>2.96</v>
      </c>
      <c r="Y103" s="136">
        <f t="shared" si="24"/>
        <v>2.96</v>
      </c>
      <c r="Z103" s="136">
        <f t="shared" si="24"/>
        <v>2.96</v>
      </c>
      <c r="AA103" s="136">
        <f t="shared" si="24"/>
        <v>2.96</v>
      </c>
      <c r="AB103" s="136">
        <f t="shared" si="24"/>
        <v>2.96</v>
      </c>
      <c r="AC103" s="136">
        <f t="shared" si="24"/>
        <v>2.96</v>
      </c>
      <c r="AD103" s="136">
        <f t="shared" si="24"/>
        <v>2.96</v>
      </c>
      <c r="AE103" s="136">
        <f t="shared" si="24"/>
        <v>2.96</v>
      </c>
      <c r="AF103" s="136">
        <f t="shared" si="24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3"/>
        <v>7</v>
      </c>
      <c r="E104" s="136">
        <f t="shared" si="23"/>
        <v>7</v>
      </c>
      <c r="F104" s="136">
        <f t="shared" si="23"/>
        <v>7</v>
      </c>
      <c r="G104" s="136">
        <f t="shared" si="23"/>
        <v>7</v>
      </c>
      <c r="H104" s="136">
        <f t="shared" si="23"/>
        <v>7</v>
      </c>
      <c r="I104" s="136">
        <f t="shared" si="23"/>
        <v>7</v>
      </c>
      <c r="J104" s="136">
        <f t="shared" si="23"/>
        <v>7</v>
      </c>
      <c r="K104" s="136">
        <f t="shared" si="23"/>
        <v>7</v>
      </c>
      <c r="L104" s="136">
        <f t="shared" si="23"/>
        <v>7</v>
      </c>
      <c r="M104" s="136">
        <f t="shared" si="23"/>
        <v>7</v>
      </c>
      <c r="N104" s="136">
        <f t="shared" si="23"/>
        <v>7</v>
      </c>
      <c r="O104" s="136">
        <f t="shared" si="23"/>
        <v>7</v>
      </c>
      <c r="P104" s="136">
        <f t="shared" si="23"/>
        <v>7</v>
      </c>
      <c r="Q104" s="136">
        <f t="shared" si="23"/>
        <v>7</v>
      </c>
      <c r="R104" s="136">
        <f t="shared" si="23"/>
        <v>7</v>
      </c>
      <c r="S104" s="136">
        <f t="shared" si="24"/>
        <v>7</v>
      </c>
      <c r="T104" s="136">
        <f t="shared" si="24"/>
        <v>7</v>
      </c>
      <c r="U104" s="136">
        <f t="shared" si="24"/>
        <v>7</v>
      </c>
      <c r="V104" s="136">
        <f t="shared" si="24"/>
        <v>7</v>
      </c>
      <c r="W104" s="136">
        <f t="shared" si="24"/>
        <v>7</v>
      </c>
      <c r="X104" s="136">
        <f t="shared" si="24"/>
        <v>7</v>
      </c>
      <c r="Y104" s="136">
        <f t="shared" si="24"/>
        <v>7</v>
      </c>
      <c r="Z104" s="136">
        <f t="shared" si="24"/>
        <v>7</v>
      </c>
      <c r="AA104" s="136">
        <f t="shared" si="24"/>
        <v>7</v>
      </c>
      <c r="AB104" s="136">
        <f t="shared" si="24"/>
        <v>7</v>
      </c>
      <c r="AC104" s="136">
        <f t="shared" si="24"/>
        <v>7</v>
      </c>
      <c r="AD104" s="136">
        <f t="shared" si="24"/>
        <v>7</v>
      </c>
      <c r="AE104" s="136">
        <f t="shared" si="24"/>
        <v>7</v>
      </c>
      <c r="AF104" s="136">
        <f t="shared" si="24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5">B105</f>
        <v>3.47</v>
      </c>
      <c r="D105" s="136">
        <f t="shared" si="25"/>
        <v>3.47</v>
      </c>
      <c r="E105" s="136">
        <f t="shared" si="25"/>
        <v>3.47</v>
      </c>
      <c r="F105" s="136">
        <f t="shared" si="25"/>
        <v>3.47</v>
      </c>
      <c r="G105" s="136">
        <f t="shared" si="25"/>
        <v>3.47</v>
      </c>
      <c r="H105" s="136">
        <f t="shared" si="25"/>
        <v>3.47</v>
      </c>
      <c r="I105" s="136">
        <f t="shared" si="25"/>
        <v>3.47</v>
      </c>
      <c r="J105" s="136">
        <f t="shared" si="25"/>
        <v>3.47</v>
      </c>
      <c r="K105" s="136">
        <f t="shared" si="25"/>
        <v>3.47</v>
      </c>
      <c r="L105" s="136">
        <f t="shared" si="25"/>
        <v>3.47</v>
      </c>
      <c r="M105" s="136">
        <f t="shared" si="25"/>
        <v>3.47</v>
      </c>
      <c r="N105" s="136">
        <f t="shared" si="25"/>
        <v>3.47</v>
      </c>
      <c r="O105" s="136">
        <f t="shared" si="25"/>
        <v>3.47</v>
      </c>
      <c r="P105" s="136">
        <f t="shared" si="25"/>
        <v>3.47</v>
      </c>
      <c r="Q105" s="136">
        <f t="shared" si="25"/>
        <v>3.47</v>
      </c>
      <c r="R105" s="136">
        <f t="shared" si="25"/>
        <v>3.47</v>
      </c>
      <c r="S105" s="136">
        <f t="shared" ref="S105:AF123" si="26">R105</f>
        <v>3.47</v>
      </c>
      <c r="T105" s="136">
        <f t="shared" si="26"/>
        <v>3.47</v>
      </c>
      <c r="U105" s="136">
        <f t="shared" si="26"/>
        <v>3.47</v>
      </c>
      <c r="V105" s="136">
        <f t="shared" si="26"/>
        <v>3.47</v>
      </c>
      <c r="W105" s="136">
        <f t="shared" si="26"/>
        <v>3.47</v>
      </c>
      <c r="X105" s="136">
        <f t="shared" si="26"/>
        <v>3.47</v>
      </c>
      <c r="Y105" s="136">
        <f t="shared" si="26"/>
        <v>3.47</v>
      </c>
      <c r="Z105" s="136">
        <f t="shared" si="26"/>
        <v>3.47</v>
      </c>
      <c r="AA105" s="136">
        <f t="shared" si="26"/>
        <v>3.47</v>
      </c>
      <c r="AB105" s="136">
        <f t="shared" si="26"/>
        <v>3.47</v>
      </c>
      <c r="AC105" s="136">
        <f t="shared" si="26"/>
        <v>3.47</v>
      </c>
      <c r="AD105" s="136">
        <f t="shared" si="26"/>
        <v>3.47</v>
      </c>
      <c r="AE105" s="136">
        <f t="shared" si="26"/>
        <v>3.47</v>
      </c>
      <c r="AF105" s="136">
        <f t="shared" si="26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5"/>
        <v>2.1</v>
      </c>
      <c r="D106" s="136">
        <f t="shared" si="25"/>
        <v>2.1</v>
      </c>
      <c r="E106" s="136">
        <f t="shared" si="25"/>
        <v>2.1</v>
      </c>
      <c r="F106" s="136">
        <f t="shared" si="25"/>
        <v>2.1</v>
      </c>
      <c r="G106" s="136">
        <f t="shared" si="25"/>
        <v>2.1</v>
      </c>
      <c r="H106" s="136">
        <f t="shared" si="25"/>
        <v>2.1</v>
      </c>
      <c r="I106" s="136">
        <f t="shared" si="25"/>
        <v>2.1</v>
      </c>
      <c r="J106" s="136">
        <f t="shared" si="25"/>
        <v>2.1</v>
      </c>
      <c r="K106" s="136">
        <f t="shared" si="25"/>
        <v>2.1</v>
      </c>
      <c r="L106" s="136">
        <f t="shared" si="25"/>
        <v>2.1</v>
      </c>
      <c r="M106" s="136">
        <f t="shared" si="25"/>
        <v>2.1</v>
      </c>
      <c r="N106" s="136">
        <f t="shared" si="25"/>
        <v>2.1</v>
      </c>
      <c r="O106" s="136">
        <f t="shared" si="25"/>
        <v>2.1</v>
      </c>
      <c r="P106" s="136">
        <f t="shared" si="25"/>
        <v>2.1</v>
      </c>
      <c r="Q106" s="136">
        <f t="shared" si="25"/>
        <v>2.1</v>
      </c>
      <c r="R106" s="136">
        <f t="shared" si="25"/>
        <v>2.1</v>
      </c>
      <c r="S106" s="136">
        <f t="shared" si="26"/>
        <v>2.1</v>
      </c>
      <c r="T106" s="136">
        <f t="shared" si="26"/>
        <v>2.1</v>
      </c>
      <c r="U106" s="136">
        <f t="shared" si="26"/>
        <v>2.1</v>
      </c>
      <c r="V106" s="136">
        <f t="shared" si="26"/>
        <v>2.1</v>
      </c>
      <c r="W106" s="136">
        <f t="shared" si="26"/>
        <v>2.1</v>
      </c>
      <c r="X106" s="136">
        <f t="shared" si="26"/>
        <v>2.1</v>
      </c>
      <c r="Y106" s="136">
        <f t="shared" si="26"/>
        <v>2.1</v>
      </c>
      <c r="Z106" s="136">
        <f t="shared" si="26"/>
        <v>2.1</v>
      </c>
      <c r="AA106" s="136">
        <f t="shared" si="26"/>
        <v>2.1</v>
      </c>
      <c r="AB106" s="136">
        <f t="shared" si="26"/>
        <v>2.1</v>
      </c>
      <c r="AC106" s="136">
        <f t="shared" si="26"/>
        <v>2.1</v>
      </c>
      <c r="AD106" s="136">
        <f t="shared" si="26"/>
        <v>2.1</v>
      </c>
      <c r="AE106" s="136">
        <f t="shared" si="26"/>
        <v>2.1</v>
      </c>
      <c r="AF106" s="136">
        <f t="shared" si="26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5"/>
        <v>9.3000000000000007</v>
      </c>
      <c r="D107" s="136">
        <f t="shared" si="25"/>
        <v>9.3000000000000007</v>
      </c>
      <c r="E107" s="136">
        <f t="shared" si="25"/>
        <v>9.3000000000000007</v>
      </c>
      <c r="F107" s="136">
        <f t="shared" si="25"/>
        <v>9.3000000000000007</v>
      </c>
      <c r="G107" s="136">
        <f t="shared" si="25"/>
        <v>9.3000000000000007</v>
      </c>
      <c r="H107" s="136">
        <f t="shared" si="25"/>
        <v>9.3000000000000007</v>
      </c>
      <c r="I107" s="136">
        <f t="shared" si="25"/>
        <v>9.3000000000000007</v>
      </c>
      <c r="J107" s="136">
        <f t="shared" si="25"/>
        <v>9.3000000000000007</v>
      </c>
      <c r="K107" s="136">
        <f t="shared" si="25"/>
        <v>9.3000000000000007</v>
      </c>
      <c r="L107" s="136">
        <f t="shared" si="25"/>
        <v>9.3000000000000007</v>
      </c>
      <c r="M107" s="136">
        <f t="shared" si="25"/>
        <v>9.3000000000000007</v>
      </c>
      <c r="N107" s="136">
        <f t="shared" si="25"/>
        <v>9.3000000000000007</v>
      </c>
      <c r="O107" s="136">
        <f t="shared" si="25"/>
        <v>9.3000000000000007</v>
      </c>
      <c r="P107" s="136">
        <f t="shared" si="25"/>
        <v>9.3000000000000007</v>
      </c>
      <c r="Q107" s="136">
        <f t="shared" si="25"/>
        <v>9.3000000000000007</v>
      </c>
      <c r="R107" s="136">
        <f t="shared" si="25"/>
        <v>9.3000000000000007</v>
      </c>
      <c r="S107" s="136">
        <f t="shared" si="26"/>
        <v>9.3000000000000007</v>
      </c>
      <c r="T107" s="136">
        <f t="shared" si="26"/>
        <v>9.3000000000000007</v>
      </c>
      <c r="U107" s="136">
        <f t="shared" si="26"/>
        <v>9.3000000000000007</v>
      </c>
      <c r="V107" s="136">
        <f t="shared" si="26"/>
        <v>9.3000000000000007</v>
      </c>
      <c r="W107" s="136">
        <f t="shared" si="26"/>
        <v>9.3000000000000007</v>
      </c>
      <c r="X107" s="136">
        <f t="shared" si="26"/>
        <v>9.3000000000000007</v>
      </c>
      <c r="Y107" s="136">
        <f t="shared" si="26"/>
        <v>9.3000000000000007</v>
      </c>
      <c r="Z107" s="136">
        <f t="shared" si="26"/>
        <v>9.3000000000000007</v>
      </c>
      <c r="AA107" s="136">
        <f t="shared" si="26"/>
        <v>9.3000000000000007</v>
      </c>
      <c r="AB107" s="136">
        <f t="shared" si="26"/>
        <v>9.3000000000000007</v>
      </c>
      <c r="AC107" s="136">
        <f t="shared" si="26"/>
        <v>9.3000000000000007</v>
      </c>
      <c r="AD107" s="136">
        <f t="shared" si="26"/>
        <v>9.3000000000000007</v>
      </c>
      <c r="AE107" s="136">
        <f t="shared" si="26"/>
        <v>9.3000000000000007</v>
      </c>
      <c r="AF107" s="136">
        <f t="shared" si="26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5"/>
        <v>0</v>
      </c>
      <c r="D108" s="136">
        <f t="shared" si="25"/>
        <v>0</v>
      </c>
      <c r="E108" s="136">
        <f t="shared" si="25"/>
        <v>0</v>
      </c>
      <c r="F108" s="136">
        <f t="shared" si="25"/>
        <v>0</v>
      </c>
      <c r="G108" s="136">
        <f t="shared" si="25"/>
        <v>0</v>
      </c>
      <c r="H108" s="136">
        <f t="shared" si="25"/>
        <v>0</v>
      </c>
      <c r="I108" s="136">
        <f t="shared" si="25"/>
        <v>0</v>
      </c>
      <c r="J108" s="136">
        <f t="shared" si="25"/>
        <v>0</v>
      </c>
      <c r="K108" s="136">
        <f t="shared" si="25"/>
        <v>0</v>
      </c>
      <c r="L108" s="136">
        <f t="shared" si="25"/>
        <v>0</v>
      </c>
      <c r="M108" s="136">
        <f t="shared" si="25"/>
        <v>0</v>
      </c>
      <c r="N108" s="136">
        <f t="shared" si="25"/>
        <v>0</v>
      </c>
      <c r="O108" s="136">
        <f t="shared" si="25"/>
        <v>0</v>
      </c>
      <c r="P108" s="136">
        <f t="shared" si="25"/>
        <v>0</v>
      </c>
      <c r="Q108" s="136">
        <f t="shared" si="25"/>
        <v>0</v>
      </c>
      <c r="R108" s="136">
        <f t="shared" si="25"/>
        <v>0</v>
      </c>
      <c r="S108" s="136">
        <f t="shared" si="26"/>
        <v>0</v>
      </c>
      <c r="T108" s="136">
        <f t="shared" si="26"/>
        <v>0</v>
      </c>
      <c r="U108" s="136">
        <f t="shared" si="26"/>
        <v>0</v>
      </c>
      <c r="V108" s="136">
        <f t="shared" si="26"/>
        <v>0</v>
      </c>
      <c r="W108" s="136">
        <f t="shared" si="26"/>
        <v>0</v>
      </c>
      <c r="X108" s="136">
        <f t="shared" si="26"/>
        <v>0</v>
      </c>
      <c r="Y108" s="136">
        <f t="shared" si="26"/>
        <v>0</v>
      </c>
      <c r="Z108" s="136">
        <f t="shared" si="26"/>
        <v>0</v>
      </c>
      <c r="AA108" s="136">
        <f t="shared" si="26"/>
        <v>0</v>
      </c>
      <c r="AB108" s="136">
        <f t="shared" si="26"/>
        <v>0</v>
      </c>
      <c r="AC108" s="136">
        <f t="shared" si="26"/>
        <v>0</v>
      </c>
      <c r="AD108" s="136">
        <f t="shared" si="26"/>
        <v>0</v>
      </c>
      <c r="AE108" s="136">
        <f t="shared" si="26"/>
        <v>0</v>
      </c>
      <c r="AF108" s="136">
        <f t="shared" si="26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5"/>
        <v>0</v>
      </c>
      <c r="D109" s="136">
        <f t="shared" si="25"/>
        <v>0</v>
      </c>
      <c r="E109" s="136">
        <f t="shared" si="25"/>
        <v>0</v>
      </c>
      <c r="F109" s="136">
        <f t="shared" si="25"/>
        <v>0</v>
      </c>
      <c r="G109" s="136">
        <f t="shared" si="25"/>
        <v>0</v>
      </c>
      <c r="H109" s="136">
        <f t="shared" si="25"/>
        <v>0</v>
      </c>
      <c r="I109" s="136">
        <f t="shared" si="25"/>
        <v>0</v>
      </c>
      <c r="J109" s="136">
        <f t="shared" si="25"/>
        <v>0</v>
      </c>
      <c r="K109" s="136">
        <f t="shared" si="25"/>
        <v>0</v>
      </c>
      <c r="L109" s="136">
        <f t="shared" si="25"/>
        <v>0</v>
      </c>
      <c r="M109" s="136">
        <f t="shared" si="25"/>
        <v>0</v>
      </c>
      <c r="N109" s="136">
        <f t="shared" si="25"/>
        <v>0</v>
      </c>
      <c r="O109" s="136">
        <f t="shared" si="25"/>
        <v>0</v>
      </c>
      <c r="P109" s="136">
        <f t="shared" si="25"/>
        <v>0</v>
      </c>
      <c r="Q109" s="136">
        <f t="shared" si="25"/>
        <v>0</v>
      </c>
      <c r="R109" s="136">
        <f t="shared" si="25"/>
        <v>0</v>
      </c>
      <c r="S109" s="136">
        <f t="shared" si="26"/>
        <v>0</v>
      </c>
      <c r="T109" s="136">
        <f t="shared" si="26"/>
        <v>0</v>
      </c>
      <c r="U109" s="136">
        <f t="shared" si="26"/>
        <v>0</v>
      </c>
      <c r="V109" s="136">
        <f t="shared" si="26"/>
        <v>0</v>
      </c>
      <c r="W109" s="136">
        <f t="shared" si="26"/>
        <v>0</v>
      </c>
      <c r="X109" s="136">
        <f t="shared" si="26"/>
        <v>0</v>
      </c>
      <c r="Y109" s="136">
        <f t="shared" si="26"/>
        <v>0</v>
      </c>
      <c r="Z109" s="136">
        <f t="shared" si="26"/>
        <v>0</v>
      </c>
      <c r="AA109" s="136">
        <f t="shared" si="26"/>
        <v>0</v>
      </c>
      <c r="AB109" s="136">
        <f t="shared" si="26"/>
        <v>0</v>
      </c>
      <c r="AC109" s="136">
        <f t="shared" si="26"/>
        <v>0</v>
      </c>
      <c r="AD109" s="136">
        <f t="shared" si="26"/>
        <v>0</v>
      </c>
      <c r="AE109" s="136">
        <f t="shared" si="26"/>
        <v>0</v>
      </c>
      <c r="AF109" s="136">
        <f t="shared" si="26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5"/>
        <v>5</v>
      </c>
      <c r="D110" s="136">
        <f t="shared" si="25"/>
        <v>5</v>
      </c>
      <c r="E110" s="136">
        <f t="shared" si="25"/>
        <v>5</v>
      </c>
      <c r="F110" s="136">
        <f t="shared" si="25"/>
        <v>5</v>
      </c>
      <c r="G110" s="136">
        <f t="shared" si="25"/>
        <v>5</v>
      </c>
      <c r="H110" s="136">
        <f t="shared" si="25"/>
        <v>5</v>
      </c>
      <c r="I110" s="136">
        <f t="shared" si="25"/>
        <v>5</v>
      </c>
      <c r="J110" s="136">
        <f t="shared" si="25"/>
        <v>5</v>
      </c>
      <c r="K110" s="136">
        <f t="shared" si="25"/>
        <v>5</v>
      </c>
      <c r="L110" s="136">
        <f t="shared" si="25"/>
        <v>5</v>
      </c>
      <c r="M110" s="136">
        <f t="shared" si="25"/>
        <v>5</v>
      </c>
      <c r="N110" s="136">
        <f t="shared" si="25"/>
        <v>5</v>
      </c>
      <c r="O110" s="136">
        <f t="shared" si="25"/>
        <v>5</v>
      </c>
      <c r="P110" s="136">
        <f t="shared" si="25"/>
        <v>5</v>
      </c>
      <c r="Q110" s="136">
        <f t="shared" si="25"/>
        <v>5</v>
      </c>
      <c r="R110" s="136">
        <f t="shared" si="25"/>
        <v>5</v>
      </c>
      <c r="S110" s="136">
        <f t="shared" si="26"/>
        <v>5</v>
      </c>
      <c r="T110" s="136">
        <f t="shared" si="26"/>
        <v>5</v>
      </c>
      <c r="U110" s="136">
        <f t="shared" si="26"/>
        <v>5</v>
      </c>
      <c r="V110" s="136">
        <f t="shared" si="26"/>
        <v>5</v>
      </c>
      <c r="W110" s="136">
        <f t="shared" si="26"/>
        <v>5</v>
      </c>
      <c r="X110" s="136">
        <f t="shared" si="26"/>
        <v>5</v>
      </c>
      <c r="Y110" s="136">
        <f t="shared" si="26"/>
        <v>5</v>
      </c>
      <c r="Z110" s="136">
        <f t="shared" si="26"/>
        <v>5</v>
      </c>
      <c r="AA110" s="136">
        <f t="shared" si="26"/>
        <v>5</v>
      </c>
      <c r="AB110" s="136">
        <f t="shared" si="26"/>
        <v>5</v>
      </c>
      <c r="AC110" s="136">
        <f t="shared" si="26"/>
        <v>5</v>
      </c>
      <c r="AD110" s="136">
        <f t="shared" si="26"/>
        <v>5</v>
      </c>
      <c r="AE110" s="136">
        <f t="shared" si="26"/>
        <v>5</v>
      </c>
      <c r="AF110" s="136">
        <f t="shared" si="26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5"/>
        <v>1</v>
      </c>
      <c r="D111" s="136">
        <f t="shared" si="25"/>
        <v>1</v>
      </c>
      <c r="E111" s="136">
        <f t="shared" si="25"/>
        <v>1</v>
      </c>
      <c r="F111" s="136">
        <f t="shared" si="25"/>
        <v>1</v>
      </c>
      <c r="G111" s="136">
        <f t="shared" si="25"/>
        <v>1</v>
      </c>
      <c r="H111" s="136">
        <f t="shared" si="25"/>
        <v>1</v>
      </c>
      <c r="I111" s="136">
        <f t="shared" si="25"/>
        <v>1</v>
      </c>
      <c r="J111" s="136">
        <f t="shared" si="25"/>
        <v>1</v>
      </c>
      <c r="K111" s="136">
        <f t="shared" si="25"/>
        <v>1</v>
      </c>
      <c r="L111" s="136">
        <f t="shared" si="25"/>
        <v>1</v>
      </c>
      <c r="M111" s="136">
        <f t="shared" si="25"/>
        <v>1</v>
      </c>
      <c r="N111" s="136">
        <f t="shared" si="25"/>
        <v>1</v>
      </c>
      <c r="O111" s="136">
        <f t="shared" si="25"/>
        <v>1</v>
      </c>
      <c r="P111" s="136">
        <f t="shared" si="25"/>
        <v>1</v>
      </c>
      <c r="Q111" s="136">
        <f t="shared" si="25"/>
        <v>1</v>
      </c>
      <c r="R111" s="136">
        <f t="shared" si="25"/>
        <v>1</v>
      </c>
      <c r="S111" s="136">
        <f t="shared" si="26"/>
        <v>1</v>
      </c>
      <c r="T111" s="136">
        <f t="shared" si="26"/>
        <v>1</v>
      </c>
      <c r="U111" s="136">
        <f t="shared" si="26"/>
        <v>1</v>
      </c>
      <c r="V111" s="136">
        <f t="shared" si="26"/>
        <v>1</v>
      </c>
      <c r="W111" s="136">
        <f t="shared" si="26"/>
        <v>1</v>
      </c>
      <c r="X111" s="136">
        <f t="shared" si="26"/>
        <v>1</v>
      </c>
      <c r="Y111" s="136">
        <f t="shared" si="26"/>
        <v>1</v>
      </c>
      <c r="Z111" s="136">
        <f t="shared" si="26"/>
        <v>1</v>
      </c>
      <c r="AA111" s="136">
        <f t="shared" si="26"/>
        <v>1</v>
      </c>
      <c r="AB111" s="136">
        <f t="shared" si="26"/>
        <v>1</v>
      </c>
      <c r="AC111" s="136">
        <f t="shared" si="26"/>
        <v>1</v>
      </c>
      <c r="AD111" s="136">
        <f t="shared" si="26"/>
        <v>1</v>
      </c>
      <c r="AE111" s="136">
        <f t="shared" si="26"/>
        <v>1</v>
      </c>
      <c r="AF111" s="136">
        <f t="shared" si="26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5"/>
        <v>1.58</v>
      </c>
      <c r="D112" s="136">
        <f t="shared" si="25"/>
        <v>1.58</v>
      </c>
      <c r="E112" s="136">
        <f t="shared" si="25"/>
        <v>1.58</v>
      </c>
      <c r="F112" s="136">
        <f t="shared" si="25"/>
        <v>1.58</v>
      </c>
      <c r="G112" s="136">
        <f t="shared" si="25"/>
        <v>1.58</v>
      </c>
      <c r="H112" s="136">
        <f t="shared" si="25"/>
        <v>1.58</v>
      </c>
      <c r="I112" s="136">
        <f t="shared" si="25"/>
        <v>1.58</v>
      </c>
      <c r="J112" s="136">
        <f t="shared" si="25"/>
        <v>1.58</v>
      </c>
      <c r="K112" s="136">
        <f t="shared" si="25"/>
        <v>1.58</v>
      </c>
      <c r="L112" s="136">
        <f t="shared" si="25"/>
        <v>1.58</v>
      </c>
      <c r="M112" s="136">
        <f t="shared" si="25"/>
        <v>1.58</v>
      </c>
      <c r="N112" s="136">
        <f t="shared" si="25"/>
        <v>1.58</v>
      </c>
      <c r="O112" s="136">
        <f t="shared" si="25"/>
        <v>1.58</v>
      </c>
      <c r="P112" s="136">
        <f t="shared" si="25"/>
        <v>1.58</v>
      </c>
      <c r="Q112" s="136">
        <f t="shared" si="25"/>
        <v>1.58</v>
      </c>
      <c r="R112" s="136">
        <f t="shared" si="25"/>
        <v>1.58</v>
      </c>
      <c r="S112" s="136">
        <f t="shared" si="26"/>
        <v>1.58</v>
      </c>
      <c r="T112" s="136">
        <f t="shared" si="26"/>
        <v>1.58</v>
      </c>
      <c r="U112" s="136">
        <f t="shared" si="26"/>
        <v>1.58</v>
      </c>
      <c r="V112" s="136">
        <f t="shared" si="26"/>
        <v>1.58</v>
      </c>
      <c r="W112" s="136">
        <f t="shared" si="26"/>
        <v>1.58</v>
      </c>
      <c r="X112" s="136">
        <f t="shared" si="26"/>
        <v>1.58</v>
      </c>
      <c r="Y112" s="136">
        <f t="shared" si="26"/>
        <v>1.58</v>
      </c>
      <c r="Z112" s="136">
        <f t="shared" si="26"/>
        <v>1.58</v>
      </c>
      <c r="AA112" s="136">
        <f t="shared" si="26"/>
        <v>1.58</v>
      </c>
      <c r="AB112" s="136">
        <f t="shared" si="26"/>
        <v>1.58</v>
      </c>
      <c r="AC112" s="136">
        <f t="shared" si="26"/>
        <v>1.58</v>
      </c>
      <c r="AD112" s="136">
        <f t="shared" si="26"/>
        <v>1.58</v>
      </c>
      <c r="AE112" s="136">
        <f t="shared" si="26"/>
        <v>1.58</v>
      </c>
      <c r="AF112" s="136">
        <f t="shared" si="26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5"/>
        <v>1.46</v>
      </c>
      <c r="D113" s="136">
        <f t="shared" si="25"/>
        <v>1.46</v>
      </c>
      <c r="E113" s="136">
        <f t="shared" si="25"/>
        <v>1.46</v>
      </c>
      <c r="F113" s="136">
        <f t="shared" si="25"/>
        <v>1.46</v>
      </c>
      <c r="G113" s="136">
        <f t="shared" si="25"/>
        <v>1.46</v>
      </c>
      <c r="H113" s="136">
        <f t="shared" si="25"/>
        <v>1.46</v>
      </c>
      <c r="I113" s="136">
        <f t="shared" si="25"/>
        <v>1.46</v>
      </c>
      <c r="J113" s="136">
        <f t="shared" si="25"/>
        <v>1.46</v>
      </c>
      <c r="K113" s="136">
        <f t="shared" si="25"/>
        <v>1.46</v>
      </c>
      <c r="L113" s="136">
        <f t="shared" si="25"/>
        <v>1.46</v>
      </c>
      <c r="M113" s="136">
        <f t="shared" si="25"/>
        <v>1.46</v>
      </c>
      <c r="N113" s="136">
        <f t="shared" si="25"/>
        <v>1.46</v>
      </c>
      <c r="O113" s="136">
        <f t="shared" si="25"/>
        <v>1.46</v>
      </c>
      <c r="P113" s="136">
        <f t="shared" si="25"/>
        <v>1.46</v>
      </c>
      <c r="Q113" s="136">
        <f t="shared" si="25"/>
        <v>1.46</v>
      </c>
      <c r="R113" s="136">
        <f t="shared" si="25"/>
        <v>1.46</v>
      </c>
      <c r="S113" s="136">
        <f t="shared" si="26"/>
        <v>1.46</v>
      </c>
      <c r="T113" s="136">
        <f t="shared" si="26"/>
        <v>1.46</v>
      </c>
      <c r="U113" s="136">
        <f t="shared" si="26"/>
        <v>1.46</v>
      </c>
      <c r="V113" s="136">
        <f t="shared" si="26"/>
        <v>1.46</v>
      </c>
      <c r="W113" s="136">
        <f t="shared" si="26"/>
        <v>1.46</v>
      </c>
      <c r="X113" s="136">
        <f t="shared" si="26"/>
        <v>1.46</v>
      </c>
      <c r="Y113" s="136">
        <f t="shared" si="26"/>
        <v>1.46</v>
      </c>
      <c r="Z113" s="136">
        <f t="shared" si="26"/>
        <v>1.46</v>
      </c>
      <c r="AA113" s="136">
        <f t="shared" si="26"/>
        <v>1.46</v>
      </c>
      <c r="AB113" s="136">
        <f t="shared" si="26"/>
        <v>1.46</v>
      </c>
      <c r="AC113" s="136">
        <f t="shared" si="26"/>
        <v>1.46</v>
      </c>
      <c r="AD113" s="136">
        <f t="shared" si="26"/>
        <v>1.46</v>
      </c>
      <c r="AE113" s="136">
        <f t="shared" si="26"/>
        <v>1.46</v>
      </c>
      <c r="AF113" s="136">
        <f t="shared" si="26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5"/>
        <v>1.48</v>
      </c>
      <c r="D114" s="136">
        <f t="shared" si="25"/>
        <v>1.48</v>
      </c>
      <c r="E114" s="136">
        <f t="shared" si="25"/>
        <v>1.48</v>
      </c>
      <c r="F114" s="136">
        <f t="shared" si="25"/>
        <v>1.48</v>
      </c>
      <c r="G114" s="136">
        <f t="shared" si="25"/>
        <v>1.48</v>
      </c>
      <c r="H114" s="136">
        <f t="shared" si="25"/>
        <v>1.48</v>
      </c>
      <c r="I114" s="136">
        <f t="shared" si="25"/>
        <v>1.48</v>
      </c>
      <c r="J114" s="136">
        <f t="shared" si="25"/>
        <v>1.48</v>
      </c>
      <c r="K114" s="136">
        <f t="shared" si="25"/>
        <v>1.48</v>
      </c>
      <c r="L114" s="136">
        <f t="shared" si="25"/>
        <v>1.48</v>
      </c>
      <c r="M114" s="136">
        <f t="shared" si="25"/>
        <v>1.48</v>
      </c>
      <c r="N114" s="136">
        <f t="shared" si="25"/>
        <v>1.48</v>
      </c>
      <c r="O114" s="136">
        <f t="shared" si="25"/>
        <v>1.48</v>
      </c>
      <c r="P114" s="136">
        <f t="shared" si="25"/>
        <v>1.48</v>
      </c>
      <c r="Q114" s="136">
        <f t="shared" si="25"/>
        <v>1.48</v>
      </c>
      <c r="R114" s="136">
        <f t="shared" si="25"/>
        <v>1.48</v>
      </c>
      <c r="S114" s="136">
        <f t="shared" si="26"/>
        <v>1.48</v>
      </c>
      <c r="T114" s="136">
        <f t="shared" si="26"/>
        <v>1.48</v>
      </c>
      <c r="U114" s="136">
        <f t="shared" si="26"/>
        <v>1.48</v>
      </c>
      <c r="V114" s="136">
        <f t="shared" si="26"/>
        <v>1.48</v>
      </c>
      <c r="W114" s="136">
        <f t="shared" si="26"/>
        <v>1.48</v>
      </c>
      <c r="X114" s="136">
        <f t="shared" si="26"/>
        <v>1.48</v>
      </c>
      <c r="Y114" s="136">
        <f t="shared" si="26"/>
        <v>1.48</v>
      </c>
      <c r="Z114" s="136">
        <f t="shared" si="26"/>
        <v>1.48</v>
      </c>
      <c r="AA114" s="136">
        <f t="shared" si="26"/>
        <v>1.48</v>
      </c>
      <c r="AB114" s="136">
        <f t="shared" si="26"/>
        <v>1.48</v>
      </c>
      <c r="AC114" s="136">
        <f t="shared" si="26"/>
        <v>1.48</v>
      </c>
      <c r="AD114" s="136">
        <f t="shared" si="26"/>
        <v>1.48</v>
      </c>
      <c r="AE114" s="136">
        <f t="shared" si="26"/>
        <v>1.48</v>
      </c>
      <c r="AF114" s="136">
        <f t="shared" si="26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5"/>
        <v>2.2000000000000002</v>
      </c>
      <c r="D115" s="136">
        <f t="shared" si="25"/>
        <v>2.2000000000000002</v>
      </c>
      <c r="E115" s="136">
        <f t="shared" si="25"/>
        <v>2.2000000000000002</v>
      </c>
      <c r="F115" s="136">
        <f t="shared" si="25"/>
        <v>2.2000000000000002</v>
      </c>
      <c r="G115" s="136">
        <f t="shared" si="25"/>
        <v>2.2000000000000002</v>
      </c>
      <c r="H115" s="136">
        <f t="shared" si="25"/>
        <v>2.2000000000000002</v>
      </c>
      <c r="I115" s="136">
        <f t="shared" si="25"/>
        <v>2.2000000000000002</v>
      </c>
      <c r="J115" s="136">
        <f t="shared" si="25"/>
        <v>2.2000000000000002</v>
      </c>
      <c r="K115" s="136">
        <f t="shared" si="25"/>
        <v>2.2000000000000002</v>
      </c>
      <c r="L115" s="136">
        <f t="shared" si="25"/>
        <v>2.2000000000000002</v>
      </c>
      <c r="M115" s="136">
        <f t="shared" si="25"/>
        <v>2.2000000000000002</v>
      </c>
      <c r="N115" s="136">
        <f t="shared" si="25"/>
        <v>2.2000000000000002</v>
      </c>
      <c r="O115" s="136">
        <f t="shared" si="25"/>
        <v>2.2000000000000002</v>
      </c>
      <c r="P115" s="136">
        <f t="shared" si="25"/>
        <v>2.2000000000000002</v>
      </c>
      <c r="Q115" s="136">
        <f t="shared" si="25"/>
        <v>2.2000000000000002</v>
      </c>
      <c r="R115" s="136">
        <f t="shared" si="25"/>
        <v>2.2000000000000002</v>
      </c>
      <c r="S115" s="136">
        <f t="shared" si="26"/>
        <v>2.2000000000000002</v>
      </c>
      <c r="T115" s="136">
        <f t="shared" si="26"/>
        <v>2.2000000000000002</v>
      </c>
      <c r="U115" s="136">
        <f t="shared" si="26"/>
        <v>2.2000000000000002</v>
      </c>
      <c r="V115" s="136">
        <f t="shared" si="26"/>
        <v>2.2000000000000002</v>
      </c>
      <c r="W115" s="136">
        <f t="shared" si="26"/>
        <v>2.2000000000000002</v>
      </c>
      <c r="X115" s="136">
        <f t="shared" si="26"/>
        <v>2.2000000000000002</v>
      </c>
      <c r="Y115" s="136">
        <f t="shared" si="26"/>
        <v>2.2000000000000002</v>
      </c>
      <c r="Z115" s="136">
        <f t="shared" si="26"/>
        <v>2.2000000000000002</v>
      </c>
      <c r="AA115" s="136">
        <f t="shared" si="26"/>
        <v>2.2000000000000002</v>
      </c>
      <c r="AB115" s="136">
        <f t="shared" si="26"/>
        <v>2.2000000000000002</v>
      </c>
      <c r="AC115" s="136">
        <f t="shared" si="26"/>
        <v>2.2000000000000002</v>
      </c>
      <c r="AD115" s="136">
        <f t="shared" si="26"/>
        <v>2.2000000000000002</v>
      </c>
      <c r="AE115" s="136">
        <f t="shared" si="26"/>
        <v>2.2000000000000002</v>
      </c>
      <c r="AF115" s="136">
        <f t="shared" si="26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5"/>
        <v>2</v>
      </c>
      <c r="D116" s="136">
        <f t="shared" si="25"/>
        <v>2</v>
      </c>
      <c r="E116" s="136">
        <f t="shared" si="25"/>
        <v>2</v>
      </c>
      <c r="F116" s="136">
        <f t="shared" si="25"/>
        <v>2</v>
      </c>
      <c r="G116" s="136">
        <f t="shared" si="25"/>
        <v>2</v>
      </c>
      <c r="H116" s="136">
        <f t="shared" si="25"/>
        <v>2</v>
      </c>
      <c r="I116" s="136">
        <f t="shared" si="25"/>
        <v>2</v>
      </c>
      <c r="J116" s="136">
        <f t="shared" si="25"/>
        <v>2</v>
      </c>
      <c r="K116" s="136">
        <f t="shared" si="25"/>
        <v>2</v>
      </c>
      <c r="L116" s="136">
        <f t="shared" si="25"/>
        <v>2</v>
      </c>
      <c r="M116" s="136">
        <f t="shared" si="25"/>
        <v>2</v>
      </c>
      <c r="N116" s="136">
        <f t="shared" si="25"/>
        <v>2</v>
      </c>
      <c r="O116" s="136">
        <f t="shared" si="25"/>
        <v>2</v>
      </c>
      <c r="P116" s="136">
        <f t="shared" si="25"/>
        <v>2</v>
      </c>
      <c r="Q116" s="136">
        <f t="shared" si="25"/>
        <v>2</v>
      </c>
      <c r="R116" s="136">
        <f t="shared" si="25"/>
        <v>2</v>
      </c>
      <c r="S116" s="136">
        <f t="shared" si="26"/>
        <v>2</v>
      </c>
      <c r="T116" s="136">
        <f t="shared" si="26"/>
        <v>2</v>
      </c>
      <c r="U116" s="136">
        <f t="shared" si="26"/>
        <v>2</v>
      </c>
      <c r="V116" s="136">
        <f t="shared" si="26"/>
        <v>2</v>
      </c>
      <c r="W116" s="136">
        <f t="shared" si="26"/>
        <v>2</v>
      </c>
      <c r="X116" s="136">
        <f t="shared" si="26"/>
        <v>2</v>
      </c>
      <c r="Y116" s="136">
        <f t="shared" si="26"/>
        <v>2</v>
      </c>
      <c r="Z116" s="136">
        <f t="shared" si="26"/>
        <v>2</v>
      </c>
      <c r="AA116" s="136">
        <f t="shared" si="26"/>
        <v>2</v>
      </c>
      <c r="AB116" s="136">
        <f t="shared" si="26"/>
        <v>2</v>
      </c>
      <c r="AC116" s="136">
        <f t="shared" si="26"/>
        <v>2</v>
      </c>
      <c r="AD116" s="136">
        <f t="shared" si="26"/>
        <v>2</v>
      </c>
      <c r="AE116" s="136">
        <f t="shared" si="26"/>
        <v>2</v>
      </c>
      <c r="AF116" s="136">
        <f t="shared" si="26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5"/>
        <v>1.25</v>
      </c>
      <c r="D117" s="136">
        <f t="shared" si="25"/>
        <v>1.25</v>
      </c>
      <c r="E117" s="136">
        <f t="shared" si="25"/>
        <v>1.25</v>
      </c>
      <c r="F117" s="136">
        <f t="shared" si="25"/>
        <v>1.25</v>
      </c>
      <c r="G117" s="136">
        <f t="shared" si="25"/>
        <v>1.25</v>
      </c>
      <c r="H117" s="136">
        <f t="shared" si="25"/>
        <v>1.25</v>
      </c>
      <c r="I117" s="136">
        <f t="shared" si="25"/>
        <v>1.25</v>
      </c>
      <c r="J117" s="136">
        <f t="shared" si="25"/>
        <v>1.25</v>
      </c>
      <c r="K117" s="136">
        <f t="shared" si="25"/>
        <v>1.25</v>
      </c>
      <c r="L117" s="136">
        <f t="shared" si="25"/>
        <v>1.25</v>
      </c>
      <c r="M117" s="136">
        <f t="shared" si="25"/>
        <v>1.25</v>
      </c>
      <c r="N117" s="136">
        <f t="shared" si="25"/>
        <v>1.25</v>
      </c>
      <c r="O117" s="136">
        <f t="shared" si="25"/>
        <v>1.25</v>
      </c>
      <c r="P117" s="136">
        <f t="shared" si="25"/>
        <v>1.25</v>
      </c>
      <c r="Q117" s="136">
        <f t="shared" si="25"/>
        <v>1.25</v>
      </c>
      <c r="R117" s="136">
        <f t="shared" si="25"/>
        <v>1.25</v>
      </c>
      <c r="S117" s="136">
        <f t="shared" si="26"/>
        <v>1.25</v>
      </c>
      <c r="T117" s="136">
        <f t="shared" si="26"/>
        <v>1.25</v>
      </c>
      <c r="U117" s="136">
        <f t="shared" si="26"/>
        <v>1.25</v>
      </c>
      <c r="V117" s="136">
        <f t="shared" si="26"/>
        <v>1.25</v>
      </c>
      <c r="W117" s="136">
        <f t="shared" si="26"/>
        <v>1.25</v>
      </c>
      <c r="X117" s="136">
        <f t="shared" si="26"/>
        <v>1.25</v>
      </c>
      <c r="Y117" s="136">
        <f t="shared" si="26"/>
        <v>1.25</v>
      </c>
      <c r="Z117" s="136">
        <f t="shared" si="26"/>
        <v>1.25</v>
      </c>
      <c r="AA117" s="136">
        <f t="shared" si="26"/>
        <v>1.25</v>
      </c>
      <c r="AB117" s="136">
        <f t="shared" si="26"/>
        <v>1.25</v>
      </c>
      <c r="AC117" s="136">
        <f t="shared" si="26"/>
        <v>1.25</v>
      </c>
      <c r="AD117" s="136">
        <f t="shared" si="26"/>
        <v>1.25</v>
      </c>
      <c r="AE117" s="136">
        <f t="shared" si="26"/>
        <v>1.25</v>
      </c>
      <c r="AF117" s="136">
        <f t="shared" si="26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5"/>
        <v>1.1499999999999999</v>
      </c>
      <c r="D118" s="136">
        <f t="shared" si="25"/>
        <v>1.1499999999999999</v>
      </c>
      <c r="E118" s="136">
        <f t="shared" si="25"/>
        <v>1.1499999999999999</v>
      </c>
      <c r="F118" s="136">
        <f t="shared" si="25"/>
        <v>1.1499999999999999</v>
      </c>
      <c r="G118" s="136">
        <f t="shared" si="25"/>
        <v>1.1499999999999999</v>
      </c>
      <c r="H118" s="136">
        <f t="shared" si="25"/>
        <v>1.1499999999999999</v>
      </c>
      <c r="I118" s="136">
        <f t="shared" si="25"/>
        <v>1.1499999999999999</v>
      </c>
      <c r="J118" s="136">
        <f t="shared" si="25"/>
        <v>1.1499999999999999</v>
      </c>
      <c r="K118" s="136">
        <f t="shared" si="25"/>
        <v>1.1499999999999999</v>
      </c>
      <c r="L118" s="136">
        <f t="shared" si="25"/>
        <v>1.1499999999999999</v>
      </c>
      <c r="M118" s="136">
        <f t="shared" si="25"/>
        <v>1.1499999999999999</v>
      </c>
      <c r="N118" s="136">
        <f t="shared" si="25"/>
        <v>1.1499999999999999</v>
      </c>
      <c r="O118" s="136">
        <f t="shared" si="25"/>
        <v>1.1499999999999999</v>
      </c>
      <c r="P118" s="136">
        <f t="shared" si="25"/>
        <v>1.1499999999999999</v>
      </c>
      <c r="Q118" s="136">
        <f t="shared" si="25"/>
        <v>1.1499999999999999</v>
      </c>
      <c r="R118" s="136">
        <f t="shared" si="25"/>
        <v>1.1499999999999999</v>
      </c>
      <c r="S118" s="136">
        <f t="shared" si="26"/>
        <v>1.1499999999999999</v>
      </c>
      <c r="T118" s="136">
        <f t="shared" si="26"/>
        <v>1.1499999999999999</v>
      </c>
      <c r="U118" s="136">
        <f t="shared" si="26"/>
        <v>1.1499999999999999</v>
      </c>
      <c r="V118" s="136">
        <f t="shared" si="26"/>
        <v>1.1499999999999999</v>
      </c>
      <c r="W118" s="136">
        <f t="shared" si="26"/>
        <v>1.1499999999999999</v>
      </c>
      <c r="X118" s="136">
        <f t="shared" si="26"/>
        <v>1.1499999999999999</v>
      </c>
      <c r="Y118" s="136">
        <f t="shared" si="26"/>
        <v>1.1499999999999999</v>
      </c>
      <c r="Z118" s="136">
        <f t="shared" si="26"/>
        <v>1.1499999999999999</v>
      </c>
      <c r="AA118" s="136">
        <f t="shared" si="26"/>
        <v>1.1499999999999999</v>
      </c>
      <c r="AB118" s="136">
        <f t="shared" si="26"/>
        <v>1.1499999999999999</v>
      </c>
      <c r="AC118" s="136">
        <f t="shared" si="26"/>
        <v>1.1499999999999999</v>
      </c>
      <c r="AD118" s="136">
        <f t="shared" si="26"/>
        <v>1.1499999999999999</v>
      </c>
      <c r="AE118" s="136">
        <f t="shared" si="26"/>
        <v>1.1499999999999999</v>
      </c>
      <c r="AF118" s="136">
        <f t="shared" si="26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5"/>
        <v>2.133</v>
      </c>
      <c r="D119" s="136">
        <f t="shared" si="25"/>
        <v>2.133</v>
      </c>
      <c r="E119" s="136">
        <f t="shared" si="25"/>
        <v>2.133</v>
      </c>
      <c r="F119" s="136">
        <f t="shared" si="25"/>
        <v>2.133</v>
      </c>
      <c r="G119" s="136">
        <f t="shared" si="25"/>
        <v>2.133</v>
      </c>
      <c r="H119" s="136">
        <f t="shared" si="25"/>
        <v>2.133</v>
      </c>
      <c r="I119" s="136">
        <f t="shared" si="25"/>
        <v>2.133</v>
      </c>
      <c r="J119" s="136">
        <f t="shared" si="25"/>
        <v>2.133</v>
      </c>
      <c r="K119" s="136">
        <f t="shared" si="25"/>
        <v>2.133</v>
      </c>
      <c r="L119" s="136">
        <f t="shared" si="25"/>
        <v>2.133</v>
      </c>
      <c r="M119" s="136">
        <f t="shared" si="25"/>
        <v>2.133</v>
      </c>
      <c r="N119" s="136">
        <f t="shared" si="25"/>
        <v>2.133</v>
      </c>
      <c r="O119" s="136">
        <f t="shared" si="25"/>
        <v>2.133</v>
      </c>
      <c r="P119" s="136">
        <f t="shared" si="25"/>
        <v>2.133</v>
      </c>
      <c r="Q119" s="136">
        <f t="shared" si="25"/>
        <v>2.133</v>
      </c>
      <c r="R119" s="136">
        <f t="shared" si="25"/>
        <v>2.133</v>
      </c>
      <c r="S119" s="136">
        <f t="shared" si="26"/>
        <v>2.133</v>
      </c>
      <c r="T119" s="136">
        <f t="shared" si="26"/>
        <v>2.133</v>
      </c>
      <c r="U119" s="136">
        <f t="shared" si="26"/>
        <v>2.133</v>
      </c>
      <c r="V119" s="136">
        <f t="shared" si="26"/>
        <v>2.133</v>
      </c>
      <c r="W119" s="136">
        <f t="shared" si="26"/>
        <v>2.133</v>
      </c>
      <c r="X119" s="136">
        <f t="shared" si="26"/>
        <v>2.133</v>
      </c>
      <c r="Y119" s="136">
        <f t="shared" si="26"/>
        <v>2.133</v>
      </c>
      <c r="Z119" s="136">
        <f t="shared" si="26"/>
        <v>2.133</v>
      </c>
      <c r="AA119" s="136">
        <f t="shared" si="26"/>
        <v>2.133</v>
      </c>
      <c r="AB119" s="136">
        <f t="shared" si="26"/>
        <v>2.133</v>
      </c>
      <c r="AC119" s="136">
        <f t="shared" si="26"/>
        <v>2.133</v>
      </c>
      <c r="AD119" s="136">
        <f t="shared" si="26"/>
        <v>2.133</v>
      </c>
      <c r="AE119" s="136">
        <f t="shared" si="26"/>
        <v>2.133</v>
      </c>
      <c r="AF119" s="136">
        <f t="shared" si="26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5"/>
        <v>2.09</v>
      </c>
      <c r="D120" s="136">
        <f t="shared" si="25"/>
        <v>2.09</v>
      </c>
      <c r="E120" s="136">
        <f t="shared" si="25"/>
        <v>2.09</v>
      </c>
      <c r="F120" s="136">
        <f t="shared" si="25"/>
        <v>2.09</v>
      </c>
      <c r="G120" s="136">
        <f t="shared" si="25"/>
        <v>2.09</v>
      </c>
      <c r="H120" s="136">
        <f t="shared" si="25"/>
        <v>2.09</v>
      </c>
      <c r="I120" s="136">
        <f t="shared" si="25"/>
        <v>2.09</v>
      </c>
      <c r="J120" s="136">
        <f t="shared" si="25"/>
        <v>2.09</v>
      </c>
      <c r="K120" s="136">
        <f t="shared" si="25"/>
        <v>2.09</v>
      </c>
      <c r="L120" s="136">
        <f t="shared" si="25"/>
        <v>2.09</v>
      </c>
      <c r="M120" s="136">
        <f t="shared" si="25"/>
        <v>2.09</v>
      </c>
      <c r="N120" s="136">
        <f t="shared" si="25"/>
        <v>2.09</v>
      </c>
      <c r="O120" s="136">
        <f t="shared" si="25"/>
        <v>2.09</v>
      </c>
      <c r="P120" s="136">
        <f t="shared" si="25"/>
        <v>2.09</v>
      </c>
      <c r="Q120" s="136">
        <f t="shared" si="25"/>
        <v>2.09</v>
      </c>
      <c r="R120" s="136">
        <f t="shared" ref="R120:W170" si="27">Q120</f>
        <v>2.09</v>
      </c>
      <c r="S120" s="136">
        <f t="shared" si="26"/>
        <v>2.09</v>
      </c>
      <c r="T120" s="136">
        <f t="shared" si="26"/>
        <v>2.09</v>
      </c>
      <c r="U120" s="136">
        <f t="shared" si="26"/>
        <v>2.09</v>
      </c>
      <c r="V120" s="136">
        <f t="shared" si="26"/>
        <v>2.09</v>
      </c>
      <c r="W120" s="136">
        <f t="shared" si="26"/>
        <v>2.09</v>
      </c>
      <c r="X120" s="136">
        <f t="shared" si="26"/>
        <v>2.09</v>
      </c>
      <c r="Y120" s="136">
        <f t="shared" si="26"/>
        <v>2.09</v>
      </c>
      <c r="Z120" s="136">
        <f t="shared" si="26"/>
        <v>2.09</v>
      </c>
      <c r="AA120" s="136">
        <f t="shared" si="26"/>
        <v>2.09</v>
      </c>
      <c r="AB120" s="136">
        <f t="shared" si="26"/>
        <v>2.09</v>
      </c>
      <c r="AC120" s="136">
        <f t="shared" si="26"/>
        <v>2.09</v>
      </c>
      <c r="AD120" s="136">
        <f t="shared" si="26"/>
        <v>2.09</v>
      </c>
      <c r="AE120" s="136">
        <f t="shared" si="26"/>
        <v>2.09</v>
      </c>
      <c r="AF120" s="136">
        <f t="shared" si="26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8">B121</f>
        <v>1.1399999999999999</v>
      </c>
      <c r="D121" s="136">
        <f t="shared" si="28"/>
        <v>1.1399999999999999</v>
      </c>
      <c r="E121" s="136">
        <f t="shared" si="28"/>
        <v>1.1399999999999999</v>
      </c>
      <c r="F121" s="136">
        <f t="shared" si="28"/>
        <v>1.1399999999999999</v>
      </c>
      <c r="G121" s="136">
        <f t="shared" si="28"/>
        <v>1.1399999999999999</v>
      </c>
      <c r="H121" s="136">
        <f t="shared" si="28"/>
        <v>1.1399999999999999</v>
      </c>
      <c r="I121" s="136">
        <f t="shared" si="28"/>
        <v>1.1399999999999999</v>
      </c>
      <c r="J121" s="136">
        <f t="shared" si="28"/>
        <v>1.1399999999999999</v>
      </c>
      <c r="K121" s="136">
        <f t="shared" si="28"/>
        <v>1.1399999999999999</v>
      </c>
      <c r="L121" s="136">
        <f t="shared" si="28"/>
        <v>1.1399999999999999</v>
      </c>
      <c r="M121" s="136">
        <f t="shared" si="28"/>
        <v>1.1399999999999999</v>
      </c>
      <c r="N121" s="136">
        <f t="shared" si="28"/>
        <v>1.1399999999999999</v>
      </c>
      <c r="O121" s="136">
        <f t="shared" si="28"/>
        <v>1.1399999999999999</v>
      </c>
      <c r="P121" s="136">
        <f t="shared" si="28"/>
        <v>1.1399999999999999</v>
      </c>
      <c r="Q121" s="136">
        <f t="shared" si="28"/>
        <v>1.1399999999999999</v>
      </c>
      <c r="R121" s="136">
        <f t="shared" si="27"/>
        <v>1.1399999999999999</v>
      </c>
      <c r="S121" s="136">
        <f t="shared" si="26"/>
        <v>1.1399999999999999</v>
      </c>
      <c r="T121" s="136">
        <f t="shared" si="26"/>
        <v>1.1399999999999999</v>
      </c>
      <c r="U121" s="136">
        <f t="shared" si="26"/>
        <v>1.1399999999999999</v>
      </c>
      <c r="V121" s="136">
        <f t="shared" si="26"/>
        <v>1.1399999999999999</v>
      </c>
      <c r="W121" s="136">
        <f t="shared" si="26"/>
        <v>1.1399999999999999</v>
      </c>
      <c r="X121" s="136">
        <f t="shared" si="26"/>
        <v>1.1399999999999999</v>
      </c>
      <c r="Y121" s="136">
        <f t="shared" si="26"/>
        <v>1.1399999999999999</v>
      </c>
      <c r="Z121" s="136">
        <f t="shared" si="26"/>
        <v>1.1399999999999999</v>
      </c>
      <c r="AA121" s="136">
        <f t="shared" si="26"/>
        <v>1.1399999999999999</v>
      </c>
      <c r="AB121" s="136">
        <f t="shared" si="26"/>
        <v>1.1399999999999999</v>
      </c>
      <c r="AC121" s="136">
        <f t="shared" si="26"/>
        <v>1.1399999999999999</v>
      </c>
      <c r="AD121" s="136">
        <f t="shared" si="26"/>
        <v>1.1399999999999999</v>
      </c>
      <c r="AE121" s="136">
        <f t="shared" si="26"/>
        <v>1.1399999999999999</v>
      </c>
      <c r="AF121" s="136">
        <f t="shared" si="26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8"/>
        <v>0.82</v>
      </c>
      <c r="D122" s="136">
        <f t="shared" si="28"/>
        <v>0.82</v>
      </c>
      <c r="E122" s="136">
        <f t="shared" si="28"/>
        <v>0.82</v>
      </c>
      <c r="F122" s="136">
        <f t="shared" si="28"/>
        <v>0.82</v>
      </c>
      <c r="G122" s="136">
        <f t="shared" si="28"/>
        <v>0.82</v>
      </c>
      <c r="H122" s="136">
        <f t="shared" si="28"/>
        <v>0.82</v>
      </c>
      <c r="I122" s="136">
        <f t="shared" si="28"/>
        <v>0.82</v>
      </c>
      <c r="J122" s="136">
        <f t="shared" si="28"/>
        <v>0.82</v>
      </c>
      <c r="K122" s="136">
        <f t="shared" si="28"/>
        <v>0.82</v>
      </c>
      <c r="L122" s="136">
        <f t="shared" si="28"/>
        <v>0.82</v>
      </c>
      <c r="M122" s="136">
        <f t="shared" si="28"/>
        <v>0.82</v>
      </c>
      <c r="N122" s="136">
        <f t="shared" si="28"/>
        <v>0.82</v>
      </c>
      <c r="O122" s="136">
        <f t="shared" si="28"/>
        <v>0.82</v>
      </c>
      <c r="P122" s="136">
        <f t="shared" si="28"/>
        <v>0.82</v>
      </c>
      <c r="Q122" s="136">
        <f t="shared" si="28"/>
        <v>0.82</v>
      </c>
      <c r="R122" s="136">
        <f t="shared" si="27"/>
        <v>0.82</v>
      </c>
      <c r="S122" s="136">
        <f t="shared" si="26"/>
        <v>0.82</v>
      </c>
      <c r="T122" s="136">
        <f t="shared" si="26"/>
        <v>0.82</v>
      </c>
      <c r="U122" s="136">
        <f t="shared" si="26"/>
        <v>0.82</v>
      </c>
      <c r="V122" s="136">
        <f t="shared" si="26"/>
        <v>0.82</v>
      </c>
      <c r="W122" s="136">
        <f t="shared" si="26"/>
        <v>0.82</v>
      </c>
      <c r="X122" s="136">
        <f t="shared" si="26"/>
        <v>0.82</v>
      </c>
      <c r="Y122" s="136">
        <f t="shared" si="26"/>
        <v>0.82</v>
      </c>
      <c r="Z122" s="136">
        <f t="shared" si="26"/>
        <v>0.82</v>
      </c>
      <c r="AA122" s="136">
        <f t="shared" si="26"/>
        <v>0.82</v>
      </c>
      <c r="AB122" s="136">
        <f t="shared" si="26"/>
        <v>0.82</v>
      </c>
      <c r="AC122" s="136">
        <f t="shared" si="26"/>
        <v>0.82</v>
      </c>
      <c r="AD122" s="136">
        <f t="shared" si="26"/>
        <v>0.82</v>
      </c>
      <c r="AE122" s="136">
        <f t="shared" si="26"/>
        <v>0.82</v>
      </c>
      <c r="AF122" s="136">
        <f t="shared" si="26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8"/>
        <v>2</v>
      </c>
      <c r="D123" s="136">
        <f t="shared" si="28"/>
        <v>2</v>
      </c>
      <c r="E123" s="136">
        <f t="shared" si="28"/>
        <v>2</v>
      </c>
      <c r="F123" s="136">
        <f t="shared" si="28"/>
        <v>2</v>
      </c>
      <c r="G123" s="136">
        <f t="shared" si="28"/>
        <v>2</v>
      </c>
      <c r="H123" s="136">
        <f t="shared" si="28"/>
        <v>2</v>
      </c>
      <c r="I123" s="136">
        <f t="shared" si="28"/>
        <v>2</v>
      </c>
      <c r="J123" s="136">
        <f t="shared" si="28"/>
        <v>2</v>
      </c>
      <c r="K123" s="136">
        <f t="shared" si="28"/>
        <v>2</v>
      </c>
      <c r="L123" s="136">
        <f t="shared" si="28"/>
        <v>2</v>
      </c>
      <c r="M123" s="136">
        <f t="shared" si="28"/>
        <v>2</v>
      </c>
      <c r="N123" s="136">
        <f t="shared" si="28"/>
        <v>2</v>
      </c>
      <c r="O123" s="136">
        <f t="shared" si="28"/>
        <v>2</v>
      </c>
      <c r="P123" s="136">
        <f t="shared" si="28"/>
        <v>2</v>
      </c>
      <c r="Q123" s="136">
        <f t="shared" si="28"/>
        <v>2</v>
      </c>
      <c r="R123" s="136">
        <f t="shared" si="27"/>
        <v>2</v>
      </c>
      <c r="S123" s="136">
        <f t="shared" si="26"/>
        <v>2</v>
      </c>
      <c r="T123" s="136">
        <f t="shared" si="26"/>
        <v>2</v>
      </c>
      <c r="U123" s="136">
        <f t="shared" si="26"/>
        <v>2</v>
      </c>
      <c r="V123" s="136">
        <f t="shared" ref="V123:AF146" si="29">U123</f>
        <v>2</v>
      </c>
      <c r="W123" s="136">
        <f t="shared" si="29"/>
        <v>2</v>
      </c>
      <c r="X123" s="136">
        <f t="shared" si="29"/>
        <v>2</v>
      </c>
      <c r="Y123" s="136">
        <f t="shared" si="29"/>
        <v>2</v>
      </c>
      <c r="Z123" s="136">
        <f t="shared" si="29"/>
        <v>2</v>
      </c>
      <c r="AA123" s="136">
        <f t="shared" si="29"/>
        <v>2</v>
      </c>
      <c r="AB123" s="136">
        <f t="shared" si="29"/>
        <v>2</v>
      </c>
      <c r="AC123" s="136">
        <f t="shared" si="29"/>
        <v>2</v>
      </c>
      <c r="AD123" s="136">
        <f t="shared" si="29"/>
        <v>2</v>
      </c>
      <c r="AE123" s="136">
        <f t="shared" si="29"/>
        <v>2</v>
      </c>
      <c r="AF123" s="136">
        <f t="shared" si="29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8"/>
        <v>5.61</v>
      </c>
      <c r="D124" s="136">
        <f t="shared" si="28"/>
        <v>5.61</v>
      </c>
      <c r="E124" s="136">
        <f t="shared" si="28"/>
        <v>5.61</v>
      </c>
      <c r="F124" s="136">
        <f t="shared" si="28"/>
        <v>5.61</v>
      </c>
      <c r="G124" s="136">
        <f t="shared" si="28"/>
        <v>5.61</v>
      </c>
      <c r="H124" s="136">
        <f t="shared" si="28"/>
        <v>5.61</v>
      </c>
      <c r="I124" s="136">
        <f t="shared" si="28"/>
        <v>5.61</v>
      </c>
      <c r="J124" s="136">
        <f t="shared" si="28"/>
        <v>5.61</v>
      </c>
      <c r="K124" s="136">
        <f t="shared" si="28"/>
        <v>5.61</v>
      </c>
      <c r="L124" s="136">
        <f t="shared" si="28"/>
        <v>5.61</v>
      </c>
      <c r="M124" s="136">
        <f t="shared" si="28"/>
        <v>5.61</v>
      </c>
      <c r="N124" s="136">
        <f t="shared" si="28"/>
        <v>5.61</v>
      </c>
      <c r="O124" s="136">
        <f t="shared" si="28"/>
        <v>5.61</v>
      </c>
      <c r="P124" s="136">
        <f t="shared" si="28"/>
        <v>5.61</v>
      </c>
      <c r="Q124" s="136">
        <f t="shared" si="28"/>
        <v>5.61</v>
      </c>
      <c r="R124" s="136">
        <f t="shared" si="27"/>
        <v>5.61</v>
      </c>
      <c r="S124" s="136">
        <f t="shared" si="27"/>
        <v>5.61</v>
      </c>
      <c r="T124" s="136">
        <f t="shared" si="27"/>
        <v>5.61</v>
      </c>
      <c r="U124" s="136">
        <f t="shared" si="27"/>
        <v>5.61</v>
      </c>
      <c r="V124" s="136">
        <f t="shared" si="29"/>
        <v>5.61</v>
      </c>
      <c r="W124" s="136">
        <f t="shared" si="29"/>
        <v>5.61</v>
      </c>
      <c r="X124" s="136">
        <f t="shared" si="29"/>
        <v>5.61</v>
      </c>
      <c r="Y124" s="136">
        <f t="shared" si="29"/>
        <v>5.61</v>
      </c>
      <c r="Z124" s="136">
        <f t="shared" si="29"/>
        <v>5.61</v>
      </c>
      <c r="AA124" s="136">
        <f t="shared" si="29"/>
        <v>5.61</v>
      </c>
      <c r="AB124" s="136">
        <f t="shared" si="29"/>
        <v>5.61</v>
      </c>
      <c r="AC124" s="136">
        <f t="shared" si="29"/>
        <v>5.61</v>
      </c>
      <c r="AD124" s="136">
        <f t="shared" si="29"/>
        <v>5.61</v>
      </c>
      <c r="AE124" s="136">
        <f t="shared" si="29"/>
        <v>5.61</v>
      </c>
      <c r="AF124" s="136">
        <f t="shared" si="29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8"/>
        <v>1.25</v>
      </c>
      <c r="D125" s="136">
        <f t="shared" si="28"/>
        <v>1.25</v>
      </c>
      <c r="E125" s="136">
        <f t="shared" si="28"/>
        <v>1.25</v>
      </c>
      <c r="F125" s="136">
        <f t="shared" si="28"/>
        <v>1.25</v>
      </c>
      <c r="G125" s="136">
        <f t="shared" si="28"/>
        <v>1.25</v>
      </c>
      <c r="H125" s="136">
        <f t="shared" si="28"/>
        <v>1.25</v>
      </c>
      <c r="I125" s="136">
        <f t="shared" si="28"/>
        <v>1.25</v>
      </c>
      <c r="J125" s="136">
        <f t="shared" si="28"/>
        <v>1.25</v>
      </c>
      <c r="K125" s="136">
        <f t="shared" si="28"/>
        <v>1.25</v>
      </c>
      <c r="L125" s="136">
        <f t="shared" si="28"/>
        <v>1.25</v>
      </c>
      <c r="M125" s="136">
        <f t="shared" si="28"/>
        <v>1.25</v>
      </c>
      <c r="N125" s="136">
        <f t="shared" si="28"/>
        <v>1.25</v>
      </c>
      <c r="O125" s="136">
        <f t="shared" si="28"/>
        <v>1.25</v>
      </c>
      <c r="P125" s="136">
        <f t="shared" si="28"/>
        <v>1.25</v>
      </c>
      <c r="Q125" s="136">
        <f t="shared" si="28"/>
        <v>1.25</v>
      </c>
      <c r="R125" s="136">
        <f t="shared" si="27"/>
        <v>1.25</v>
      </c>
      <c r="S125" s="136">
        <f t="shared" si="27"/>
        <v>1.25</v>
      </c>
      <c r="T125" s="136">
        <f t="shared" si="27"/>
        <v>1.25</v>
      </c>
      <c r="U125" s="136">
        <f t="shared" si="27"/>
        <v>1.25</v>
      </c>
      <c r="V125" s="136">
        <f t="shared" si="29"/>
        <v>1.25</v>
      </c>
      <c r="W125" s="136">
        <f t="shared" si="29"/>
        <v>1.25</v>
      </c>
      <c r="X125" s="136">
        <f t="shared" si="29"/>
        <v>1.25</v>
      </c>
      <c r="Y125" s="136">
        <f t="shared" si="29"/>
        <v>1.25</v>
      </c>
      <c r="Z125" s="136">
        <f t="shared" si="29"/>
        <v>1.25</v>
      </c>
      <c r="AA125" s="136">
        <f t="shared" si="29"/>
        <v>1.25</v>
      </c>
      <c r="AB125" s="136">
        <f t="shared" si="29"/>
        <v>1.25</v>
      </c>
      <c r="AC125" s="136">
        <f t="shared" si="29"/>
        <v>1.25</v>
      </c>
      <c r="AD125" s="136">
        <f t="shared" si="29"/>
        <v>1.25</v>
      </c>
      <c r="AE125" s="136">
        <f t="shared" si="29"/>
        <v>1.25</v>
      </c>
      <c r="AF125" s="136">
        <f t="shared" si="29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8"/>
        <v>1.25</v>
      </c>
      <c r="D126" s="136">
        <f t="shared" si="28"/>
        <v>1.25</v>
      </c>
      <c r="E126" s="136">
        <f t="shared" si="28"/>
        <v>1.25</v>
      </c>
      <c r="F126" s="136">
        <f t="shared" si="28"/>
        <v>1.25</v>
      </c>
      <c r="G126" s="136">
        <f t="shared" si="28"/>
        <v>1.25</v>
      </c>
      <c r="H126" s="136">
        <f t="shared" si="28"/>
        <v>1.25</v>
      </c>
      <c r="I126" s="136">
        <f t="shared" si="28"/>
        <v>1.25</v>
      </c>
      <c r="J126" s="136">
        <f t="shared" si="28"/>
        <v>1.25</v>
      </c>
      <c r="K126" s="136">
        <f t="shared" si="28"/>
        <v>1.25</v>
      </c>
      <c r="L126" s="136">
        <f t="shared" si="28"/>
        <v>1.25</v>
      </c>
      <c r="M126" s="136">
        <f t="shared" si="28"/>
        <v>1.25</v>
      </c>
      <c r="N126" s="136">
        <f t="shared" si="28"/>
        <v>1.25</v>
      </c>
      <c r="O126" s="136">
        <f t="shared" si="28"/>
        <v>1.25</v>
      </c>
      <c r="P126" s="136">
        <f t="shared" si="28"/>
        <v>1.25</v>
      </c>
      <c r="Q126" s="136">
        <f t="shared" si="28"/>
        <v>1.25</v>
      </c>
      <c r="R126" s="136">
        <f t="shared" si="27"/>
        <v>1.25</v>
      </c>
      <c r="S126" s="136">
        <f t="shared" si="27"/>
        <v>1.25</v>
      </c>
      <c r="T126" s="136">
        <f t="shared" si="27"/>
        <v>1.25</v>
      </c>
      <c r="U126" s="136">
        <f t="shared" si="27"/>
        <v>1.25</v>
      </c>
      <c r="V126" s="136">
        <f t="shared" si="29"/>
        <v>1.25</v>
      </c>
      <c r="W126" s="136">
        <f t="shared" si="29"/>
        <v>1.25</v>
      </c>
      <c r="X126" s="136">
        <f t="shared" si="29"/>
        <v>1.25</v>
      </c>
      <c r="Y126" s="136">
        <f t="shared" si="29"/>
        <v>1.25</v>
      </c>
      <c r="Z126" s="136">
        <f t="shared" si="29"/>
        <v>1.25</v>
      </c>
      <c r="AA126" s="136">
        <f t="shared" si="29"/>
        <v>1.25</v>
      </c>
      <c r="AB126" s="136">
        <f t="shared" si="29"/>
        <v>1.25</v>
      </c>
      <c r="AC126" s="136">
        <f t="shared" si="29"/>
        <v>1.25</v>
      </c>
      <c r="AD126" s="136">
        <f t="shared" si="29"/>
        <v>1.25</v>
      </c>
      <c r="AE126" s="136">
        <f t="shared" si="29"/>
        <v>1.25</v>
      </c>
      <c r="AF126" s="136">
        <f t="shared" si="29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8"/>
        <v>1.46</v>
      </c>
      <c r="D127" s="136">
        <f t="shared" si="28"/>
        <v>1.46</v>
      </c>
      <c r="E127" s="136">
        <f t="shared" si="28"/>
        <v>1.46</v>
      </c>
      <c r="F127" s="136">
        <f t="shared" si="28"/>
        <v>1.46</v>
      </c>
      <c r="G127" s="136">
        <f t="shared" si="28"/>
        <v>1.46</v>
      </c>
      <c r="H127" s="136">
        <f t="shared" si="28"/>
        <v>1.46</v>
      </c>
      <c r="I127" s="136">
        <f t="shared" si="28"/>
        <v>1.46</v>
      </c>
      <c r="J127" s="136">
        <f t="shared" si="28"/>
        <v>1.46</v>
      </c>
      <c r="K127" s="136">
        <f t="shared" si="28"/>
        <v>1.46</v>
      </c>
      <c r="L127" s="136">
        <f t="shared" si="28"/>
        <v>1.46</v>
      </c>
      <c r="M127" s="136">
        <f t="shared" si="28"/>
        <v>1.46</v>
      </c>
      <c r="N127" s="136">
        <f t="shared" si="28"/>
        <v>1.46</v>
      </c>
      <c r="O127" s="136">
        <f t="shared" si="28"/>
        <v>1.46</v>
      </c>
      <c r="P127" s="136">
        <f t="shared" si="28"/>
        <v>1.46</v>
      </c>
      <c r="Q127" s="136">
        <f t="shared" si="28"/>
        <v>1.46</v>
      </c>
      <c r="R127" s="136">
        <f t="shared" si="27"/>
        <v>1.46</v>
      </c>
      <c r="S127" s="136">
        <f t="shared" si="27"/>
        <v>1.46</v>
      </c>
      <c r="T127" s="136">
        <f t="shared" si="27"/>
        <v>1.46</v>
      </c>
      <c r="U127" s="136">
        <f t="shared" si="27"/>
        <v>1.46</v>
      </c>
      <c r="V127" s="136">
        <f t="shared" si="29"/>
        <v>1.46</v>
      </c>
      <c r="W127" s="136">
        <f t="shared" si="29"/>
        <v>1.46</v>
      </c>
      <c r="X127" s="136">
        <f t="shared" si="29"/>
        <v>1.46</v>
      </c>
      <c r="Y127" s="136">
        <f t="shared" si="29"/>
        <v>1.46</v>
      </c>
      <c r="Z127" s="136">
        <f t="shared" si="29"/>
        <v>1.46</v>
      </c>
      <c r="AA127" s="136">
        <f t="shared" si="29"/>
        <v>1.46</v>
      </c>
      <c r="AB127" s="136">
        <f t="shared" si="29"/>
        <v>1.46</v>
      </c>
      <c r="AC127" s="136">
        <f t="shared" si="29"/>
        <v>1.46</v>
      </c>
      <c r="AD127" s="136">
        <f t="shared" si="29"/>
        <v>1.46</v>
      </c>
      <c r="AE127" s="136">
        <f t="shared" si="29"/>
        <v>1.46</v>
      </c>
      <c r="AF127" s="136">
        <f t="shared" si="29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8"/>
        <v>3</v>
      </c>
      <c r="D128" s="136">
        <f t="shared" si="28"/>
        <v>3</v>
      </c>
      <c r="E128" s="136">
        <f t="shared" si="28"/>
        <v>3</v>
      </c>
      <c r="F128" s="136">
        <f t="shared" si="28"/>
        <v>3</v>
      </c>
      <c r="G128" s="136">
        <f t="shared" si="28"/>
        <v>3</v>
      </c>
      <c r="H128" s="136">
        <f t="shared" si="28"/>
        <v>3</v>
      </c>
      <c r="I128" s="136">
        <f t="shared" si="28"/>
        <v>3</v>
      </c>
      <c r="J128" s="136">
        <f t="shared" si="28"/>
        <v>3</v>
      </c>
      <c r="K128" s="136">
        <f t="shared" si="28"/>
        <v>3</v>
      </c>
      <c r="L128" s="136">
        <f t="shared" si="28"/>
        <v>3</v>
      </c>
      <c r="M128" s="136">
        <f t="shared" si="28"/>
        <v>3</v>
      </c>
      <c r="N128" s="136">
        <f t="shared" si="28"/>
        <v>3</v>
      </c>
      <c r="O128" s="136">
        <f t="shared" si="28"/>
        <v>3</v>
      </c>
      <c r="P128" s="136">
        <f t="shared" si="28"/>
        <v>3</v>
      </c>
      <c r="Q128" s="136">
        <f t="shared" si="28"/>
        <v>3</v>
      </c>
      <c r="R128" s="136">
        <f t="shared" si="27"/>
        <v>3</v>
      </c>
      <c r="S128" s="136">
        <f t="shared" si="27"/>
        <v>3</v>
      </c>
      <c r="T128" s="136">
        <f t="shared" si="27"/>
        <v>3</v>
      </c>
      <c r="U128" s="136">
        <f t="shared" si="27"/>
        <v>3</v>
      </c>
      <c r="V128" s="136">
        <f t="shared" si="29"/>
        <v>3</v>
      </c>
      <c r="W128" s="136">
        <f t="shared" si="29"/>
        <v>3</v>
      </c>
      <c r="X128" s="136">
        <f t="shared" si="29"/>
        <v>3</v>
      </c>
      <c r="Y128" s="136">
        <f t="shared" si="29"/>
        <v>3</v>
      </c>
      <c r="Z128" s="136">
        <f t="shared" si="29"/>
        <v>3</v>
      </c>
      <c r="AA128" s="136">
        <f t="shared" si="29"/>
        <v>3</v>
      </c>
      <c r="AB128" s="136">
        <f t="shared" si="29"/>
        <v>3</v>
      </c>
      <c r="AC128" s="136">
        <f t="shared" si="29"/>
        <v>3</v>
      </c>
      <c r="AD128" s="136">
        <f t="shared" si="29"/>
        <v>3</v>
      </c>
      <c r="AE128" s="136">
        <f t="shared" si="29"/>
        <v>3</v>
      </c>
      <c r="AF128" s="136">
        <f t="shared" si="29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8"/>
        <v>3.3</v>
      </c>
      <c r="D129" s="136">
        <f t="shared" si="28"/>
        <v>3.3</v>
      </c>
      <c r="E129" s="136">
        <f t="shared" si="28"/>
        <v>3.3</v>
      </c>
      <c r="F129" s="136">
        <f t="shared" si="28"/>
        <v>3.3</v>
      </c>
      <c r="G129" s="136">
        <f t="shared" si="28"/>
        <v>3.3</v>
      </c>
      <c r="H129" s="136">
        <f t="shared" si="28"/>
        <v>3.3</v>
      </c>
      <c r="I129" s="136">
        <f t="shared" si="28"/>
        <v>3.3</v>
      </c>
      <c r="J129" s="136">
        <f t="shared" si="28"/>
        <v>3.3</v>
      </c>
      <c r="K129" s="136">
        <f t="shared" si="28"/>
        <v>3.3</v>
      </c>
      <c r="L129" s="136">
        <f t="shared" si="28"/>
        <v>3.3</v>
      </c>
      <c r="M129" s="136">
        <f t="shared" si="28"/>
        <v>3.3</v>
      </c>
      <c r="N129" s="136">
        <f t="shared" si="28"/>
        <v>3.3</v>
      </c>
      <c r="O129" s="136">
        <f t="shared" si="28"/>
        <v>3.3</v>
      </c>
      <c r="P129" s="136">
        <f t="shared" si="28"/>
        <v>3.3</v>
      </c>
      <c r="Q129" s="136">
        <f t="shared" si="28"/>
        <v>3.3</v>
      </c>
      <c r="R129" s="136">
        <f t="shared" si="27"/>
        <v>3.3</v>
      </c>
      <c r="S129" s="136">
        <f t="shared" si="27"/>
        <v>3.3</v>
      </c>
      <c r="T129" s="136">
        <f t="shared" si="27"/>
        <v>3.3</v>
      </c>
      <c r="U129" s="136">
        <f t="shared" si="27"/>
        <v>3.3</v>
      </c>
      <c r="V129" s="136">
        <f t="shared" si="29"/>
        <v>3.3</v>
      </c>
      <c r="W129" s="136">
        <f t="shared" si="29"/>
        <v>3.3</v>
      </c>
      <c r="X129" s="136">
        <f t="shared" si="29"/>
        <v>3.3</v>
      </c>
      <c r="Y129" s="136">
        <f t="shared" si="29"/>
        <v>3.3</v>
      </c>
      <c r="Z129" s="136">
        <f t="shared" si="29"/>
        <v>3.3</v>
      </c>
      <c r="AA129" s="136">
        <f t="shared" si="29"/>
        <v>3.3</v>
      </c>
      <c r="AB129" s="136">
        <f t="shared" si="29"/>
        <v>3.3</v>
      </c>
      <c r="AC129" s="136">
        <f t="shared" si="29"/>
        <v>3.3</v>
      </c>
      <c r="AD129" s="136">
        <f t="shared" si="29"/>
        <v>3.3</v>
      </c>
      <c r="AE129" s="136">
        <f t="shared" si="29"/>
        <v>3.3</v>
      </c>
      <c r="AF129" s="136">
        <f t="shared" si="29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8"/>
        <v>1.76</v>
      </c>
      <c r="D130" s="136">
        <f t="shared" si="28"/>
        <v>1.76</v>
      </c>
      <c r="E130" s="136">
        <f t="shared" si="28"/>
        <v>1.76</v>
      </c>
      <c r="F130" s="136">
        <f t="shared" si="28"/>
        <v>1.76</v>
      </c>
      <c r="G130" s="136">
        <f t="shared" si="28"/>
        <v>1.76</v>
      </c>
      <c r="H130" s="136">
        <f t="shared" si="28"/>
        <v>1.76</v>
      </c>
      <c r="I130" s="136">
        <f t="shared" si="28"/>
        <v>1.76</v>
      </c>
      <c r="J130" s="136">
        <f t="shared" si="28"/>
        <v>1.76</v>
      </c>
      <c r="K130" s="136">
        <f t="shared" si="28"/>
        <v>1.76</v>
      </c>
      <c r="L130" s="136">
        <f t="shared" si="28"/>
        <v>1.76</v>
      </c>
      <c r="M130" s="136">
        <f t="shared" si="28"/>
        <v>1.76</v>
      </c>
      <c r="N130" s="136">
        <f t="shared" si="28"/>
        <v>1.76</v>
      </c>
      <c r="O130" s="136">
        <f t="shared" si="28"/>
        <v>1.76</v>
      </c>
      <c r="P130" s="136">
        <f t="shared" si="28"/>
        <v>1.76</v>
      </c>
      <c r="Q130" s="136">
        <f t="shared" si="28"/>
        <v>1.76</v>
      </c>
      <c r="R130" s="136">
        <f t="shared" si="27"/>
        <v>1.76</v>
      </c>
      <c r="S130" s="136">
        <f t="shared" si="27"/>
        <v>1.76</v>
      </c>
      <c r="T130" s="136">
        <f t="shared" si="27"/>
        <v>1.76</v>
      </c>
      <c r="U130" s="136">
        <f t="shared" si="27"/>
        <v>1.76</v>
      </c>
      <c r="V130" s="136">
        <f t="shared" si="29"/>
        <v>1.76</v>
      </c>
      <c r="W130" s="136">
        <f t="shared" si="29"/>
        <v>1.76</v>
      </c>
      <c r="X130" s="136">
        <f t="shared" si="29"/>
        <v>1.76</v>
      </c>
      <c r="Y130" s="136">
        <f t="shared" si="29"/>
        <v>1.76</v>
      </c>
      <c r="Z130" s="136">
        <f t="shared" si="29"/>
        <v>1.76</v>
      </c>
      <c r="AA130" s="136">
        <f t="shared" si="29"/>
        <v>1.76</v>
      </c>
      <c r="AB130" s="136">
        <f t="shared" si="29"/>
        <v>1.76</v>
      </c>
      <c r="AC130" s="136">
        <f t="shared" si="29"/>
        <v>1.76</v>
      </c>
      <c r="AD130" s="136">
        <f t="shared" si="29"/>
        <v>1.76</v>
      </c>
      <c r="AE130" s="136">
        <f t="shared" si="29"/>
        <v>1.76</v>
      </c>
      <c r="AF130" s="136">
        <f t="shared" si="29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8"/>
        <v>0</v>
      </c>
      <c r="D131" s="136">
        <f t="shared" si="28"/>
        <v>0</v>
      </c>
      <c r="E131" s="136">
        <f t="shared" si="28"/>
        <v>0</v>
      </c>
      <c r="F131" s="136">
        <f t="shared" si="28"/>
        <v>0</v>
      </c>
      <c r="G131" s="136">
        <f t="shared" si="28"/>
        <v>0</v>
      </c>
      <c r="H131" s="136">
        <f t="shared" si="28"/>
        <v>0</v>
      </c>
      <c r="I131" s="136">
        <f t="shared" si="28"/>
        <v>0</v>
      </c>
      <c r="J131" s="136">
        <f t="shared" si="28"/>
        <v>0</v>
      </c>
      <c r="K131" s="136">
        <f t="shared" si="28"/>
        <v>0</v>
      </c>
      <c r="L131" s="136">
        <f t="shared" si="28"/>
        <v>0</v>
      </c>
      <c r="M131" s="136">
        <f t="shared" si="28"/>
        <v>0</v>
      </c>
      <c r="N131" s="136">
        <f t="shared" si="28"/>
        <v>0</v>
      </c>
      <c r="O131" s="136">
        <f t="shared" si="28"/>
        <v>0</v>
      </c>
      <c r="P131" s="136">
        <f t="shared" si="28"/>
        <v>0</v>
      </c>
      <c r="Q131" s="136">
        <f t="shared" si="28"/>
        <v>0</v>
      </c>
      <c r="R131" s="136">
        <f t="shared" si="27"/>
        <v>0</v>
      </c>
      <c r="S131" s="136">
        <f t="shared" si="27"/>
        <v>0</v>
      </c>
      <c r="T131" s="136">
        <f t="shared" si="27"/>
        <v>0</v>
      </c>
      <c r="U131" s="136">
        <f t="shared" si="27"/>
        <v>0</v>
      </c>
      <c r="V131" s="136">
        <f t="shared" si="29"/>
        <v>0</v>
      </c>
      <c r="W131" s="136">
        <f t="shared" si="29"/>
        <v>0</v>
      </c>
      <c r="X131" s="136">
        <f t="shared" si="29"/>
        <v>0</v>
      </c>
      <c r="Y131" s="136">
        <f t="shared" si="29"/>
        <v>0</v>
      </c>
      <c r="Z131" s="136">
        <f t="shared" si="29"/>
        <v>0</v>
      </c>
      <c r="AA131" s="136">
        <f t="shared" si="29"/>
        <v>0</v>
      </c>
      <c r="AB131" s="136">
        <f t="shared" si="29"/>
        <v>0</v>
      </c>
      <c r="AC131" s="136">
        <f t="shared" si="29"/>
        <v>0</v>
      </c>
      <c r="AD131" s="136">
        <f t="shared" si="29"/>
        <v>0</v>
      </c>
      <c r="AE131" s="136">
        <f t="shared" si="29"/>
        <v>0</v>
      </c>
      <c r="AF131" s="136">
        <f t="shared" si="29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8"/>
        <v>0.1</v>
      </c>
      <c r="D132" s="136">
        <f t="shared" si="28"/>
        <v>0.1</v>
      </c>
      <c r="E132" s="136">
        <f t="shared" si="28"/>
        <v>0.1</v>
      </c>
      <c r="F132" s="136">
        <f t="shared" si="28"/>
        <v>0.1</v>
      </c>
      <c r="G132" s="136">
        <f t="shared" si="28"/>
        <v>0.1</v>
      </c>
      <c r="H132" s="136">
        <f t="shared" si="28"/>
        <v>0.1</v>
      </c>
      <c r="I132" s="136">
        <f t="shared" si="28"/>
        <v>0.1</v>
      </c>
      <c r="J132" s="136">
        <f t="shared" si="28"/>
        <v>0.1</v>
      </c>
      <c r="K132" s="136">
        <f t="shared" si="28"/>
        <v>0.1</v>
      </c>
      <c r="L132" s="136">
        <f t="shared" si="28"/>
        <v>0.1</v>
      </c>
      <c r="M132" s="136">
        <f t="shared" si="28"/>
        <v>0.1</v>
      </c>
      <c r="N132" s="136">
        <f t="shared" si="28"/>
        <v>0.1</v>
      </c>
      <c r="O132" s="136">
        <f t="shared" si="28"/>
        <v>0.1</v>
      </c>
      <c r="P132" s="136">
        <f t="shared" si="28"/>
        <v>0.1</v>
      </c>
      <c r="Q132" s="136">
        <f t="shared" si="28"/>
        <v>0.1</v>
      </c>
      <c r="R132" s="136">
        <f t="shared" si="27"/>
        <v>0.1</v>
      </c>
      <c r="S132" s="136">
        <f t="shared" si="27"/>
        <v>0.1</v>
      </c>
      <c r="T132" s="136">
        <f t="shared" si="27"/>
        <v>0.1</v>
      </c>
      <c r="U132" s="136">
        <f t="shared" si="27"/>
        <v>0.1</v>
      </c>
      <c r="V132" s="136">
        <f t="shared" si="29"/>
        <v>0.1</v>
      </c>
      <c r="W132" s="136">
        <f t="shared" si="29"/>
        <v>0.1</v>
      </c>
      <c r="X132" s="136">
        <f t="shared" si="29"/>
        <v>0.1</v>
      </c>
      <c r="Y132" s="136">
        <f t="shared" si="29"/>
        <v>0.1</v>
      </c>
      <c r="Z132" s="136">
        <f t="shared" si="29"/>
        <v>0.1</v>
      </c>
      <c r="AA132" s="136">
        <f t="shared" si="29"/>
        <v>0.1</v>
      </c>
      <c r="AB132" s="136">
        <f t="shared" si="29"/>
        <v>0.1</v>
      </c>
      <c r="AC132" s="136">
        <f t="shared" si="29"/>
        <v>0.1</v>
      </c>
      <c r="AD132" s="136">
        <f t="shared" si="29"/>
        <v>0.1</v>
      </c>
      <c r="AE132" s="136">
        <f t="shared" si="29"/>
        <v>0.1</v>
      </c>
      <c r="AF132" s="136">
        <f t="shared" si="29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8"/>
        <v>2.0499999999999998</v>
      </c>
      <c r="D133" s="136">
        <f t="shared" si="28"/>
        <v>2.0499999999999998</v>
      </c>
      <c r="E133" s="136">
        <f t="shared" si="28"/>
        <v>2.0499999999999998</v>
      </c>
      <c r="F133" s="136">
        <f t="shared" si="28"/>
        <v>2.0499999999999998</v>
      </c>
      <c r="G133" s="136">
        <f t="shared" si="28"/>
        <v>2.0499999999999998</v>
      </c>
      <c r="H133" s="136">
        <f t="shared" si="28"/>
        <v>2.0499999999999998</v>
      </c>
      <c r="I133" s="136">
        <f t="shared" si="28"/>
        <v>2.0499999999999998</v>
      </c>
      <c r="J133" s="136">
        <f t="shared" si="28"/>
        <v>2.0499999999999998</v>
      </c>
      <c r="K133" s="136">
        <f t="shared" si="28"/>
        <v>2.0499999999999998</v>
      </c>
      <c r="L133" s="136">
        <f t="shared" si="28"/>
        <v>2.0499999999999998</v>
      </c>
      <c r="M133" s="136">
        <f t="shared" si="28"/>
        <v>2.0499999999999998</v>
      </c>
      <c r="N133" s="136">
        <f t="shared" si="28"/>
        <v>2.0499999999999998</v>
      </c>
      <c r="O133" s="136">
        <f t="shared" si="28"/>
        <v>2.0499999999999998</v>
      </c>
      <c r="P133" s="136">
        <f t="shared" si="28"/>
        <v>2.0499999999999998</v>
      </c>
      <c r="Q133" s="136">
        <f t="shared" si="28"/>
        <v>2.0499999999999998</v>
      </c>
      <c r="R133" s="136">
        <f t="shared" si="27"/>
        <v>2.0499999999999998</v>
      </c>
      <c r="S133" s="136">
        <f t="shared" si="27"/>
        <v>2.0499999999999998</v>
      </c>
      <c r="T133" s="136">
        <f t="shared" si="27"/>
        <v>2.0499999999999998</v>
      </c>
      <c r="U133" s="136">
        <f t="shared" si="27"/>
        <v>2.0499999999999998</v>
      </c>
      <c r="V133" s="136">
        <f t="shared" si="29"/>
        <v>2.0499999999999998</v>
      </c>
      <c r="W133" s="136">
        <f t="shared" si="29"/>
        <v>2.0499999999999998</v>
      </c>
      <c r="X133" s="136">
        <f t="shared" si="29"/>
        <v>2.0499999999999998</v>
      </c>
      <c r="Y133" s="136">
        <f t="shared" si="29"/>
        <v>2.0499999999999998</v>
      </c>
      <c r="Z133" s="136">
        <f t="shared" si="29"/>
        <v>2.0499999999999998</v>
      </c>
      <c r="AA133" s="136">
        <f t="shared" si="29"/>
        <v>2.0499999999999998</v>
      </c>
      <c r="AB133" s="136">
        <f t="shared" si="29"/>
        <v>2.0499999999999998</v>
      </c>
      <c r="AC133" s="136">
        <f t="shared" si="29"/>
        <v>2.0499999999999998</v>
      </c>
      <c r="AD133" s="136">
        <f t="shared" si="29"/>
        <v>2.0499999999999998</v>
      </c>
      <c r="AE133" s="136">
        <f t="shared" si="29"/>
        <v>2.0499999999999998</v>
      </c>
      <c r="AF133" s="136">
        <f t="shared" si="29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8"/>
        <v>2.15</v>
      </c>
      <c r="D134" s="136">
        <f t="shared" si="28"/>
        <v>2.15</v>
      </c>
      <c r="E134" s="136">
        <f t="shared" si="28"/>
        <v>2.15</v>
      </c>
      <c r="F134" s="136">
        <f t="shared" si="28"/>
        <v>2.15</v>
      </c>
      <c r="G134" s="136">
        <f t="shared" si="28"/>
        <v>2.15</v>
      </c>
      <c r="H134" s="136">
        <f t="shared" si="28"/>
        <v>2.15</v>
      </c>
      <c r="I134" s="136">
        <f t="shared" si="28"/>
        <v>2.15</v>
      </c>
      <c r="J134" s="136">
        <f t="shared" si="28"/>
        <v>2.15</v>
      </c>
      <c r="K134" s="136">
        <f t="shared" si="28"/>
        <v>2.15</v>
      </c>
      <c r="L134" s="136">
        <f t="shared" si="28"/>
        <v>2.15</v>
      </c>
      <c r="M134" s="136">
        <f t="shared" si="28"/>
        <v>2.15</v>
      </c>
      <c r="N134" s="136">
        <f t="shared" si="28"/>
        <v>2.15</v>
      </c>
      <c r="O134" s="136">
        <f t="shared" si="28"/>
        <v>2.15</v>
      </c>
      <c r="P134" s="136">
        <f t="shared" si="28"/>
        <v>2.15</v>
      </c>
      <c r="Q134" s="136">
        <f t="shared" si="28"/>
        <v>2.15</v>
      </c>
      <c r="R134" s="136">
        <f t="shared" si="27"/>
        <v>2.15</v>
      </c>
      <c r="S134" s="136">
        <f t="shared" si="27"/>
        <v>2.15</v>
      </c>
      <c r="T134" s="136">
        <f t="shared" si="27"/>
        <v>2.15</v>
      </c>
      <c r="U134" s="136">
        <f t="shared" si="27"/>
        <v>2.15</v>
      </c>
      <c r="V134" s="136">
        <f t="shared" si="29"/>
        <v>2.15</v>
      </c>
      <c r="W134" s="136">
        <f t="shared" si="29"/>
        <v>2.15</v>
      </c>
      <c r="X134" s="136">
        <f t="shared" si="29"/>
        <v>2.15</v>
      </c>
      <c r="Y134" s="136">
        <f t="shared" si="29"/>
        <v>2.15</v>
      </c>
      <c r="Z134" s="136">
        <f t="shared" si="29"/>
        <v>2.15</v>
      </c>
      <c r="AA134" s="136">
        <f t="shared" si="29"/>
        <v>2.15</v>
      </c>
      <c r="AB134" s="136">
        <f t="shared" si="29"/>
        <v>2.15</v>
      </c>
      <c r="AC134" s="136">
        <f t="shared" si="29"/>
        <v>2.15</v>
      </c>
      <c r="AD134" s="136">
        <f t="shared" si="29"/>
        <v>2.15</v>
      </c>
      <c r="AE134" s="136">
        <f t="shared" si="29"/>
        <v>2.15</v>
      </c>
      <c r="AF134" s="136">
        <f t="shared" si="29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8"/>
        <v>2.7</v>
      </c>
      <c r="D135" s="136">
        <f t="shared" si="28"/>
        <v>2.7</v>
      </c>
      <c r="E135" s="136">
        <f t="shared" si="28"/>
        <v>2.7</v>
      </c>
      <c r="F135" s="136">
        <f t="shared" si="28"/>
        <v>2.7</v>
      </c>
      <c r="G135" s="136">
        <f t="shared" si="28"/>
        <v>2.7</v>
      </c>
      <c r="H135" s="136">
        <f t="shared" si="28"/>
        <v>2.7</v>
      </c>
      <c r="I135" s="136">
        <f t="shared" si="28"/>
        <v>2.7</v>
      </c>
      <c r="J135" s="136">
        <f t="shared" si="28"/>
        <v>2.7</v>
      </c>
      <c r="K135" s="136">
        <f t="shared" si="28"/>
        <v>2.7</v>
      </c>
      <c r="L135" s="136">
        <f t="shared" si="28"/>
        <v>2.7</v>
      </c>
      <c r="M135" s="136">
        <f t="shared" si="28"/>
        <v>2.7</v>
      </c>
      <c r="N135" s="136">
        <f t="shared" si="28"/>
        <v>2.7</v>
      </c>
      <c r="O135" s="136">
        <f t="shared" si="28"/>
        <v>2.7</v>
      </c>
      <c r="P135" s="136">
        <f t="shared" si="28"/>
        <v>2.7</v>
      </c>
      <c r="Q135" s="136">
        <f t="shared" si="28"/>
        <v>2.7</v>
      </c>
      <c r="R135" s="136">
        <f t="shared" si="27"/>
        <v>2.7</v>
      </c>
      <c r="S135" s="136">
        <f t="shared" si="27"/>
        <v>2.7</v>
      </c>
      <c r="T135" s="136">
        <f t="shared" si="27"/>
        <v>2.7</v>
      </c>
      <c r="U135" s="136">
        <f t="shared" si="27"/>
        <v>2.7</v>
      </c>
      <c r="V135" s="136">
        <f t="shared" si="29"/>
        <v>2.7</v>
      </c>
      <c r="W135" s="136">
        <f t="shared" si="29"/>
        <v>2.7</v>
      </c>
      <c r="X135" s="136">
        <f t="shared" si="29"/>
        <v>2.7</v>
      </c>
      <c r="Y135" s="136">
        <f t="shared" si="29"/>
        <v>2.7</v>
      </c>
      <c r="Z135" s="136">
        <f t="shared" si="29"/>
        <v>2.7</v>
      </c>
      <c r="AA135" s="136">
        <f t="shared" si="29"/>
        <v>2.7</v>
      </c>
      <c r="AB135" s="136">
        <f t="shared" si="29"/>
        <v>2.7</v>
      </c>
      <c r="AC135" s="136">
        <f t="shared" si="29"/>
        <v>2.7</v>
      </c>
      <c r="AD135" s="136">
        <f t="shared" si="29"/>
        <v>2.7</v>
      </c>
      <c r="AE135" s="136">
        <f t="shared" si="29"/>
        <v>2.7</v>
      </c>
      <c r="AF135" s="136">
        <f t="shared" si="29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8"/>
        <v>0.9</v>
      </c>
      <c r="D136" s="136">
        <f t="shared" si="28"/>
        <v>0.9</v>
      </c>
      <c r="E136" s="136">
        <f t="shared" si="28"/>
        <v>0.9</v>
      </c>
      <c r="F136" s="136">
        <f t="shared" si="28"/>
        <v>0.9</v>
      </c>
      <c r="G136" s="136">
        <f t="shared" si="28"/>
        <v>0.9</v>
      </c>
      <c r="H136" s="136">
        <f t="shared" si="28"/>
        <v>0.9</v>
      </c>
      <c r="I136" s="136">
        <f t="shared" si="28"/>
        <v>0.9</v>
      </c>
      <c r="J136" s="136">
        <f t="shared" si="28"/>
        <v>0.9</v>
      </c>
      <c r="K136" s="136">
        <f t="shared" si="28"/>
        <v>0.9</v>
      </c>
      <c r="L136" s="136">
        <f t="shared" si="28"/>
        <v>0.9</v>
      </c>
      <c r="M136" s="136">
        <f t="shared" si="28"/>
        <v>0.9</v>
      </c>
      <c r="N136" s="136">
        <f t="shared" si="28"/>
        <v>0.9</v>
      </c>
      <c r="O136" s="136">
        <f t="shared" si="28"/>
        <v>0.9</v>
      </c>
      <c r="P136" s="136">
        <f t="shared" si="28"/>
        <v>0.9</v>
      </c>
      <c r="Q136" s="136">
        <f t="shared" si="28"/>
        <v>0.9</v>
      </c>
      <c r="R136" s="136">
        <f t="shared" si="27"/>
        <v>0.9</v>
      </c>
      <c r="S136" s="136">
        <f t="shared" si="27"/>
        <v>0.9</v>
      </c>
      <c r="T136" s="136">
        <f t="shared" si="27"/>
        <v>0.9</v>
      </c>
      <c r="U136" s="136">
        <f t="shared" si="27"/>
        <v>0.9</v>
      </c>
      <c r="V136" s="136">
        <f t="shared" si="29"/>
        <v>0.9</v>
      </c>
      <c r="W136" s="136">
        <f t="shared" si="29"/>
        <v>0.9</v>
      </c>
      <c r="X136" s="136">
        <f t="shared" si="29"/>
        <v>0.9</v>
      </c>
      <c r="Y136" s="136">
        <f t="shared" si="29"/>
        <v>0.9</v>
      </c>
      <c r="Z136" s="136">
        <f t="shared" si="29"/>
        <v>0.9</v>
      </c>
      <c r="AA136" s="136">
        <f t="shared" si="29"/>
        <v>0.9</v>
      </c>
      <c r="AB136" s="136">
        <f t="shared" si="29"/>
        <v>0.9</v>
      </c>
      <c r="AC136" s="136">
        <f t="shared" si="29"/>
        <v>0.9</v>
      </c>
      <c r="AD136" s="136">
        <f t="shared" si="29"/>
        <v>0.9</v>
      </c>
      <c r="AE136" s="136">
        <f t="shared" si="29"/>
        <v>0.9</v>
      </c>
      <c r="AF136" s="136">
        <f t="shared" si="29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8"/>
        <v>1.08</v>
      </c>
      <c r="D137" s="136">
        <f t="shared" si="28"/>
        <v>1.08</v>
      </c>
      <c r="E137" s="136">
        <f t="shared" si="28"/>
        <v>1.08</v>
      </c>
      <c r="F137" s="136">
        <f t="shared" si="28"/>
        <v>1.08</v>
      </c>
      <c r="G137" s="136">
        <f t="shared" si="28"/>
        <v>1.08</v>
      </c>
      <c r="H137" s="136">
        <f t="shared" si="28"/>
        <v>1.08</v>
      </c>
      <c r="I137" s="136">
        <f t="shared" si="28"/>
        <v>1.08</v>
      </c>
      <c r="J137" s="136">
        <f t="shared" si="28"/>
        <v>1.08</v>
      </c>
      <c r="K137" s="136">
        <f t="shared" si="28"/>
        <v>1.08</v>
      </c>
      <c r="L137" s="136">
        <f t="shared" si="28"/>
        <v>1.08</v>
      </c>
      <c r="M137" s="136">
        <f t="shared" si="28"/>
        <v>1.08</v>
      </c>
      <c r="N137" s="136">
        <f t="shared" si="28"/>
        <v>1.08</v>
      </c>
      <c r="O137" s="136">
        <f t="shared" si="28"/>
        <v>1.08</v>
      </c>
      <c r="P137" s="136">
        <f t="shared" si="28"/>
        <v>1.08</v>
      </c>
      <c r="Q137" s="136">
        <f t="shared" si="28"/>
        <v>1.08</v>
      </c>
      <c r="R137" s="136">
        <f t="shared" si="27"/>
        <v>1.08</v>
      </c>
      <c r="S137" s="136">
        <f t="shared" si="27"/>
        <v>1.08</v>
      </c>
      <c r="T137" s="136">
        <f t="shared" si="27"/>
        <v>1.08</v>
      </c>
      <c r="U137" s="136">
        <f t="shared" si="27"/>
        <v>1.08</v>
      </c>
      <c r="V137" s="136">
        <f t="shared" si="29"/>
        <v>1.08</v>
      </c>
      <c r="W137" s="136">
        <f t="shared" si="29"/>
        <v>1.08</v>
      </c>
      <c r="X137" s="136">
        <f t="shared" si="29"/>
        <v>1.08</v>
      </c>
      <c r="Y137" s="136">
        <f t="shared" si="29"/>
        <v>1.08</v>
      </c>
      <c r="Z137" s="136">
        <f t="shared" si="29"/>
        <v>1.08</v>
      </c>
      <c r="AA137" s="136">
        <f t="shared" si="29"/>
        <v>1.08</v>
      </c>
      <c r="AB137" s="136">
        <f t="shared" si="29"/>
        <v>1.08</v>
      </c>
      <c r="AC137" s="136">
        <f t="shared" si="29"/>
        <v>1.08</v>
      </c>
      <c r="AD137" s="136">
        <f t="shared" si="29"/>
        <v>1.08</v>
      </c>
      <c r="AE137" s="136">
        <f t="shared" si="29"/>
        <v>1.08</v>
      </c>
      <c r="AF137" s="136">
        <f t="shared" si="29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30">B138</f>
        <v>2.37</v>
      </c>
      <c r="D138" s="136">
        <f t="shared" si="30"/>
        <v>2.37</v>
      </c>
      <c r="E138" s="136">
        <f t="shared" si="30"/>
        <v>2.37</v>
      </c>
      <c r="F138" s="136">
        <f t="shared" si="30"/>
        <v>2.37</v>
      </c>
      <c r="G138" s="136">
        <f t="shared" si="30"/>
        <v>2.37</v>
      </c>
      <c r="H138" s="136">
        <f t="shared" si="30"/>
        <v>2.37</v>
      </c>
      <c r="I138" s="136">
        <f t="shared" si="30"/>
        <v>2.37</v>
      </c>
      <c r="J138" s="136">
        <f t="shared" si="30"/>
        <v>2.37</v>
      </c>
      <c r="K138" s="136">
        <f t="shared" si="30"/>
        <v>2.37</v>
      </c>
      <c r="L138" s="136">
        <f t="shared" si="30"/>
        <v>2.37</v>
      </c>
      <c r="M138" s="136">
        <f t="shared" si="30"/>
        <v>2.37</v>
      </c>
      <c r="N138" s="136">
        <f t="shared" si="30"/>
        <v>2.37</v>
      </c>
      <c r="O138" s="136">
        <f t="shared" si="30"/>
        <v>2.37</v>
      </c>
      <c r="P138" s="136">
        <f t="shared" si="30"/>
        <v>2.37</v>
      </c>
      <c r="Q138" s="136">
        <f t="shared" si="30"/>
        <v>2.37</v>
      </c>
      <c r="R138" s="136">
        <f t="shared" si="27"/>
        <v>2.37</v>
      </c>
      <c r="S138" s="136">
        <f t="shared" si="27"/>
        <v>2.37</v>
      </c>
      <c r="T138" s="136">
        <f t="shared" si="27"/>
        <v>2.37</v>
      </c>
      <c r="U138" s="136">
        <f t="shared" si="27"/>
        <v>2.37</v>
      </c>
      <c r="V138" s="136">
        <f t="shared" si="29"/>
        <v>2.37</v>
      </c>
      <c r="W138" s="136">
        <f t="shared" si="29"/>
        <v>2.37</v>
      </c>
      <c r="X138" s="136">
        <f t="shared" si="29"/>
        <v>2.37</v>
      </c>
      <c r="Y138" s="136">
        <f t="shared" si="29"/>
        <v>2.37</v>
      </c>
      <c r="Z138" s="136">
        <f t="shared" si="29"/>
        <v>2.37</v>
      </c>
      <c r="AA138" s="136">
        <f t="shared" si="29"/>
        <v>2.37</v>
      </c>
      <c r="AB138" s="136">
        <f t="shared" si="29"/>
        <v>2.37</v>
      </c>
      <c r="AC138" s="136">
        <f t="shared" si="29"/>
        <v>2.37</v>
      </c>
      <c r="AD138" s="136">
        <f t="shared" si="29"/>
        <v>2.37</v>
      </c>
      <c r="AE138" s="136">
        <f t="shared" si="29"/>
        <v>2.37</v>
      </c>
      <c r="AF138" s="136">
        <f t="shared" si="29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30"/>
        <v>1.81</v>
      </c>
      <c r="D139" s="136">
        <f t="shared" si="30"/>
        <v>1.81</v>
      </c>
      <c r="E139" s="136">
        <f t="shared" si="30"/>
        <v>1.81</v>
      </c>
      <c r="F139" s="136">
        <f t="shared" si="30"/>
        <v>1.81</v>
      </c>
      <c r="G139" s="136">
        <f t="shared" si="30"/>
        <v>1.81</v>
      </c>
      <c r="H139" s="136">
        <f t="shared" si="30"/>
        <v>1.81</v>
      </c>
      <c r="I139" s="136">
        <f t="shared" si="30"/>
        <v>1.81</v>
      </c>
      <c r="J139" s="136">
        <f t="shared" si="30"/>
        <v>1.81</v>
      </c>
      <c r="K139" s="136">
        <f t="shared" si="30"/>
        <v>1.81</v>
      </c>
      <c r="L139" s="136">
        <f t="shared" si="30"/>
        <v>1.81</v>
      </c>
      <c r="M139" s="136">
        <f t="shared" si="30"/>
        <v>1.81</v>
      </c>
      <c r="N139" s="136">
        <f t="shared" si="30"/>
        <v>1.81</v>
      </c>
      <c r="O139" s="136">
        <f t="shared" si="30"/>
        <v>1.81</v>
      </c>
      <c r="P139" s="136">
        <f t="shared" si="30"/>
        <v>1.81</v>
      </c>
      <c r="Q139" s="136">
        <f t="shared" si="30"/>
        <v>1.81</v>
      </c>
      <c r="R139" s="136">
        <f t="shared" si="27"/>
        <v>1.81</v>
      </c>
      <c r="S139" s="136">
        <f t="shared" si="27"/>
        <v>1.81</v>
      </c>
      <c r="T139" s="136">
        <f t="shared" si="27"/>
        <v>1.81</v>
      </c>
      <c r="U139" s="136">
        <f t="shared" si="27"/>
        <v>1.81</v>
      </c>
      <c r="V139" s="136">
        <f t="shared" si="29"/>
        <v>1.81</v>
      </c>
      <c r="W139" s="136">
        <f t="shared" si="29"/>
        <v>1.81</v>
      </c>
      <c r="X139" s="136">
        <f t="shared" si="29"/>
        <v>1.81</v>
      </c>
      <c r="Y139" s="136">
        <f t="shared" si="29"/>
        <v>1.81</v>
      </c>
      <c r="Z139" s="136">
        <f t="shared" si="29"/>
        <v>1.81</v>
      </c>
      <c r="AA139" s="136">
        <f t="shared" si="29"/>
        <v>1.81</v>
      </c>
      <c r="AB139" s="136">
        <f t="shared" si="29"/>
        <v>1.81</v>
      </c>
      <c r="AC139" s="136">
        <f t="shared" si="29"/>
        <v>1.81</v>
      </c>
      <c r="AD139" s="136">
        <f t="shared" si="29"/>
        <v>1.81</v>
      </c>
      <c r="AE139" s="136">
        <f t="shared" si="29"/>
        <v>1.81</v>
      </c>
      <c r="AF139" s="136">
        <f t="shared" si="29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30"/>
        <v>1.0900000000000001</v>
      </c>
      <c r="D140" s="136">
        <f t="shared" si="30"/>
        <v>1.0900000000000001</v>
      </c>
      <c r="E140" s="136">
        <f t="shared" si="30"/>
        <v>1.0900000000000001</v>
      </c>
      <c r="F140" s="136">
        <f t="shared" si="30"/>
        <v>1.0900000000000001</v>
      </c>
      <c r="G140" s="136">
        <f t="shared" si="30"/>
        <v>1.0900000000000001</v>
      </c>
      <c r="H140" s="136">
        <f t="shared" si="30"/>
        <v>1.0900000000000001</v>
      </c>
      <c r="I140" s="136">
        <f t="shared" si="30"/>
        <v>1.0900000000000001</v>
      </c>
      <c r="J140" s="136">
        <f t="shared" si="30"/>
        <v>1.0900000000000001</v>
      </c>
      <c r="K140" s="136">
        <f t="shared" si="30"/>
        <v>1.0900000000000001</v>
      </c>
      <c r="L140" s="136">
        <f t="shared" si="30"/>
        <v>1.0900000000000001</v>
      </c>
      <c r="M140" s="136">
        <f t="shared" si="30"/>
        <v>1.0900000000000001</v>
      </c>
      <c r="N140" s="136">
        <f t="shared" si="30"/>
        <v>1.0900000000000001</v>
      </c>
      <c r="O140" s="136">
        <f t="shared" si="30"/>
        <v>1.0900000000000001</v>
      </c>
      <c r="P140" s="136">
        <f t="shared" si="30"/>
        <v>1.0900000000000001</v>
      </c>
      <c r="Q140" s="136">
        <f t="shared" si="30"/>
        <v>1.0900000000000001</v>
      </c>
      <c r="R140" s="136">
        <f t="shared" si="27"/>
        <v>1.0900000000000001</v>
      </c>
      <c r="S140" s="136">
        <f t="shared" si="27"/>
        <v>1.0900000000000001</v>
      </c>
      <c r="T140" s="136">
        <f t="shared" si="27"/>
        <v>1.0900000000000001</v>
      </c>
      <c r="U140" s="136">
        <f t="shared" si="27"/>
        <v>1.0900000000000001</v>
      </c>
      <c r="V140" s="136">
        <f t="shared" si="29"/>
        <v>1.0900000000000001</v>
      </c>
      <c r="W140" s="136">
        <f t="shared" si="29"/>
        <v>1.0900000000000001</v>
      </c>
      <c r="X140" s="136">
        <f t="shared" si="29"/>
        <v>1.0900000000000001</v>
      </c>
      <c r="Y140" s="136">
        <f t="shared" si="29"/>
        <v>1.0900000000000001</v>
      </c>
      <c r="Z140" s="136">
        <f t="shared" si="29"/>
        <v>1.0900000000000001</v>
      </c>
      <c r="AA140" s="136">
        <f t="shared" si="29"/>
        <v>1.0900000000000001</v>
      </c>
      <c r="AB140" s="136">
        <f t="shared" si="29"/>
        <v>1.0900000000000001</v>
      </c>
      <c r="AC140" s="136">
        <f t="shared" si="29"/>
        <v>1.0900000000000001</v>
      </c>
      <c r="AD140" s="136">
        <f t="shared" si="29"/>
        <v>1.0900000000000001</v>
      </c>
      <c r="AE140" s="136">
        <f t="shared" si="29"/>
        <v>1.0900000000000001</v>
      </c>
      <c r="AF140" s="136">
        <f t="shared" si="29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30"/>
        <v>1.58</v>
      </c>
      <c r="D141" s="136">
        <f t="shared" si="30"/>
        <v>1.58</v>
      </c>
      <c r="E141" s="136">
        <f t="shared" si="30"/>
        <v>1.58</v>
      </c>
      <c r="F141" s="136">
        <f t="shared" si="30"/>
        <v>1.58</v>
      </c>
      <c r="G141" s="136">
        <f t="shared" si="30"/>
        <v>1.58</v>
      </c>
      <c r="H141" s="136">
        <f t="shared" si="30"/>
        <v>1.58</v>
      </c>
      <c r="I141" s="136">
        <f t="shared" si="30"/>
        <v>1.58</v>
      </c>
      <c r="J141" s="136">
        <f t="shared" si="30"/>
        <v>1.58</v>
      </c>
      <c r="K141" s="136">
        <f t="shared" si="30"/>
        <v>1.58</v>
      </c>
      <c r="L141" s="136">
        <f t="shared" si="30"/>
        <v>1.58</v>
      </c>
      <c r="M141" s="136">
        <f t="shared" si="30"/>
        <v>1.58</v>
      </c>
      <c r="N141" s="136">
        <f t="shared" si="30"/>
        <v>1.58</v>
      </c>
      <c r="O141" s="136">
        <f t="shared" si="30"/>
        <v>1.58</v>
      </c>
      <c r="P141" s="136">
        <f t="shared" si="30"/>
        <v>1.58</v>
      </c>
      <c r="Q141" s="136">
        <f t="shared" si="30"/>
        <v>1.58</v>
      </c>
      <c r="R141" s="136">
        <f t="shared" si="27"/>
        <v>1.58</v>
      </c>
      <c r="S141" s="136">
        <f t="shared" si="27"/>
        <v>1.58</v>
      </c>
      <c r="T141" s="136">
        <f t="shared" si="27"/>
        <v>1.58</v>
      </c>
      <c r="U141" s="136">
        <f t="shared" si="27"/>
        <v>1.58</v>
      </c>
      <c r="V141" s="136">
        <f t="shared" si="29"/>
        <v>1.58</v>
      </c>
      <c r="W141" s="136">
        <f t="shared" si="29"/>
        <v>1.58</v>
      </c>
      <c r="X141" s="136">
        <f t="shared" si="29"/>
        <v>1.58</v>
      </c>
      <c r="Y141" s="136">
        <f t="shared" si="29"/>
        <v>1.58</v>
      </c>
      <c r="Z141" s="136">
        <f t="shared" si="29"/>
        <v>1.58</v>
      </c>
      <c r="AA141" s="136">
        <f t="shared" si="29"/>
        <v>1.58</v>
      </c>
      <c r="AB141" s="136">
        <f t="shared" si="29"/>
        <v>1.58</v>
      </c>
      <c r="AC141" s="136">
        <f t="shared" si="29"/>
        <v>1.58</v>
      </c>
      <c r="AD141" s="136">
        <f t="shared" si="29"/>
        <v>1.58</v>
      </c>
      <c r="AE141" s="136">
        <f t="shared" si="29"/>
        <v>1.58</v>
      </c>
      <c r="AF141" s="136">
        <f t="shared" si="29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30"/>
        <v>2</v>
      </c>
      <c r="D142" s="136">
        <f t="shared" si="30"/>
        <v>2</v>
      </c>
      <c r="E142" s="136">
        <f t="shared" si="30"/>
        <v>2</v>
      </c>
      <c r="F142" s="136">
        <f t="shared" si="30"/>
        <v>2</v>
      </c>
      <c r="G142" s="136">
        <f t="shared" si="30"/>
        <v>2</v>
      </c>
      <c r="H142" s="136">
        <f t="shared" si="30"/>
        <v>2</v>
      </c>
      <c r="I142" s="136">
        <f t="shared" si="30"/>
        <v>2</v>
      </c>
      <c r="J142" s="136">
        <f t="shared" si="30"/>
        <v>2</v>
      </c>
      <c r="K142" s="136">
        <f t="shared" si="30"/>
        <v>2</v>
      </c>
      <c r="L142" s="136">
        <f t="shared" si="30"/>
        <v>2</v>
      </c>
      <c r="M142" s="136">
        <f t="shared" si="30"/>
        <v>2</v>
      </c>
      <c r="N142" s="136">
        <f t="shared" si="30"/>
        <v>2</v>
      </c>
      <c r="O142" s="136">
        <f t="shared" si="30"/>
        <v>2</v>
      </c>
      <c r="P142" s="136">
        <f t="shared" si="30"/>
        <v>2</v>
      </c>
      <c r="Q142" s="136">
        <f t="shared" si="30"/>
        <v>2</v>
      </c>
      <c r="R142" s="136">
        <f t="shared" si="27"/>
        <v>2</v>
      </c>
      <c r="S142" s="136">
        <f t="shared" si="27"/>
        <v>2</v>
      </c>
      <c r="T142" s="136">
        <f t="shared" si="27"/>
        <v>2</v>
      </c>
      <c r="U142" s="136">
        <f t="shared" si="27"/>
        <v>2</v>
      </c>
      <c r="V142" s="136">
        <f t="shared" si="29"/>
        <v>2</v>
      </c>
      <c r="W142" s="136">
        <f t="shared" si="29"/>
        <v>2</v>
      </c>
      <c r="X142" s="136">
        <f t="shared" si="29"/>
        <v>2</v>
      </c>
      <c r="Y142" s="136">
        <f t="shared" si="29"/>
        <v>2</v>
      </c>
      <c r="Z142" s="136">
        <f t="shared" si="29"/>
        <v>2</v>
      </c>
      <c r="AA142" s="136">
        <f t="shared" si="29"/>
        <v>2</v>
      </c>
      <c r="AB142" s="136">
        <f t="shared" si="29"/>
        <v>2</v>
      </c>
      <c r="AC142" s="136">
        <f t="shared" si="29"/>
        <v>2</v>
      </c>
      <c r="AD142" s="136">
        <f t="shared" si="29"/>
        <v>2</v>
      </c>
      <c r="AE142" s="136">
        <f t="shared" si="29"/>
        <v>2</v>
      </c>
      <c r="AF142" s="136">
        <f t="shared" si="29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30"/>
        <v>0.47</v>
      </c>
      <c r="D143" s="136">
        <f t="shared" si="30"/>
        <v>0.47</v>
      </c>
      <c r="E143" s="136">
        <f t="shared" si="30"/>
        <v>0.47</v>
      </c>
      <c r="F143" s="136">
        <f t="shared" si="30"/>
        <v>0.47</v>
      </c>
      <c r="G143" s="136">
        <f t="shared" si="30"/>
        <v>0.47</v>
      </c>
      <c r="H143" s="136">
        <f t="shared" si="30"/>
        <v>0.47</v>
      </c>
      <c r="I143" s="136">
        <f t="shared" si="30"/>
        <v>0.47</v>
      </c>
      <c r="J143" s="136">
        <f t="shared" si="30"/>
        <v>0.47</v>
      </c>
      <c r="K143" s="136">
        <f t="shared" si="30"/>
        <v>0.47</v>
      </c>
      <c r="L143" s="136">
        <f t="shared" si="30"/>
        <v>0.47</v>
      </c>
      <c r="M143" s="136">
        <f t="shared" si="30"/>
        <v>0.47</v>
      </c>
      <c r="N143" s="136">
        <f t="shared" si="30"/>
        <v>0.47</v>
      </c>
      <c r="O143" s="136">
        <f t="shared" si="30"/>
        <v>0.47</v>
      </c>
      <c r="P143" s="136">
        <f t="shared" si="30"/>
        <v>0.47</v>
      </c>
      <c r="Q143" s="136">
        <f t="shared" si="30"/>
        <v>0.47</v>
      </c>
      <c r="R143" s="136">
        <f t="shared" si="27"/>
        <v>0.47</v>
      </c>
      <c r="S143" s="136">
        <f t="shared" si="27"/>
        <v>0.47</v>
      </c>
      <c r="T143" s="136">
        <f t="shared" si="27"/>
        <v>0.47</v>
      </c>
      <c r="U143" s="136">
        <f t="shared" si="27"/>
        <v>0.47</v>
      </c>
      <c r="V143" s="136">
        <f t="shared" si="29"/>
        <v>0.47</v>
      </c>
      <c r="W143" s="136">
        <f t="shared" si="29"/>
        <v>0.47</v>
      </c>
      <c r="X143" s="136">
        <f t="shared" si="29"/>
        <v>0.47</v>
      </c>
      <c r="Y143" s="136">
        <f t="shared" si="29"/>
        <v>0.47</v>
      </c>
      <c r="Z143" s="136">
        <f t="shared" si="29"/>
        <v>0.47</v>
      </c>
      <c r="AA143" s="136">
        <f t="shared" si="29"/>
        <v>0.47</v>
      </c>
      <c r="AB143" s="136">
        <f t="shared" si="29"/>
        <v>0.47</v>
      </c>
      <c r="AC143" s="136">
        <f t="shared" si="29"/>
        <v>0.47</v>
      </c>
      <c r="AD143" s="136">
        <f t="shared" si="29"/>
        <v>0.47</v>
      </c>
      <c r="AE143" s="136">
        <f t="shared" si="29"/>
        <v>0.47</v>
      </c>
      <c r="AF143" s="136">
        <f t="shared" si="29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30"/>
        <v>0</v>
      </c>
      <c r="D144" s="136">
        <f t="shared" si="30"/>
        <v>0</v>
      </c>
      <c r="E144" s="136">
        <f t="shared" si="30"/>
        <v>0</v>
      </c>
      <c r="F144" s="136">
        <f t="shared" si="30"/>
        <v>0</v>
      </c>
      <c r="G144" s="136">
        <f t="shared" si="30"/>
        <v>0</v>
      </c>
      <c r="H144" s="136">
        <f t="shared" si="30"/>
        <v>0</v>
      </c>
      <c r="I144" s="136">
        <f t="shared" si="30"/>
        <v>0</v>
      </c>
      <c r="J144" s="136">
        <f t="shared" si="30"/>
        <v>0</v>
      </c>
      <c r="K144" s="136">
        <f t="shared" si="30"/>
        <v>0</v>
      </c>
      <c r="L144" s="136">
        <f t="shared" si="30"/>
        <v>0</v>
      </c>
      <c r="M144" s="136">
        <f t="shared" si="30"/>
        <v>0</v>
      </c>
      <c r="N144" s="136">
        <f t="shared" si="30"/>
        <v>0</v>
      </c>
      <c r="O144" s="136">
        <f t="shared" si="30"/>
        <v>0</v>
      </c>
      <c r="P144" s="136">
        <f t="shared" si="30"/>
        <v>0</v>
      </c>
      <c r="Q144" s="136">
        <f t="shared" si="30"/>
        <v>0</v>
      </c>
      <c r="R144" s="136">
        <f t="shared" si="27"/>
        <v>0</v>
      </c>
      <c r="S144" s="136">
        <f t="shared" si="27"/>
        <v>0</v>
      </c>
      <c r="T144" s="136">
        <f t="shared" si="27"/>
        <v>0</v>
      </c>
      <c r="U144" s="136">
        <f t="shared" si="27"/>
        <v>0</v>
      </c>
      <c r="V144" s="136">
        <f t="shared" si="29"/>
        <v>0</v>
      </c>
      <c r="W144" s="136">
        <f t="shared" si="29"/>
        <v>0</v>
      </c>
      <c r="X144" s="136">
        <f t="shared" si="29"/>
        <v>0</v>
      </c>
      <c r="Y144" s="136">
        <f t="shared" si="29"/>
        <v>0</v>
      </c>
      <c r="Z144" s="136">
        <f t="shared" si="29"/>
        <v>0</v>
      </c>
      <c r="AA144" s="136">
        <f t="shared" si="29"/>
        <v>0</v>
      </c>
      <c r="AB144" s="136">
        <f t="shared" si="29"/>
        <v>0</v>
      </c>
      <c r="AC144" s="136">
        <f t="shared" si="29"/>
        <v>0</v>
      </c>
      <c r="AD144" s="136">
        <f t="shared" si="29"/>
        <v>0</v>
      </c>
      <c r="AE144" s="136">
        <f t="shared" si="29"/>
        <v>0</v>
      </c>
      <c r="AF144" s="136">
        <f t="shared" si="29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30"/>
        <v>0</v>
      </c>
      <c r="D145" s="136">
        <f t="shared" si="30"/>
        <v>0</v>
      </c>
      <c r="E145" s="136">
        <f t="shared" si="30"/>
        <v>0</v>
      </c>
      <c r="F145" s="136">
        <f t="shared" si="30"/>
        <v>0</v>
      </c>
      <c r="G145" s="136">
        <f t="shared" si="30"/>
        <v>0</v>
      </c>
      <c r="H145" s="136">
        <f t="shared" si="30"/>
        <v>0</v>
      </c>
      <c r="I145" s="136">
        <f t="shared" si="30"/>
        <v>0</v>
      </c>
      <c r="J145" s="136">
        <f t="shared" si="30"/>
        <v>0</v>
      </c>
      <c r="K145" s="136">
        <f t="shared" si="30"/>
        <v>0</v>
      </c>
      <c r="L145" s="136">
        <f t="shared" si="30"/>
        <v>0</v>
      </c>
      <c r="M145" s="136">
        <f t="shared" si="30"/>
        <v>0</v>
      </c>
      <c r="N145" s="136">
        <f t="shared" si="30"/>
        <v>0</v>
      </c>
      <c r="O145" s="136">
        <f t="shared" si="30"/>
        <v>0</v>
      </c>
      <c r="P145" s="136">
        <f t="shared" si="30"/>
        <v>0</v>
      </c>
      <c r="Q145" s="136">
        <f t="shared" si="30"/>
        <v>0</v>
      </c>
      <c r="R145" s="136">
        <f t="shared" si="27"/>
        <v>0</v>
      </c>
      <c r="S145" s="136">
        <f t="shared" si="27"/>
        <v>0</v>
      </c>
      <c r="T145" s="136">
        <f t="shared" si="27"/>
        <v>0</v>
      </c>
      <c r="U145" s="136">
        <f t="shared" si="27"/>
        <v>0</v>
      </c>
      <c r="V145" s="136">
        <f t="shared" si="29"/>
        <v>0</v>
      </c>
      <c r="W145" s="136">
        <f t="shared" si="29"/>
        <v>0</v>
      </c>
      <c r="X145" s="136">
        <f t="shared" si="29"/>
        <v>0</v>
      </c>
      <c r="Y145" s="136">
        <f t="shared" si="29"/>
        <v>0</v>
      </c>
      <c r="Z145" s="136">
        <f t="shared" si="29"/>
        <v>0</v>
      </c>
      <c r="AA145" s="136">
        <f t="shared" si="29"/>
        <v>0</v>
      </c>
      <c r="AB145" s="136">
        <f t="shared" si="29"/>
        <v>0</v>
      </c>
      <c r="AC145" s="136">
        <f t="shared" si="29"/>
        <v>0</v>
      </c>
      <c r="AD145" s="136">
        <f t="shared" si="29"/>
        <v>0</v>
      </c>
      <c r="AE145" s="136">
        <f t="shared" si="29"/>
        <v>0</v>
      </c>
      <c r="AF145" s="136">
        <f t="shared" si="29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30"/>
        <v>0.8</v>
      </c>
      <c r="D146" s="136">
        <f t="shared" si="30"/>
        <v>0.8</v>
      </c>
      <c r="E146" s="136">
        <f t="shared" si="30"/>
        <v>0.8</v>
      </c>
      <c r="F146" s="136">
        <f t="shared" si="30"/>
        <v>0.8</v>
      </c>
      <c r="G146" s="136">
        <f t="shared" si="30"/>
        <v>0.8</v>
      </c>
      <c r="H146" s="136">
        <f t="shared" si="30"/>
        <v>0.8</v>
      </c>
      <c r="I146" s="136">
        <f t="shared" si="30"/>
        <v>0.8</v>
      </c>
      <c r="J146" s="136">
        <f t="shared" si="30"/>
        <v>0.8</v>
      </c>
      <c r="K146" s="136">
        <f t="shared" si="30"/>
        <v>0.8</v>
      </c>
      <c r="L146" s="136">
        <f t="shared" si="30"/>
        <v>0.8</v>
      </c>
      <c r="M146" s="136">
        <f t="shared" si="30"/>
        <v>0.8</v>
      </c>
      <c r="N146" s="136">
        <f t="shared" si="30"/>
        <v>0.8</v>
      </c>
      <c r="O146" s="136">
        <f t="shared" si="30"/>
        <v>0.8</v>
      </c>
      <c r="P146" s="136">
        <f t="shared" si="30"/>
        <v>0.8</v>
      </c>
      <c r="Q146" s="136">
        <f t="shared" si="30"/>
        <v>0.8</v>
      </c>
      <c r="R146" s="136">
        <f t="shared" si="27"/>
        <v>0.8</v>
      </c>
      <c r="S146" s="136">
        <f t="shared" si="27"/>
        <v>0.8</v>
      </c>
      <c r="T146" s="136">
        <f t="shared" si="27"/>
        <v>0.8</v>
      </c>
      <c r="U146" s="136">
        <f t="shared" si="27"/>
        <v>0.8</v>
      </c>
      <c r="V146" s="136">
        <f t="shared" si="29"/>
        <v>0.8</v>
      </c>
      <c r="W146" s="136">
        <f t="shared" si="29"/>
        <v>0.8</v>
      </c>
      <c r="X146" s="136">
        <f t="shared" ref="X146:AF170" si="31">W146</f>
        <v>0.8</v>
      </c>
      <c r="Y146" s="136">
        <f t="shared" si="31"/>
        <v>0.8</v>
      </c>
      <c r="Z146" s="136">
        <f t="shared" si="31"/>
        <v>0.8</v>
      </c>
      <c r="AA146" s="136">
        <f t="shared" si="31"/>
        <v>0.8</v>
      </c>
      <c r="AB146" s="136">
        <f t="shared" si="31"/>
        <v>0.8</v>
      </c>
      <c r="AC146" s="136">
        <f t="shared" si="31"/>
        <v>0.8</v>
      </c>
      <c r="AD146" s="136">
        <f t="shared" si="31"/>
        <v>0.8</v>
      </c>
      <c r="AE146" s="136">
        <f t="shared" si="31"/>
        <v>0.8</v>
      </c>
      <c r="AF146" s="136">
        <f t="shared" si="31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30"/>
        <v>1.5</v>
      </c>
      <c r="D147" s="136">
        <f t="shared" si="30"/>
        <v>1.5</v>
      </c>
      <c r="E147" s="136">
        <f t="shared" si="30"/>
        <v>1.5</v>
      </c>
      <c r="F147" s="136">
        <f t="shared" si="30"/>
        <v>1.5</v>
      </c>
      <c r="G147" s="136">
        <f t="shared" si="30"/>
        <v>1.5</v>
      </c>
      <c r="H147" s="136">
        <f t="shared" si="30"/>
        <v>1.5</v>
      </c>
      <c r="I147" s="136">
        <f t="shared" si="30"/>
        <v>1.5</v>
      </c>
      <c r="J147" s="136">
        <f t="shared" si="30"/>
        <v>1.5</v>
      </c>
      <c r="K147" s="136">
        <f t="shared" si="30"/>
        <v>1.5</v>
      </c>
      <c r="L147" s="136">
        <f t="shared" si="30"/>
        <v>1.5</v>
      </c>
      <c r="M147" s="136">
        <f t="shared" si="30"/>
        <v>1.5</v>
      </c>
      <c r="N147" s="136">
        <f t="shared" si="30"/>
        <v>1.5</v>
      </c>
      <c r="O147" s="136">
        <f t="shared" si="30"/>
        <v>1.5</v>
      </c>
      <c r="P147" s="136">
        <f t="shared" si="30"/>
        <v>1.5</v>
      </c>
      <c r="Q147" s="136">
        <f t="shared" si="30"/>
        <v>1.5</v>
      </c>
      <c r="R147" s="136">
        <f t="shared" si="27"/>
        <v>1.5</v>
      </c>
      <c r="S147" s="136">
        <f t="shared" si="27"/>
        <v>1.5</v>
      </c>
      <c r="T147" s="136">
        <f t="shared" si="27"/>
        <v>1.5</v>
      </c>
      <c r="U147" s="136">
        <f t="shared" si="27"/>
        <v>1.5</v>
      </c>
      <c r="V147" s="136">
        <f t="shared" si="27"/>
        <v>1.5</v>
      </c>
      <c r="W147" s="136">
        <f t="shared" si="27"/>
        <v>1.5</v>
      </c>
      <c r="X147" s="136">
        <f t="shared" si="31"/>
        <v>1.5</v>
      </c>
      <c r="Y147" s="136">
        <f t="shared" si="31"/>
        <v>1.5</v>
      </c>
      <c r="Z147" s="136">
        <f t="shared" si="31"/>
        <v>1.5</v>
      </c>
      <c r="AA147" s="136">
        <f t="shared" si="31"/>
        <v>1.5</v>
      </c>
      <c r="AB147" s="136">
        <f t="shared" si="31"/>
        <v>1.5</v>
      </c>
      <c r="AC147" s="136">
        <f t="shared" si="31"/>
        <v>1.5</v>
      </c>
      <c r="AD147" s="136">
        <f t="shared" si="31"/>
        <v>1.5</v>
      </c>
      <c r="AE147" s="136">
        <f t="shared" si="31"/>
        <v>1.5</v>
      </c>
      <c r="AF147" s="136">
        <f t="shared" si="31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30"/>
        <v>1</v>
      </c>
      <c r="D148" s="136">
        <f t="shared" si="30"/>
        <v>1</v>
      </c>
      <c r="E148" s="136">
        <f t="shared" si="30"/>
        <v>1</v>
      </c>
      <c r="F148" s="136">
        <f t="shared" si="30"/>
        <v>1</v>
      </c>
      <c r="G148" s="136">
        <f t="shared" si="30"/>
        <v>1</v>
      </c>
      <c r="H148" s="136">
        <f t="shared" si="30"/>
        <v>1</v>
      </c>
      <c r="I148" s="136">
        <f t="shared" si="30"/>
        <v>1</v>
      </c>
      <c r="J148" s="136">
        <f t="shared" si="30"/>
        <v>1</v>
      </c>
      <c r="K148" s="136">
        <f t="shared" si="30"/>
        <v>1</v>
      </c>
      <c r="L148" s="136">
        <f t="shared" si="30"/>
        <v>1</v>
      </c>
      <c r="M148" s="136">
        <f t="shared" si="30"/>
        <v>1</v>
      </c>
      <c r="N148" s="136">
        <f t="shared" si="30"/>
        <v>1</v>
      </c>
      <c r="O148" s="136">
        <f t="shared" si="30"/>
        <v>1</v>
      </c>
      <c r="P148" s="136">
        <f t="shared" si="30"/>
        <v>1</v>
      </c>
      <c r="Q148" s="136">
        <f t="shared" si="30"/>
        <v>1</v>
      </c>
      <c r="R148" s="136">
        <f t="shared" si="27"/>
        <v>1</v>
      </c>
      <c r="S148" s="136">
        <f t="shared" si="27"/>
        <v>1</v>
      </c>
      <c r="T148" s="136">
        <f t="shared" si="27"/>
        <v>1</v>
      </c>
      <c r="U148" s="136">
        <f t="shared" si="27"/>
        <v>1</v>
      </c>
      <c r="V148" s="136">
        <f t="shared" si="27"/>
        <v>1</v>
      </c>
      <c r="W148" s="136">
        <f t="shared" si="27"/>
        <v>1</v>
      </c>
      <c r="X148" s="136">
        <f t="shared" si="31"/>
        <v>1</v>
      </c>
      <c r="Y148" s="136">
        <f t="shared" si="31"/>
        <v>1</v>
      </c>
      <c r="Z148" s="136">
        <f t="shared" si="31"/>
        <v>1</v>
      </c>
      <c r="AA148" s="136">
        <f t="shared" si="31"/>
        <v>1</v>
      </c>
      <c r="AB148" s="136">
        <f t="shared" si="31"/>
        <v>1</v>
      </c>
      <c r="AC148" s="136">
        <f t="shared" si="31"/>
        <v>1</v>
      </c>
      <c r="AD148" s="136">
        <f t="shared" si="31"/>
        <v>1</v>
      </c>
      <c r="AE148" s="136">
        <f t="shared" si="31"/>
        <v>1</v>
      </c>
      <c r="AF148" s="136">
        <f t="shared" si="31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30"/>
        <v>1</v>
      </c>
      <c r="D149" s="136">
        <f t="shared" si="30"/>
        <v>1</v>
      </c>
      <c r="E149" s="136">
        <f t="shared" si="30"/>
        <v>1</v>
      </c>
      <c r="F149" s="136">
        <f t="shared" si="30"/>
        <v>1</v>
      </c>
      <c r="G149" s="136">
        <f t="shared" si="30"/>
        <v>1</v>
      </c>
      <c r="H149" s="136">
        <f t="shared" si="30"/>
        <v>1</v>
      </c>
      <c r="I149" s="136">
        <f t="shared" si="30"/>
        <v>1</v>
      </c>
      <c r="J149" s="136">
        <f t="shared" si="30"/>
        <v>1</v>
      </c>
      <c r="K149" s="136">
        <f t="shared" si="30"/>
        <v>1</v>
      </c>
      <c r="L149" s="136">
        <f t="shared" si="30"/>
        <v>1</v>
      </c>
      <c r="M149" s="136">
        <f t="shared" si="30"/>
        <v>1</v>
      </c>
      <c r="N149" s="136">
        <f t="shared" si="30"/>
        <v>1</v>
      </c>
      <c r="O149" s="136">
        <f t="shared" si="30"/>
        <v>1</v>
      </c>
      <c r="P149" s="136">
        <f t="shared" si="30"/>
        <v>1</v>
      </c>
      <c r="Q149" s="136">
        <f t="shared" si="30"/>
        <v>1</v>
      </c>
      <c r="R149" s="136">
        <f t="shared" si="27"/>
        <v>1</v>
      </c>
      <c r="S149" s="136">
        <f t="shared" si="27"/>
        <v>1</v>
      </c>
      <c r="T149" s="136">
        <f t="shared" si="27"/>
        <v>1</v>
      </c>
      <c r="U149" s="136">
        <f t="shared" si="27"/>
        <v>1</v>
      </c>
      <c r="V149" s="136">
        <f t="shared" si="27"/>
        <v>1</v>
      </c>
      <c r="W149" s="136">
        <f t="shared" si="27"/>
        <v>1</v>
      </c>
      <c r="X149" s="136">
        <f t="shared" si="31"/>
        <v>1</v>
      </c>
      <c r="Y149" s="136">
        <f t="shared" si="31"/>
        <v>1</v>
      </c>
      <c r="Z149" s="136">
        <f t="shared" si="31"/>
        <v>1</v>
      </c>
      <c r="AA149" s="136">
        <f t="shared" si="31"/>
        <v>1</v>
      </c>
      <c r="AB149" s="136">
        <f t="shared" si="31"/>
        <v>1</v>
      </c>
      <c r="AC149" s="136">
        <f t="shared" si="31"/>
        <v>1</v>
      </c>
      <c r="AD149" s="136">
        <f t="shared" si="31"/>
        <v>1</v>
      </c>
      <c r="AE149" s="136">
        <f t="shared" si="31"/>
        <v>1</v>
      </c>
      <c r="AF149" s="136">
        <f t="shared" si="31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30"/>
        <v>0.42</v>
      </c>
      <c r="D150" s="136">
        <f t="shared" si="30"/>
        <v>0.42</v>
      </c>
      <c r="E150" s="136">
        <f t="shared" si="30"/>
        <v>0.42</v>
      </c>
      <c r="F150" s="136">
        <f t="shared" si="30"/>
        <v>0.42</v>
      </c>
      <c r="G150" s="136">
        <f t="shared" si="30"/>
        <v>0.42</v>
      </c>
      <c r="H150" s="136">
        <f t="shared" si="30"/>
        <v>0.42</v>
      </c>
      <c r="I150" s="136">
        <f t="shared" si="30"/>
        <v>0.42</v>
      </c>
      <c r="J150" s="136">
        <f t="shared" si="30"/>
        <v>0.42</v>
      </c>
      <c r="K150" s="136">
        <f t="shared" si="30"/>
        <v>0.42</v>
      </c>
      <c r="L150" s="136">
        <f t="shared" si="30"/>
        <v>0.42</v>
      </c>
      <c r="M150" s="136">
        <f t="shared" si="30"/>
        <v>0.42</v>
      </c>
      <c r="N150" s="136">
        <f t="shared" si="30"/>
        <v>0.42</v>
      </c>
      <c r="O150" s="136">
        <f t="shared" si="30"/>
        <v>0.42</v>
      </c>
      <c r="P150" s="136">
        <f t="shared" si="30"/>
        <v>0.42</v>
      </c>
      <c r="Q150" s="136">
        <f t="shared" si="30"/>
        <v>0.42</v>
      </c>
      <c r="R150" s="136">
        <f t="shared" si="27"/>
        <v>0.42</v>
      </c>
      <c r="S150" s="136">
        <f t="shared" si="27"/>
        <v>0.42</v>
      </c>
      <c r="T150" s="136">
        <f t="shared" si="27"/>
        <v>0.42</v>
      </c>
      <c r="U150" s="136">
        <f t="shared" si="27"/>
        <v>0.42</v>
      </c>
      <c r="V150" s="136">
        <f t="shared" si="27"/>
        <v>0.42</v>
      </c>
      <c r="W150" s="136">
        <f t="shared" si="27"/>
        <v>0.42</v>
      </c>
      <c r="X150" s="136">
        <f t="shared" si="31"/>
        <v>0.42</v>
      </c>
      <c r="Y150" s="136">
        <f t="shared" si="31"/>
        <v>0.42</v>
      </c>
      <c r="Z150" s="136">
        <f t="shared" si="31"/>
        <v>0.42</v>
      </c>
      <c r="AA150" s="136">
        <f t="shared" si="31"/>
        <v>0.42</v>
      </c>
      <c r="AB150" s="136">
        <f t="shared" si="31"/>
        <v>0.42</v>
      </c>
      <c r="AC150" s="136">
        <f t="shared" si="31"/>
        <v>0.42</v>
      </c>
      <c r="AD150" s="136">
        <f t="shared" si="31"/>
        <v>0.42</v>
      </c>
      <c r="AE150" s="136">
        <f t="shared" si="31"/>
        <v>0.42</v>
      </c>
      <c r="AF150" s="136">
        <f t="shared" si="31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30"/>
        <v>0.46</v>
      </c>
      <c r="D151" s="136">
        <f t="shared" si="30"/>
        <v>0.46</v>
      </c>
      <c r="E151" s="136">
        <f t="shared" si="30"/>
        <v>0.46</v>
      </c>
      <c r="F151" s="136">
        <f t="shared" si="30"/>
        <v>0.46</v>
      </c>
      <c r="G151" s="136">
        <f t="shared" si="30"/>
        <v>0.46</v>
      </c>
      <c r="H151" s="136">
        <f t="shared" si="30"/>
        <v>0.46</v>
      </c>
      <c r="I151" s="136">
        <f t="shared" si="30"/>
        <v>0.46</v>
      </c>
      <c r="J151" s="136">
        <f t="shared" si="30"/>
        <v>0.46</v>
      </c>
      <c r="K151" s="136">
        <f t="shared" si="30"/>
        <v>0.46</v>
      </c>
      <c r="L151" s="136">
        <f t="shared" si="30"/>
        <v>0.46</v>
      </c>
      <c r="M151" s="136">
        <f t="shared" si="30"/>
        <v>0.46</v>
      </c>
      <c r="N151" s="136">
        <f t="shared" si="30"/>
        <v>0.46</v>
      </c>
      <c r="O151" s="136">
        <f t="shared" si="30"/>
        <v>0.46</v>
      </c>
      <c r="P151" s="136">
        <f t="shared" si="30"/>
        <v>0.46</v>
      </c>
      <c r="Q151" s="136">
        <f t="shared" si="30"/>
        <v>0.46</v>
      </c>
      <c r="R151" s="136">
        <f t="shared" si="27"/>
        <v>0.46</v>
      </c>
      <c r="S151" s="136">
        <f t="shared" si="27"/>
        <v>0.46</v>
      </c>
      <c r="T151" s="136">
        <f t="shared" si="27"/>
        <v>0.46</v>
      </c>
      <c r="U151" s="136">
        <f t="shared" si="27"/>
        <v>0.46</v>
      </c>
      <c r="V151" s="136">
        <f t="shared" si="27"/>
        <v>0.46</v>
      </c>
      <c r="W151" s="136">
        <f t="shared" si="27"/>
        <v>0.46</v>
      </c>
      <c r="X151" s="136">
        <f t="shared" si="31"/>
        <v>0.46</v>
      </c>
      <c r="Y151" s="136">
        <f t="shared" si="31"/>
        <v>0.46</v>
      </c>
      <c r="Z151" s="136">
        <f t="shared" si="31"/>
        <v>0.46</v>
      </c>
      <c r="AA151" s="136">
        <f t="shared" si="31"/>
        <v>0.46</v>
      </c>
      <c r="AB151" s="136">
        <f t="shared" si="31"/>
        <v>0.46</v>
      </c>
      <c r="AC151" s="136">
        <f t="shared" si="31"/>
        <v>0.46</v>
      </c>
      <c r="AD151" s="136">
        <f t="shared" si="31"/>
        <v>0.46</v>
      </c>
      <c r="AE151" s="136">
        <f t="shared" si="31"/>
        <v>0.46</v>
      </c>
      <c r="AF151" s="136">
        <f t="shared" si="31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30"/>
        <v>0.85</v>
      </c>
      <c r="D152" s="136">
        <f t="shared" si="30"/>
        <v>0.85</v>
      </c>
      <c r="E152" s="136">
        <f t="shared" si="30"/>
        <v>0.85</v>
      </c>
      <c r="F152" s="136">
        <f t="shared" si="30"/>
        <v>0.85</v>
      </c>
      <c r="G152" s="136">
        <f t="shared" si="30"/>
        <v>0.85</v>
      </c>
      <c r="H152" s="136">
        <f t="shared" si="30"/>
        <v>0.85</v>
      </c>
      <c r="I152" s="136">
        <f t="shared" si="30"/>
        <v>0.85</v>
      </c>
      <c r="J152" s="136">
        <f t="shared" si="30"/>
        <v>0.85</v>
      </c>
      <c r="K152" s="136">
        <f t="shared" si="30"/>
        <v>0.85</v>
      </c>
      <c r="L152" s="136">
        <f t="shared" si="30"/>
        <v>0.85</v>
      </c>
      <c r="M152" s="136">
        <f t="shared" si="30"/>
        <v>0.85</v>
      </c>
      <c r="N152" s="136">
        <f t="shared" si="30"/>
        <v>0.85</v>
      </c>
      <c r="O152" s="136">
        <f t="shared" si="30"/>
        <v>0.85</v>
      </c>
      <c r="P152" s="136">
        <f t="shared" si="30"/>
        <v>0.85</v>
      </c>
      <c r="Q152" s="136">
        <f t="shared" si="30"/>
        <v>0.85</v>
      </c>
      <c r="R152" s="136">
        <f t="shared" si="27"/>
        <v>0.85</v>
      </c>
      <c r="S152" s="136">
        <f t="shared" si="27"/>
        <v>0.85</v>
      </c>
      <c r="T152" s="136">
        <f t="shared" si="27"/>
        <v>0.85</v>
      </c>
      <c r="U152" s="136">
        <f t="shared" si="27"/>
        <v>0.85</v>
      </c>
      <c r="V152" s="136">
        <f t="shared" si="27"/>
        <v>0.85</v>
      </c>
      <c r="W152" s="136">
        <f t="shared" si="27"/>
        <v>0.85</v>
      </c>
      <c r="X152" s="136">
        <f t="shared" si="31"/>
        <v>0.85</v>
      </c>
      <c r="Y152" s="136">
        <f t="shared" si="31"/>
        <v>0.85</v>
      </c>
      <c r="Z152" s="136">
        <f t="shared" si="31"/>
        <v>0.85</v>
      </c>
      <c r="AA152" s="136">
        <f t="shared" si="31"/>
        <v>0.85</v>
      </c>
      <c r="AB152" s="136">
        <f t="shared" si="31"/>
        <v>0.85</v>
      </c>
      <c r="AC152" s="136">
        <f t="shared" si="31"/>
        <v>0.85</v>
      </c>
      <c r="AD152" s="136">
        <f t="shared" si="31"/>
        <v>0.85</v>
      </c>
      <c r="AE152" s="136">
        <f t="shared" si="31"/>
        <v>0.85</v>
      </c>
      <c r="AF152" s="136">
        <f t="shared" si="31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30"/>
        <v>0.9</v>
      </c>
      <c r="D153" s="136">
        <f t="shared" si="30"/>
        <v>0.9</v>
      </c>
      <c r="E153" s="136">
        <f t="shared" si="30"/>
        <v>0.9</v>
      </c>
      <c r="F153" s="136">
        <f t="shared" si="30"/>
        <v>0.9</v>
      </c>
      <c r="G153" s="136">
        <f t="shared" si="30"/>
        <v>0.9</v>
      </c>
      <c r="H153" s="136">
        <f t="shared" si="30"/>
        <v>0.9</v>
      </c>
      <c r="I153" s="136">
        <f t="shared" si="30"/>
        <v>0.9</v>
      </c>
      <c r="J153" s="136">
        <f t="shared" si="30"/>
        <v>0.9</v>
      </c>
      <c r="K153" s="136">
        <f t="shared" si="30"/>
        <v>0.9</v>
      </c>
      <c r="L153" s="136">
        <f t="shared" si="30"/>
        <v>0.9</v>
      </c>
      <c r="M153" s="136">
        <f t="shared" si="30"/>
        <v>0.9</v>
      </c>
      <c r="N153" s="136">
        <f t="shared" si="30"/>
        <v>0.9</v>
      </c>
      <c r="O153" s="136">
        <f t="shared" si="30"/>
        <v>0.9</v>
      </c>
      <c r="P153" s="136">
        <f t="shared" si="30"/>
        <v>0.9</v>
      </c>
      <c r="Q153" s="136">
        <f t="shared" si="30"/>
        <v>0.9</v>
      </c>
      <c r="R153" s="136">
        <f t="shared" si="27"/>
        <v>0.9</v>
      </c>
      <c r="S153" s="136">
        <f t="shared" si="27"/>
        <v>0.9</v>
      </c>
      <c r="T153" s="136">
        <f t="shared" si="27"/>
        <v>0.9</v>
      </c>
      <c r="U153" s="136">
        <f t="shared" si="27"/>
        <v>0.9</v>
      </c>
      <c r="V153" s="136">
        <f t="shared" si="27"/>
        <v>0.9</v>
      </c>
      <c r="W153" s="136">
        <f t="shared" si="27"/>
        <v>0.9</v>
      </c>
      <c r="X153" s="136">
        <f t="shared" si="31"/>
        <v>0.9</v>
      </c>
      <c r="Y153" s="136">
        <f t="shared" si="31"/>
        <v>0.9</v>
      </c>
      <c r="Z153" s="136">
        <f t="shared" si="31"/>
        <v>0.9</v>
      </c>
      <c r="AA153" s="136">
        <f t="shared" si="31"/>
        <v>0.9</v>
      </c>
      <c r="AB153" s="136">
        <f t="shared" si="31"/>
        <v>0.9</v>
      </c>
      <c r="AC153" s="136">
        <f t="shared" si="31"/>
        <v>0.9</v>
      </c>
      <c r="AD153" s="136">
        <f t="shared" si="31"/>
        <v>0.9</v>
      </c>
      <c r="AE153" s="136">
        <f t="shared" si="31"/>
        <v>0.9</v>
      </c>
      <c r="AF153" s="136">
        <f t="shared" si="31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30"/>
        <v>0.44</v>
      </c>
      <c r="D154" s="136">
        <f t="shared" si="30"/>
        <v>0.44</v>
      </c>
      <c r="E154" s="136">
        <f t="shared" si="30"/>
        <v>0.44</v>
      </c>
      <c r="F154" s="136">
        <f t="shared" si="30"/>
        <v>0.44</v>
      </c>
      <c r="G154" s="136">
        <f t="shared" si="30"/>
        <v>0.44</v>
      </c>
      <c r="H154" s="136">
        <f t="shared" si="30"/>
        <v>0.44</v>
      </c>
      <c r="I154" s="136">
        <f t="shared" si="30"/>
        <v>0.44</v>
      </c>
      <c r="J154" s="136">
        <f t="shared" si="30"/>
        <v>0.44</v>
      </c>
      <c r="K154" s="136">
        <f t="shared" si="30"/>
        <v>0.44</v>
      </c>
      <c r="L154" s="136">
        <f t="shared" si="30"/>
        <v>0.44</v>
      </c>
      <c r="M154" s="136">
        <f t="shared" si="30"/>
        <v>0.44</v>
      </c>
      <c r="N154" s="136">
        <f t="shared" si="30"/>
        <v>0.44</v>
      </c>
      <c r="O154" s="136">
        <f t="shared" si="30"/>
        <v>0.44</v>
      </c>
      <c r="P154" s="136">
        <f t="shared" si="30"/>
        <v>0.44</v>
      </c>
      <c r="Q154" s="136">
        <f t="shared" si="30"/>
        <v>0.44</v>
      </c>
      <c r="R154" s="136">
        <f t="shared" si="27"/>
        <v>0.44</v>
      </c>
      <c r="S154" s="136">
        <f t="shared" si="27"/>
        <v>0.44</v>
      </c>
      <c r="T154" s="136">
        <f t="shared" si="27"/>
        <v>0.44</v>
      </c>
      <c r="U154" s="136">
        <f t="shared" si="27"/>
        <v>0.44</v>
      </c>
      <c r="V154" s="136">
        <f t="shared" si="27"/>
        <v>0.44</v>
      </c>
      <c r="W154" s="136">
        <f t="shared" si="27"/>
        <v>0.44</v>
      </c>
      <c r="X154" s="136">
        <f t="shared" si="31"/>
        <v>0.44</v>
      </c>
      <c r="Y154" s="136">
        <f t="shared" si="31"/>
        <v>0.44</v>
      </c>
      <c r="Z154" s="136">
        <f t="shared" si="31"/>
        <v>0.44</v>
      </c>
      <c r="AA154" s="136">
        <f t="shared" si="31"/>
        <v>0.44</v>
      </c>
      <c r="AB154" s="136">
        <f t="shared" si="31"/>
        <v>0.44</v>
      </c>
      <c r="AC154" s="136">
        <f t="shared" si="31"/>
        <v>0.44</v>
      </c>
      <c r="AD154" s="136">
        <f t="shared" si="31"/>
        <v>0.44</v>
      </c>
      <c r="AE154" s="136">
        <f t="shared" si="31"/>
        <v>0.44</v>
      </c>
      <c r="AF154" s="136">
        <f t="shared" si="31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2">B155</f>
        <v>0.9</v>
      </c>
      <c r="D155" s="136">
        <f t="shared" si="32"/>
        <v>0.9</v>
      </c>
      <c r="E155" s="136">
        <f t="shared" si="32"/>
        <v>0.9</v>
      </c>
      <c r="F155" s="136">
        <f t="shared" si="32"/>
        <v>0.9</v>
      </c>
      <c r="G155" s="136">
        <f t="shared" si="32"/>
        <v>0.9</v>
      </c>
      <c r="H155" s="136">
        <f t="shared" si="32"/>
        <v>0.9</v>
      </c>
      <c r="I155" s="136">
        <f t="shared" si="32"/>
        <v>0.9</v>
      </c>
      <c r="J155" s="136">
        <f t="shared" si="32"/>
        <v>0.9</v>
      </c>
      <c r="K155" s="136">
        <f t="shared" si="32"/>
        <v>0.9</v>
      </c>
      <c r="L155" s="136">
        <f t="shared" si="32"/>
        <v>0.9</v>
      </c>
      <c r="M155" s="136">
        <f t="shared" si="32"/>
        <v>0.9</v>
      </c>
      <c r="N155" s="136">
        <f t="shared" si="32"/>
        <v>0.9</v>
      </c>
      <c r="O155" s="136">
        <f t="shared" si="32"/>
        <v>0.9</v>
      </c>
      <c r="P155" s="136">
        <f t="shared" si="32"/>
        <v>0.9</v>
      </c>
      <c r="Q155" s="136">
        <f t="shared" si="32"/>
        <v>0.9</v>
      </c>
      <c r="R155" s="136">
        <f t="shared" si="27"/>
        <v>0.9</v>
      </c>
      <c r="S155" s="136">
        <f t="shared" si="27"/>
        <v>0.9</v>
      </c>
      <c r="T155" s="136">
        <f t="shared" si="27"/>
        <v>0.9</v>
      </c>
      <c r="U155" s="136">
        <f t="shared" si="27"/>
        <v>0.9</v>
      </c>
      <c r="V155" s="136">
        <f t="shared" si="27"/>
        <v>0.9</v>
      </c>
      <c r="W155" s="136">
        <f t="shared" si="27"/>
        <v>0.9</v>
      </c>
      <c r="X155" s="136">
        <f t="shared" si="31"/>
        <v>0.9</v>
      </c>
      <c r="Y155" s="136">
        <f t="shared" si="31"/>
        <v>0.9</v>
      </c>
      <c r="Z155" s="136">
        <f t="shared" si="31"/>
        <v>0.9</v>
      </c>
      <c r="AA155" s="136">
        <f t="shared" si="31"/>
        <v>0.9</v>
      </c>
      <c r="AB155" s="136">
        <f t="shared" si="31"/>
        <v>0.9</v>
      </c>
      <c r="AC155" s="136">
        <f t="shared" si="31"/>
        <v>0.9</v>
      </c>
      <c r="AD155" s="136">
        <f t="shared" si="31"/>
        <v>0.9</v>
      </c>
      <c r="AE155" s="136">
        <f t="shared" si="31"/>
        <v>0.9</v>
      </c>
      <c r="AF155" s="136">
        <f t="shared" si="31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2"/>
        <v>2.1</v>
      </c>
      <c r="D156" s="136">
        <f t="shared" si="32"/>
        <v>2.1</v>
      </c>
      <c r="E156" s="136">
        <f t="shared" si="32"/>
        <v>2.1</v>
      </c>
      <c r="F156" s="136">
        <f t="shared" si="32"/>
        <v>2.1</v>
      </c>
      <c r="G156" s="136">
        <f t="shared" si="32"/>
        <v>2.1</v>
      </c>
      <c r="H156" s="136">
        <f t="shared" si="32"/>
        <v>2.1</v>
      </c>
      <c r="I156" s="136">
        <f t="shared" si="32"/>
        <v>2.1</v>
      </c>
      <c r="J156" s="136">
        <f t="shared" si="32"/>
        <v>2.1</v>
      </c>
      <c r="K156" s="136">
        <f t="shared" si="32"/>
        <v>2.1</v>
      </c>
      <c r="L156" s="136">
        <f t="shared" si="32"/>
        <v>2.1</v>
      </c>
      <c r="M156" s="136">
        <f t="shared" si="32"/>
        <v>2.1</v>
      </c>
      <c r="N156" s="136">
        <f t="shared" si="32"/>
        <v>2.1</v>
      </c>
      <c r="O156" s="136">
        <f t="shared" si="32"/>
        <v>2.1</v>
      </c>
      <c r="P156" s="136">
        <f t="shared" si="32"/>
        <v>2.1</v>
      </c>
      <c r="Q156" s="136">
        <f t="shared" si="32"/>
        <v>2.1</v>
      </c>
      <c r="R156" s="136">
        <f t="shared" si="27"/>
        <v>2.1</v>
      </c>
      <c r="S156" s="136">
        <f t="shared" si="27"/>
        <v>2.1</v>
      </c>
      <c r="T156" s="136">
        <f t="shared" si="27"/>
        <v>2.1</v>
      </c>
      <c r="U156" s="136">
        <f t="shared" si="27"/>
        <v>2.1</v>
      </c>
      <c r="V156" s="136">
        <f t="shared" si="27"/>
        <v>2.1</v>
      </c>
      <c r="W156" s="136">
        <f t="shared" si="27"/>
        <v>2.1</v>
      </c>
      <c r="X156" s="136">
        <f t="shared" si="31"/>
        <v>2.1</v>
      </c>
      <c r="Y156" s="136">
        <f t="shared" si="31"/>
        <v>2.1</v>
      </c>
      <c r="Z156" s="136">
        <f t="shared" si="31"/>
        <v>2.1</v>
      </c>
      <c r="AA156" s="136">
        <f t="shared" si="31"/>
        <v>2.1</v>
      </c>
      <c r="AB156" s="136">
        <f t="shared" si="31"/>
        <v>2.1</v>
      </c>
      <c r="AC156" s="136">
        <f t="shared" si="31"/>
        <v>2.1</v>
      </c>
      <c r="AD156" s="136">
        <f t="shared" si="31"/>
        <v>2.1</v>
      </c>
      <c r="AE156" s="136">
        <f t="shared" si="31"/>
        <v>2.1</v>
      </c>
      <c r="AF156" s="136">
        <f t="shared" si="31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2"/>
        <v>0.9</v>
      </c>
      <c r="D157" s="136">
        <f t="shared" si="32"/>
        <v>0.9</v>
      </c>
      <c r="E157" s="136">
        <f t="shared" si="32"/>
        <v>0.9</v>
      </c>
      <c r="F157" s="136">
        <f t="shared" si="32"/>
        <v>0.9</v>
      </c>
      <c r="G157" s="136">
        <f t="shared" si="32"/>
        <v>0.9</v>
      </c>
      <c r="H157" s="136">
        <f t="shared" si="32"/>
        <v>0.9</v>
      </c>
      <c r="I157" s="136">
        <f t="shared" si="32"/>
        <v>0.9</v>
      </c>
      <c r="J157" s="136">
        <f t="shared" si="32"/>
        <v>0.9</v>
      </c>
      <c r="K157" s="136">
        <f t="shared" si="32"/>
        <v>0.9</v>
      </c>
      <c r="L157" s="136">
        <f t="shared" si="32"/>
        <v>0.9</v>
      </c>
      <c r="M157" s="136">
        <f t="shared" si="32"/>
        <v>0.9</v>
      </c>
      <c r="N157" s="136">
        <f t="shared" si="32"/>
        <v>0.9</v>
      </c>
      <c r="O157" s="136">
        <f t="shared" si="32"/>
        <v>0.9</v>
      </c>
      <c r="P157" s="136">
        <f t="shared" si="32"/>
        <v>0.9</v>
      </c>
      <c r="Q157" s="136">
        <f t="shared" si="32"/>
        <v>0.9</v>
      </c>
      <c r="R157" s="136">
        <f t="shared" si="27"/>
        <v>0.9</v>
      </c>
      <c r="S157" s="136">
        <f t="shared" si="27"/>
        <v>0.9</v>
      </c>
      <c r="T157" s="136">
        <f t="shared" si="27"/>
        <v>0.9</v>
      </c>
      <c r="U157" s="136">
        <f t="shared" si="27"/>
        <v>0.9</v>
      </c>
      <c r="V157" s="136">
        <f t="shared" si="27"/>
        <v>0.9</v>
      </c>
      <c r="W157" s="136">
        <f t="shared" si="27"/>
        <v>0.9</v>
      </c>
      <c r="X157" s="136">
        <f t="shared" si="31"/>
        <v>0.9</v>
      </c>
      <c r="Y157" s="136">
        <f t="shared" si="31"/>
        <v>0.9</v>
      </c>
      <c r="Z157" s="136">
        <f t="shared" si="31"/>
        <v>0.9</v>
      </c>
      <c r="AA157" s="136">
        <f t="shared" si="31"/>
        <v>0.9</v>
      </c>
      <c r="AB157" s="136">
        <f t="shared" si="31"/>
        <v>0.9</v>
      </c>
      <c r="AC157" s="136">
        <f t="shared" si="31"/>
        <v>0.9</v>
      </c>
      <c r="AD157" s="136">
        <f t="shared" si="31"/>
        <v>0.9</v>
      </c>
      <c r="AE157" s="136">
        <f t="shared" si="31"/>
        <v>0.9</v>
      </c>
      <c r="AF157" s="136">
        <f t="shared" si="31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2"/>
        <v>0.57999999999999996</v>
      </c>
      <c r="D158" s="136">
        <f t="shared" si="32"/>
        <v>0.57999999999999996</v>
      </c>
      <c r="E158" s="136">
        <f t="shared" si="32"/>
        <v>0.57999999999999996</v>
      </c>
      <c r="F158" s="136">
        <f t="shared" si="32"/>
        <v>0.57999999999999996</v>
      </c>
      <c r="G158" s="136">
        <f t="shared" si="32"/>
        <v>0.57999999999999996</v>
      </c>
      <c r="H158" s="136">
        <f t="shared" si="32"/>
        <v>0.57999999999999996</v>
      </c>
      <c r="I158" s="136">
        <f t="shared" si="32"/>
        <v>0.57999999999999996</v>
      </c>
      <c r="J158" s="136">
        <f t="shared" si="32"/>
        <v>0.57999999999999996</v>
      </c>
      <c r="K158" s="136">
        <f t="shared" si="32"/>
        <v>0.57999999999999996</v>
      </c>
      <c r="L158" s="136">
        <f t="shared" si="32"/>
        <v>0.57999999999999996</v>
      </c>
      <c r="M158" s="136">
        <f t="shared" si="32"/>
        <v>0.57999999999999996</v>
      </c>
      <c r="N158" s="136">
        <f t="shared" si="32"/>
        <v>0.57999999999999996</v>
      </c>
      <c r="O158" s="136">
        <f t="shared" si="32"/>
        <v>0.57999999999999996</v>
      </c>
      <c r="P158" s="136">
        <f t="shared" si="32"/>
        <v>0.57999999999999996</v>
      </c>
      <c r="Q158" s="136">
        <f t="shared" si="32"/>
        <v>0.57999999999999996</v>
      </c>
      <c r="R158" s="136">
        <f t="shared" si="27"/>
        <v>0.57999999999999996</v>
      </c>
      <c r="S158" s="136">
        <f t="shared" si="27"/>
        <v>0.57999999999999996</v>
      </c>
      <c r="T158" s="136">
        <f t="shared" si="27"/>
        <v>0.57999999999999996</v>
      </c>
      <c r="U158" s="136">
        <f t="shared" si="27"/>
        <v>0.57999999999999996</v>
      </c>
      <c r="V158" s="136">
        <f t="shared" si="27"/>
        <v>0.57999999999999996</v>
      </c>
      <c r="W158" s="136">
        <f t="shared" si="27"/>
        <v>0.57999999999999996</v>
      </c>
      <c r="X158" s="136">
        <f t="shared" si="31"/>
        <v>0.57999999999999996</v>
      </c>
      <c r="Y158" s="136">
        <f t="shared" si="31"/>
        <v>0.57999999999999996</v>
      </c>
      <c r="Z158" s="136">
        <f t="shared" si="31"/>
        <v>0.57999999999999996</v>
      </c>
      <c r="AA158" s="136">
        <f t="shared" si="31"/>
        <v>0.57999999999999996</v>
      </c>
      <c r="AB158" s="136">
        <f t="shared" si="31"/>
        <v>0.57999999999999996</v>
      </c>
      <c r="AC158" s="136">
        <f t="shared" si="31"/>
        <v>0.57999999999999996</v>
      </c>
      <c r="AD158" s="136">
        <f t="shared" si="31"/>
        <v>0.57999999999999996</v>
      </c>
      <c r="AE158" s="136">
        <f t="shared" si="31"/>
        <v>0.57999999999999996</v>
      </c>
      <c r="AF158" s="136">
        <f t="shared" si="31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2"/>
        <v>0.8</v>
      </c>
      <c r="D159" s="136">
        <f t="shared" si="32"/>
        <v>0.8</v>
      </c>
      <c r="E159" s="136">
        <f t="shared" si="32"/>
        <v>0.8</v>
      </c>
      <c r="F159" s="136">
        <f t="shared" si="32"/>
        <v>0.8</v>
      </c>
      <c r="G159" s="136">
        <f t="shared" si="32"/>
        <v>0.8</v>
      </c>
      <c r="H159" s="136">
        <f t="shared" si="32"/>
        <v>0.8</v>
      </c>
      <c r="I159" s="136">
        <f t="shared" si="32"/>
        <v>0.8</v>
      </c>
      <c r="J159" s="136">
        <f t="shared" si="32"/>
        <v>0.8</v>
      </c>
      <c r="K159" s="136">
        <f t="shared" si="32"/>
        <v>0.8</v>
      </c>
      <c r="L159" s="136">
        <f t="shared" si="32"/>
        <v>0.8</v>
      </c>
      <c r="M159" s="136">
        <f t="shared" si="32"/>
        <v>0.8</v>
      </c>
      <c r="N159" s="136">
        <f t="shared" si="32"/>
        <v>0.8</v>
      </c>
      <c r="O159" s="136">
        <f t="shared" si="32"/>
        <v>0.8</v>
      </c>
      <c r="P159" s="136">
        <f t="shared" si="32"/>
        <v>0.8</v>
      </c>
      <c r="Q159" s="136">
        <f t="shared" si="32"/>
        <v>0.8</v>
      </c>
      <c r="R159" s="136">
        <f t="shared" si="27"/>
        <v>0.8</v>
      </c>
      <c r="S159" s="136">
        <f t="shared" si="27"/>
        <v>0.8</v>
      </c>
      <c r="T159" s="136">
        <f t="shared" si="27"/>
        <v>0.8</v>
      </c>
      <c r="U159" s="136">
        <f t="shared" si="27"/>
        <v>0.8</v>
      </c>
      <c r="V159" s="136">
        <f t="shared" si="27"/>
        <v>0.8</v>
      </c>
      <c r="W159" s="136">
        <f t="shared" si="27"/>
        <v>0.8</v>
      </c>
      <c r="X159" s="136">
        <f t="shared" si="31"/>
        <v>0.8</v>
      </c>
      <c r="Y159" s="136">
        <f t="shared" si="31"/>
        <v>0.8</v>
      </c>
      <c r="Z159" s="136">
        <f t="shared" si="31"/>
        <v>0.8</v>
      </c>
      <c r="AA159" s="136">
        <f t="shared" si="31"/>
        <v>0.8</v>
      </c>
      <c r="AB159" s="136">
        <f t="shared" si="31"/>
        <v>0.8</v>
      </c>
      <c r="AC159" s="136">
        <f t="shared" si="31"/>
        <v>0.8</v>
      </c>
      <c r="AD159" s="136">
        <f t="shared" si="31"/>
        <v>0.8</v>
      </c>
      <c r="AE159" s="136">
        <f t="shared" si="31"/>
        <v>0.8</v>
      </c>
      <c r="AF159" s="136">
        <f t="shared" si="31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2"/>
        <v>0</v>
      </c>
      <c r="D160" s="136">
        <f t="shared" si="32"/>
        <v>0</v>
      </c>
      <c r="E160" s="136">
        <f t="shared" si="32"/>
        <v>0</v>
      </c>
      <c r="F160" s="136">
        <f t="shared" si="32"/>
        <v>0</v>
      </c>
      <c r="G160" s="136">
        <f t="shared" si="32"/>
        <v>0</v>
      </c>
      <c r="H160" s="136">
        <f t="shared" si="32"/>
        <v>0</v>
      </c>
      <c r="I160" s="136">
        <f t="shared" si="32"/>
        <v>0</v>
      </c>
      <c r="J160" s="136">
        <f t="shared" si="32"/>
        <v>0</v>
      </c>
      <c r="K160" s="136">
        <f t="shared" si="32"/>
        <v>0</v>
      </c>
      <c r="L160" s="136">
        <f t="shared" si="32"/>
        <v>0</v>
      </c>
      <c r="M160" s="136">
        <f t="shared" si="32"/>
        <v>0</v>
      </c>
      <c r="N160" s="136">
        <f t="shared" si="32"/>
        <v>0</v>
      </c>
      <c r="O160" s="136">
        <f t="shared" si="32"/>
        <v>0</v>
      </c>
      <c r="P160" s="136">
        <f t="shared" si="32"/>
        <v>0</v>
      </c>
      <c r="Q160" s="136">
        <f t="shared" si="32"/>
        <v>0</v>
      </c>
      <c r="R160" s="136">
        <f t="shared" si="27"/>
        <v>0</v>
      </c>
      <c r="S160" s="136">
        <f t="shared" si="27"/>
        <v>0</v>
      </c>
      <c r="T160" s="136">
        <f t="shared" si="27"/>
        <v>0</v>
      </c>
      <c r="U160" s="136">
        <f t="shared" si="27"/>
        <v>0</v>
      </c>
      <c r="V160" s="136">
        <f t="shared" si="27"/>
        <v>0</v>
      </c>
      <c r="W160" s="136">
        <f t="shared" si="27"/>
        <v>0</v>
      </c>
      <c r="X160" s="136">
        <f t="shared" si="31"/>
        <v>0</v>
      </c>
      <c r="Y160" s="136">
        <f t="shared" si="31"/>
        <v>0</v>
      </c>
      <c r="Z160" s="136">
        <f t="shared" si="31"/>
        <v>0</v>
      </c>
      <c r="AA160" s="136">
        <f t="shared" si="31"/>
        <v>0</v>
      </c>
      <c r="AB160" s="136">
        <f t="shared" si="31"/>
        <v>0</v>
      </c>
      <c r="AC160" s="136">
        <f t="shared" si="31"/>
        <v>0</v>
      </c>
      <c r="AD160" s="136">
        <f t="shared" si="31"/>
        <v>0</v>
      </c>
      <c r="AE160" s="136">
        <f t="shared" si="31"/>
        <v>0</v>
      </c>
      <c r="AF160" s="136">
        <f t="shared" si="31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2"/>
        <v>0.6</v>
      </c>
      <c r="D161" s="136">
        <f t="shared" si="32"/>
        <v>0.6</v>
      </c>
      <c r="E161" s="136">
        <f t="shared" si="32"/>
        <v>0.6</v>
      </c>
      <c r="F161" s="136">
        <f t="shared" si="32"/>
        <v>0.6</v>
      </c>
      <c r="G161" s="136">
        <f t="shared" si="32"/>
        <v>0.6</v>
      </c>
      <c r="H161" s="136">
        <f t="shared" si="32"/>
        <v>0.6</v>
      </c>
      <c r="I161" s="136">
        <f t="shared" si="32"/>
        <v>0.6</v>
      </c>
      <c r="J161" s="136">
        <f t="shared" si="32"/>
        <v>0.6</v>
      </c>
      <c r="K161" s="136">
        <f t="shared" si="32"/>
        <v>0.6</v>
      </c>
      <c r="L161" s="136">
        <f t="shared" si="32"/>
        <v>0.6</v>
      </c>
      <c r="M161" s="136">
        <f t="shared" si="32"/>
        <v>0.6</v>
      </c>
      <c r="N161" s="136">
        <f t="shared" si="32"/>
        <v>0.6</v>
      </c>
      <c r="O161" s="136">
        <f t="shared" si="32"/>
        <v>0.6</v>
      </c>
      <c r="P161" s="136">
        <f t="shared" si="32"/>
        <v>0.6</v>
      </c>
      <c r="Q161" s="136">
        <f t="shared" si="32"/>
        <v>0.6</v>
      </c>
      <c r="R161" s="136">
        <f t="shared" si="27"/>
        <v>0.6</v>
      </c>
      <c r="S161" s="136">
        <f t="shared" si="27"/>
        <v>0.6</v>
      </c>
      <c r="T161" s="136">
        <f t="shared" si="27"/>
        <v>0.6</v>
      </c>
      <c r="U161" s="136">
        <f t="shared" si="27"/>
        <v>0.6</v>
      </c>
      <c r="V161" s="136">
        <f t="shared" si="27"/>
        <v>0.6</v>
      </c>
      <c r="W161" s="136">
        <f t="shared" si="27"/>
        <v>0.6</v>
      </c>
      <c r="X161" s="136">
        <f t="shared" si="31"/>
        <v>0.6</v>
      </c>
      <c r="Y161" s="136">
        <f t="shared" si="31"/>
        <v>0.6</v>
      </c>
      <c r="Z161" s="136">
        <f t="shared" si="31"/>
        <v>0.6</v>
      </c>
      <c r="AA161" s="136">
        <f t="shared" si="31"/>
        <v>0.6</v>
      </c>
      <c r="AB161" s="136">
        <f t="shared" si="31"/>
        <v>0.6</v>
      </c>
      <c r="AC161" s="136">
        <f t="shared" si="31"/>
        <v>0.6</v>
      </c>
      <c r="AD161" s="136">
        <f t="shared" si="31"/>
        <v>0.6</v>
      </c>
      <c r="AE161" s="136">
        <f t="shared" si="31"/>
        <v>0.6</v>
      </c>
      <c r="AF161" s="136">
        <f t="shared" si="31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2"/>
        <v>0.6</v>
      </c>
      <c r="D162" s="136">
        <f t="shared" si="32"/>
        <v>0.6</v>
      </c>
      <c r="E162" s="136">
        <f t="shared" si="32"/>
        <v>0.6</v>
      </c>
      <c r="F162" s="136">
        <f t="shared" si="32"/>
        <v>0.6</v>
      </c>
      <c r="G162" s="136">
        <f t="shared" si="32"/>
        <v>0.6</v>
      </c>
      <c r="H162" s="136">
        <f t="shared" si="32"/>
        <v>0.6</v>
      </c>
      <c r="I162" s="136">
        <f t="shared" si="32"/>
        <v>0.6</v>
      </c>
      <c r="J162" s="136">
        <f t="shared" si="32"/>
        <v>0.6</v>
      </c>
      <c r="K162" s="136">
        <f t="shared" si="32"/>
        <v>0.6</v>
      </c>
      <c r="L162" s="136">
        <f t="shared" si="32"/>
        <v>0.6</v>
      </c>
      <c r="M162" s="136">
        <f t="shared" si="32"/>
        <v>0.6</v>
      </c>
      <c r="N162" s="136">
        <f t="shared" si="32"/>
        <v>0.6</v>
      </c>
      <c r="O162" s="136">
        <f t="shared" si="32"/>
        <v>0.6</v>
      </c>
      <c r="P162" s="136">
        <f t="shared" si="32"/>
        <v>0.6</v>
      </c>
      <c r="Q162" s="136">
        <f t="shared" si="32"/>
        <v>0.6</v>
      </c>
      <c r="R162" s="136">
        <f t="shared" si="27"/>
        <v>0.6</v>
      </c>
      <c r="S162" s="136">
        <f t="shared" si="27"/>
        <v>0.6</v>
      </c>
      <c r="T162" s="136">
        <f t="shared" si="27"/>
        <v>0.6</v>
      </c>
      <c r="U162" s="136">
        <f t="shared" si="27"/>
        <v>0.6</v>
      </c>
      <c r="V162" s="136">
        <f t="shared" si="27"/>
        <v>0.6</v>
      </c>
      <c r="W162" s="136">
        <f t="shared" si="27"/>
        <v>0.6</v>
      </c>
      <c r="X162" s="136">
        <f t="shared" si="31"/>
        <v>0.6</v>
      </c>
      <c r="Y162" s="136">
        <f t="shared" si="31"/>
        <v>0.6</v>
      </c>
      <c r="Z162" s="136">
        <f t="shared" si="31"/>
        <v>0.6</v>
      </c>
      <c r="AA162" s="136">
        <f t="shared" si="31"/>
        <v>0.6</v>
      </c>
      <c r="AB162" s="136">
        <f t="shared" si="31"/>
        <v>0.6</v>
      </c>
      <c r="AC162" s="136">
        <f t="shared" si="31"/>
        <v>0.6</v>
      </c>
      <c r="AD162" s="136">
        <f t="shared" si="31"/>
        <v>0.6</v>
      </c>
      <c r="AE162" s="136">
        <f t="shared" si="31"/>
        <v>0.6</v>
      </c>
      <c r="AF162" s="136">
        <f t="shared" si="31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2"/>
        <v>0.35</v>
      </c>
      <c r="D163" s="136">
        <f t="shared" si="32"/>
        <v>0.35</v>
      </c>
      <c r="E163" s="136">
        <f t="shared" si="32"/>
        <v>0.35</v>
      </c>
      <c r="F163" s="136">
        <f t="shared" si="32"/>
        <v>0.35</v>
      </c>
      <c r="G163" s="136">
        <f t="shared" si="32"/>
        <v>0.35</v>
      </c>
      <c r="H163" s="136">
        <f t="shared" si="32"/>
        <v>0.35</v>
      </c>
      <c r="I163" s="136">
        <f t="shared" si="32"/>
        <v>0.35</v>
      </c>
      <c r="J163" s="136">
        <f t="shared" si="32"/>
        <v>0.35</v>
      </c>
      <c r="K163" s="136">
        <f t="shared" si="32"/>
        <v>0.35</v>
      </c>
      <c r="L163" s="136">
        <f t="shared" si="32"/>
        <v>0.35</v>
      </c>
      <c r="M163" s="136">
        <f t="shared" si="32"/>
        <v>0.35</v>
      </c>
      <c r="N163" s="136">
        <f t="shared" si="32"/>
        <v>0.35</v>
      </c>
      <c r="O163" s="136">
        <f t="shared" si="32"/>
        <v>0.35</v>
      </c>
      <c r="P163" s="136">
        <f t="shared" si="32"/>
        <v>0.35</v>
      </c>
      <c r="Q163" s="136">
        <f t="shared" si="32"/>
        <v>0.35</v>
      </c>
      <c r="R163" s="136">
        <f t="shared" si="27"/>
        <v>0.35</v>
      </c>
      <c r="S163" s="136">
        <f t="shared" si="27"/>
        <v>0.35</v>
      </c>
      <c r="T163" s="136">
        <f t="shared" si="27"/>
        <v>0.35</v>
      </c>
      <c r="U163" s="136">
        <f t="shared" si="27"/>
        <v>0.35</v>
      </c>
      <c r="V163" s="136">
        <f t="shared" si="27"/>
        <v>0.35</v>
      </c>
      <c r="W163" s="136">
        <f t="shared" si="27"/>
        <v>0.35</v>
      </c>
      <c r="X163" s="136">
        <f t="shared" si="31"/>
        <v>0.35</v>
      </c>
      <c r="Y163" s="136">
        <f t="shared" si="31"/>
        <v>0.35</v>
      </c>
      <c r="Z163" s="136">
        <f t="shared" si="31"/>
        <v>0.35</v>
      </c>
      <c r="AA163" s="136">
        <f t="shared" si="31"/>
        <v>0.35</v>
      </c>
      <c r="AB163" s="136">
        <f t="shared" si="31"/>
        <v>0.35</v>
      </c>
      <c r="AC163" s="136">
        <f t="shared" si="31"/>
        <v>0.35</v>
      </c>
      <c r="AD163" s="136">
        <f t="shared" si="31"/>
        <v>0.35</v>
      </c>
      <c r="AE163" s="136">
        <f t="shared" si="31"/>
        <v>0.35</v>
      </c>
      <c r="AF163" s="136">
        <f t="shared" si="31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2"/>
        <v>0.28999999999999998</v>
      </c>
      <c r="D164" s="136">
        <f t="shared" si="32"/>
        <v>0.28999999999999998</v>
      </c>
      <c r="E164" s="136">
        <f t="shared" si="32"/>
        <v>0.28999999999999998</v>
      </c>
      <c r="F164" s="136">
        <f t="shared" si="32"/>
        <v>0.28999999999999998</v>
      </c>
      <c r="G164" s="136">
        <f t="shared" si="32"/>
        <v>0.28999999999999998</v>
      </c>
      <c r="H164" s="136">
        <f t="shared" si="32"/>
        <v>0.28999999999999998</v>
      </c>
      <c r="I164" s="136">
        <f t="shared" si="32"/>
        <v>0.28999999999999998</v>
      </c>
      <c r="J164" s="136">
        <f t="shared" si="32"/>
        <v>0.28999999999999998</v>
      </c>
      <c r="K164" s="136">
        <f t="shared" si="32"/>
        <v>0.28999999999999998</v>
      </c>
      <c r="L164" s="136">
        <f t="shared" si="32"/>
        <v>0.28999999999999998</v>
      </c>
      <c r="M164" s="136">
        <f t="shared" si="32"/>
        <v>0.28999999999999998</v>
      </c>
      <c r="N164" s="136">
        <f t="shared" si="32"/>
        <v>0.28999999999999998</v>
      </c>
      <c r="O164" s="136">
        <f t="shared" si="32"/>
        <v>0.28999999999999998</v>
      </c>
      <c r="P164" s="136">
        <f t="shared" si="32"/>
        <v>0.28999999999999998</v>
      </c>
      <c r="Q164" s="136">
        <f t="shared" si="32"/>
        <v>0.28999999999999998</v>
      </c>
      <c r="R164" s="136">
        <f t="shared" si="27"/>
        <v>0.28999999999999998</v>
      </c>
      <c r="S164" s="136">
        <f t="shared" si="27"/>
        <v>0.28999999999999998</v>
      </c>
      <c r="T164" s="136">
        <f t="shared" si="27"/>
        <v>0.28999999999999998</v>
      </c>
      <c r="U164" s="136">
        <f t="shared" si="27"/>
        <v>0.28999999999999998</v>
      </c>
      <c r="V164" s="136">
        <f t="shared" si="27"/>
        <v>0.28999999999999998</v>
      </c>
      <c r="W164" s="136">
        <f t="shared" si="27"/>
        <v>0.28999999999999998</v>
      </c>
      <c r="X164" s="136">
        <f t="shared" si="31"/>
        <v>0.28999999999999998</v>
      </c>
      <c r="Y164" s="136">
        <f t="shared" si="31"/>
        <v>0.28999999999999998</v>
      </c>
      <c r="Z164" s="136">
        <f t="shared" si="31"/>
        <v>0.28999999999999998</v>
      </c>
      <c r="AA164" s="136">
        <f t="shared" si="31"/>
        <v>0.28999999999999998</v>
      </c>
      <c r="AB164" s="136">
        <f t="shared" si="31"/>
        <v>0.28999999999999998</v>
      </c>
      <c r="AC164" s="136">
        <f t="shared" si="31"/>
        <v>0.28999999999999998</v>
      </c>
      <c r="AD164" s="136">
        <f t="shared" si="31"/>
        <v>0.28999999999999998</v>
      </c>
      <c r="AE164" s="136">
        <f t="shared" si="31"/>
        <v>0.28999999999999998</v>
      </c>
      <c r="AF164" s="136">
        <f t="shared" si="31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2"/>
        <v>0.06</v>
      </c>
      <c r="D165" s="136">
        <f t="shared" si="32"/>
        <v>0.06</v>
      </c>
      <c r="E165" s="136">
        <f t="shared" si="32"/>
        <v>0.06</v>
      </c>
      <c r="F165" s="136">
        <f t="shared" si="32"/>
        <v>0.06</v>
      </c>
      <c r="G165" s="136">
        <f t="shared" si="32"/>
        <v>0.06</v>
      </c>
      <c r="H165" s="136">
        <f t="shared" si="32"/>
        <v>0.06</v>
      </c>
      <c r="I165" s="136">
        <f t="shared" si="32"/>
        <v>0.06</v>
      </c>
      <c r="J165" s="136">
        <f t="shared" si="32"/>
        <v>0.06</v>
      </c>
      <c r="K165" s="136">
        <f t="shared" si="32"/>
        <v>0.06</v>
      </c>
      <c r="L165" s="136">
        <f t="shared" si="32"/>
        <v>0.06</v>
      </c>
      <c r="M165" s="136">
        <f t="shared" si="32"/>
        <v>0.06</v>
      </c>
      <c r="N165" s="136">
        <f t="shared" si="32"/>
        <v>0.06</v>
      </c>
      <c r="O165" s="136">
        <f t="shared" si="32"/>
        <v>0.06</v>
      </c>
      <c r="P165" s="136">
        <f t="shared" si="32"/>
        <v>0.06</v>
      </c>
      <c r="Q165" s="136">
        <f t="shared" si="32"/>
        <v>0.06</v>
      </c>
      <c r="R165" s="136">
        <f t="shared" si="27"/>
        <v>0.06</v>
      </c>
      <c r="S165" s="136">
        <f t="shared" si="27"/>
        <v>0.06</v>
      </c>
      <c r="T165" s="136">
        <f t="shared" si="27"/>
        <v>0.06</v>
      </c>
      <c r="U165" s="136">
        <f t="shared" si="27"/>
        <v>0.06</v>
      </c>
      <c r="V165" s="136">
        <f t="shared" si="27"/>
        <v>0.06</v>
      </c>
      <c r="W165" s="136">
        <f t="shared" si="27"/>
        <v>0.06</v>
      </c>
      <c r="X165" s="136">
        <f t="shared" si="31"/>
        <v>0.06</v>
      </c>
      <c r="Y165" s="136">
        <f t="shared" si="31"/>
        <v>0.06</v>
      </c>
      <c r="Z165" s="136">
        <f t="shared" si="31"/>
        <v>0.06</v>
      </c>
      <c r="AA165" s="136">
        <f t="shared" si="31"/>
        <v>0.06</v>
      </c>
      <c r="AB165" s="136">
        <f t="shared" si="31"/>
        <v>0.06</v>
      </c>
      <c r="AC165" s="136">
        <f t="shared" si="31"/>
        <v>0.06</v>
      </c>
      <c r="AD165" s="136">
        <f t="shared" si="31"/>
        <v>0.06</v>
      </c>
      <c r="AE165" s="136">
        <f t="shared" si="31"/>
        <v>0.06</v>
      </c>
      <c r="AF165" s="136">
        <f t="shared" si="31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2"/>
        <v>0.11</v>
      </c>
      <c r="D166" s="136">
        <f t="shared" si="32"/>
        <v>0.11</v>
      </c>
      <c r="E166" s="136">
        <f t="shared" si="32"/>
        <v>0.11</v>
      </c>
      <c r="F166" s="136">
        <f t="shared" si="32"/>
        <v>0.11</v>
      </c>
      <c r="G166" s="136">
        <f t="shared" si="32"/>
        <v>0.11</v>
      </c>
      <c r="H166" s="136">
        <f t="shared" si="32"/>
        <v>0.11</v>
      </c>
      <c r="I166" s="136">
        <f t="shared" si="32"/>
        <v>0.11</v>
      </c>
      <c r="J166" s="136">
        <f t="shared" si="32"/>
        <v>0.11</v>
      </c>
      <c r="K166" s="136">
        <f t="shared" si="32"/>
        <v>0.11</v>
      </c>
      <c r="L166" s="136">
        <f t="shared" si="32"/>
        <v>0.11</v>
      </c>
      <c r="M166" s="136">
        <f t="shared" si="32"/>
        <v>0.11</v>
      </c>
      <c r="N166" s="136">
        <f t="shared" si="32"/>
        <v>0.11</v>
      </c>
      <c r="O166" s="136">
        <f t="shared" si="32"/>
        <v>0.11</v>
      </c>
      <c r="P166" s="136">
        <f t="shared" si="32"/>
        <v>0.11</v>
      </c>
      <c r="Q166" s="136">
        <f t="shared" si="32"/>
        <v>0.11</v>
      </c>
      <c r="R166" s="136">
        <f t="shared" si="27"/>
        <v>0.11</v>
      </c>
      <c r="S166" s="136">
        <f t="shared" si="27"/>
        <v>0.11</v>
      </c>
      <c r="T166" s="136">
        <f t="shared" si="27"/>
        <v>0.11</v>
      </c>
      <c r="U166" s="136">
        <f t="shared" si="27"/>
        <v>0.11</v>
      </c>
      <c r="V166" s="136">
        <f t="shared" si="27"/>
        <v>0.11</v>
      </c>
      <c r="W166" s="136">
        <f t="shared" si="27"/>
        <v>0.11</v>
      </c>
      <c r="X166" s="136">
        <f t="shared" si="31"/>
        <v>0.11</v>
      </c>
      <c r="Y166" s="136">
        <f t="shared" si="31"/>
        <v>0.11</v>
      </c>
      <c r="Z166" s="136">
        <f t="shared" si="31"/>
        <v>0.11</v>
      </c>
      <c r="AA166" s="136">
        <f t="shared" si="31"/>
        <v>0.11</v>
      </c>
      <c r="AB166" s="136">
        <f t="shared" si="31"/>
        <v>0.11</v>
      </c>
      <c r="AC166" s="136">
        <f t="shared" si="31"/>
        <v>0.11</v>
      </c>
      <c r="AD166" s="136">
        <f t="shared" si="31"/>
        <v>0.11</v>
      </c>
      <c r="AE166" s="136">
        <f t="shared" si="31"/>
        <v>0.11</v>
      </c>
      <c r="AF166" s="136">
        <f t="shared" si="31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2"/>
        <v>0.1</v>
      </c>
      <c r="D167" s="136">
        <f t="shared" si="32"/>
        <v>0.1</v>
      </c>
      <c r="E167" s="136">
        <f t="shared" si="32"/>
        <v>0.1</v>
      </c>
      <c r="F167" s="136">
        <f t="shared" si="32"/>
        <v>0.1</v>
      </c>
      <c r="G167" s="136">
        <f t="shared" si="32"/>
        <v>0.1</v>
      </c>
      <c r="H167" s="136">
        <f t="shared" si="32"/>
        <v>0.1</v>
      </c>
      <c r="I167" s="136">
        <f t="shared" si="32"/>
        <v>0.1</v>
      </c>
      <c r="J167" s="136">
        <f t="shared" si="32"/>
        <v>0.1</v>
      </c>
      <c r="K167" s="136">
        <f t="shared" si="32"/>
        <v>0.1</v>
      </c>
      <c r="L167" s="136">
        <f t="shared" si="32"/>
        <v>0.1</v>
      </c>
      <c r="M167" s="136">
        <f t="shared" si="32"/>
        <v>0.1</v>
      </c>
      <c r="N167" s="136">
        <f t="shared" si="32"/>
        <v>0.1</v>
      </c>
      <c r="O167" s="136">
        <f t="shared" si="32"/>
        <v>0.1</v>
      </c>
      <c r="P167" s="136">
        <f t="shared" si="32"/>
        <v>0.1</v>
      </c>
      <c r="Q167" s="136">
        <f t="shared" si="32"/>
        <v>0.1</v>
      </c>
      <c r="R167" s="136">
        <f t="shared" si="27"/>
        <v>0.1</v>
      </c>
      <c r="S167" s="136">
        <f t="shared" si="27"/>
        <v>0.1</v>
      </c>
      <c r="T167" s="136">
        <f t="shared" si="27"/>
        <v>0.1</v>
      </c>
      <c r="U167" s="136">
        <f t="shared" si="27"/>
        <v>0.1</v>
      </c>
      <c r="V167" s="136">
        <f t="shared" si="27"/>
        <v>0.1</v>
      </c>
      <c r="W167" s="136">
        <f t="shared" si="27"/>
        <v>0.1</v>
      </c>
      <c r="X167" s="136">
        <f t="shared" si="31"/>
        <v>0.1</v>
      </c>
      <c r="Y167" s="136">
        <f t="shared" si="31"/>
        <v>0.1</v>
      </c>
      <c r="Z167" s="136">
        <f t="shared" si="31"/>
        <v>0.1</v>
      </c>
      <c r="AA167" s="136">
        <f t="shared" si="31"/>
        <v>0.1</v>
      </c>
      <c r="AB167" s="136">
        <f t="shared" si="31"/>
        <v>0.1</v>
      </c>
      <c r="AC167" s="136">
        <f t="shared" si="31"/>
        <v>0.1</v>
      </c>
      <c r="AD167" s="136">
        <f t="shared" si="31"/>
        <v>0.1</v>
      </c>
      <c r="AE167" s="136">
        <f t="shared" si="31"/>
        <v>0.1</v>
      </c>
      <c r="AF167" s="136">
        <f t="shared" si="31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2"/>
        <v>0.09</v>
      </c>
      <c r="D168" s="136">
        <f t="shared" si="32"/>
        <v>0.09</v>
      </c>
      <c r="E168" s="136">
        <f t="shared" si="32"/>
        <v>0.09</v>
      </c>
      <c r="F168" s="136">
        <f t="shared" si="32"/>
        <v>0.09</v>
      </c>
      <c r="G168" s="136">
        <f t="shared" si="32"/>
        <v>0.09</v>
      </c>
      <c r="H168" s="136">
        <f t="shared" si="32"/>
        <v>0.09</v>
      </c>
      <c r="I168" s="136">
        <f t="shared" si="32"/>
        <v>0.09</v>
      </c>
      <c r="J168" s="136">
        <f t="shared" si="32"/>
        <v>0.09</v>
      </c>
      <c r="K168" s="136">
        <f t="shared" si="32"/>
        <v>0.09</v>
      </c>
      <c r="L168" s="136">
        <f t="shared" si="32"/>
        <v>0.09</v>
      </c>
      <c r="M168" s="136">
        <f t="shared" si="32"/>
        <v>0.09</v>
      </c>
      <c r="N168" s="136">
        <f t="shared" si="32"/>
        <v>0.09</v>
      </c>
      <c r="O168" s="136">
        <f t="shared" si="32"/>
        <v>0.09</v>
      </c>
      <c r="P168" s="136">
        <f t="shared" si="32"/>
        <v>0.09</v>
      </c>
      <c r="Q168" s="136">
        <f t="shared" si="32"/>
        <v>0.09</v>
      </c>
      <c r="R168" s="136">
        <f t="shared" si="27"/>
        <v>0.09</v>
      </c>
      <c r="S168" s="136">
        <f t="shared" si="27"/>
        <v>0.09</v>
      </c>
      <c r="T168" s="136">
        <f t="shared" si="27"/>
        <v>0.09</v>
      </c>
      <c r="U168" s="136">
        <f t="shared" si="27"/>
        <v>0.09</v>
      </c>
      <c r="V168" s="136">
        <f t="shared" si="27"/>
        <v>0.09</v>
      </c>
      <c r="W168" s="136">
        <f t="shared" si="27"/>
        <v>0.09</v>
      </c>
      <c r="X168" s="136">
        <f t="shared" si="31"/>
        <v>0.09</v>
      </c>
      <c r="Y168" s="136">
        <f t="shared" si="31"/>
        <v>0.09</v>
      </c>
      <c r="Z168" s="136">
        <f t="shared" si="31"/>
        <v>0.09</v>
      </c>
      <c r="AA168" s="136">
        <f t="shared" si="31"/>
        <v>0.09</v>
      </c>
      <c r="AB168" s="136">
        <f t="shared" si="31"/>
        <v>0.09</v>
      </c>
      <c r="AC168" s="136">
        <f t="shared" si="31"/>
        <v>0.09</v>
      </c>
      <c r="AD168" s="136">
        <f t="shared" si="31"/>
        <v>0.09</v>
      </c>
      <c r="AE168" s="136">
        <f t="shared" si="31"/>
        <v>0.09</v>
      </c>
      <c r="AF168" s="136">
        <f t="shared" si="31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2"/>
        <v>0.04</v>
      </c>
      <c r="D169" s="136">
        <f t="shared" si="32"/>
        <v>0.04</v>
      </c>
      <c r="E169" s="136">
        <f t="shared" si="32"/>
        <v>0.04</v>
      </c>
      <c r="F169" s="136">
        <f t="shared" si="32"/>
        <v>0.04</v>
      </c>
      <c r="G169" s="136">
        <f t="shared" si="32"/>
        <v>0.04</v>
      </c>
      <c r="H169" s="136">
        <f t="shared" si="32"/>
        <v>0.04</v>
      </c>
      <c r="I169" s="136">
        <f t="shared" si="32"/>
        <v>0.04</v>
      </c>
      <c r="J169" s="136">
        <f t="shared" si="32"/>
        <v>0.04</v>
      </c>
      <c r="K169" s="136">
        <f t="shared" si="32"/>
        <v>0.04</v>
      </c>
      <c r="L169" s="136">
        <f t="shared" si="32"/>
        <v>0.04</v>
      </c>
      <c r="M169" s="136">
        <f t="shared" si="32"/>
        <v>0.04</v>
      </c>
      <c r="N169" s="136">
        <f t="shared" si="32"/>
        <v>0.04</v>
      </c>
      <c r="O169" s="136">
        <f t="shared" si="32"/>
        <v>0.04</v>
      </c>
      <c r="P169" s="136">
        <f t="shared" si="32"/>
        <v>0.04</v>
      </c>
      <c r="Q169" s="136">
        <f t="shared" si="32"/>
        <v>0.04</v>
      </c>
      <c r="R169" s="136">
        <f t="shared" si="27"/>
        <v>0.04</v>
      </c>
      <c r="S169" s="136">
        <f t="shared" si="27"/>
        <v>0.04</v>
      </c>
      <c r="T169" s="136">
        <f t="shared" si="27"/>
        <v>0.04</v>
      </c>
      <c r="U169" s="136">
        <f t="shared" si="27"/>
        <v>0.04</v>
      </c>
      <c r="V169" s="136">
        <f t="shared" si="27"/>
        <v>0.04</v>
      </c>
      <c r="W169" s="136">
        <f t="shared" si="27"/>
        <v>0.04</v>
      </c>
      <c r="X169" s="136">
        <f t="shared" si="31"/>
        <v>0.04</v>
      </c>
      <c r="Y169" s="136">
        <f t="shared" si="31"/>
        <v>0.04</v>
      </c>
      <c r="Z169" s="136">
        <f t="shared" si="31"/>
        <v>0.04</v>
      </c>
      <c r="AA169" s="136">
        <f t="shared" si="31"/>
        <v>0.04</v>
      </c>
      <c r="AB169" s="136">
        <f t="shared" si="31"/>
        <v>0.04</v>
      </c>
      <c r="AC169" s="136">
        <f t="shared" si="31"/>
        <v>0.04</v>
      </c>
      <c r="AD169" s="136">
        <f t="shared" si="31"/>
        <v>0.04</v>
      </c>
      <c r="AE169" s="136">
        <f t="shared" si="31"/>
        <v>0.04</v>
      </c>
      <c r="AF169" s="136">
        <f t="shared" si="31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2"/>
        <v>2.3E-2</v>
      </c>
      <c r="E170" s="136">
        <f t="shared" si="32"/>
        <v>2.3E-2</v>
      </c>
      <c r="F170" s="136">
        <f t="shared" si="32"/>
        <v>2.3E-2</v>
      </c>
      <c r="G170" s="136">
        <f t="shared" si="32"/>
        <v>2.3E-2</v>
      </c>
      <c r="H170" s="136">
        <f t="shared" si="32"/>
        <v>2.3E-2</v>
      </c>
      <c r="I170" s="136">
        <f t="shared" si="32"/>
        <v>2.3E-2</v>
      </c>
      <c r="J170" s="136">
        <f t="shared" si="32"/>
        <v>2.3E-2</v>
      </c>
      <c r="K170" s="136">
        <f t="shared" si="32"/>
        <v>2.3E-2</v>
      </c>
      <c r="L170" s="136">
        <f t="shared" si="32"/>
        <v>2.3E-2</v>
      </c>
      <c r="M170" s="136">
        <f t="shared" si="32"/>
        <v>2.3E-2</v>
      </c>
      <c r="N170" s="136">
        <f t="shared" si="32"/>
        <v>2.3E-2</v>
      </c>
      <c r="O170" s="136">
        <f t="shared" si="32"/>
        <v>2.3E-2</v>
      </c>
      <c r="P170" s="136">
        <f t="shared" si="32"/>
        <v>2.3E-2</v>
      </c>
      <c r="Q170" s="136">
        <f t="shared" si="32"/>
        <v>2.3E-2</v>
      </c>
      <c r="R170" s="136">
        <f t="shared" si="27"/>
        <v>2.3E-2</v>
      </c>
      <c r="S170" s="136">
        <f t="shared" si="27"/>
        <v>2.3E-2</v>
      </c>
      <c r="T170" s="136">
        <f t="shared" si="27"/>
        <v>2.3E-2</v>
      </c>
      <c r="U170" s="136">
        <f t="shared" si="27"/>
        <v>2.3E-2</v>
      </c>
      <c r="V170" s="136">
        <f t="shared" si="27"/>
        <v>2.3E-2</v>
      </c>
      <c r="W170" s="136">
        <f t="shared" si="27"/>
        <v>2.3E-2</v>
      </c>
      <c r="X170" s="136">
        <f t="shared" si="31"/>
        <v>2.3E-2</v>
      </c>
      <c r="Y170" s="136">
        <f t="shared" si="31"/>
        <v>2.3E-2</v>
      </c>
      <c r="Z170" s="136">
        <f t="shared" si="31"/>
        <v>2.3E-2</v>
      </c>
      <c r="AA170" s="136">
        <f t="shared" si="31"/>
        <v>2.3E-2</v>
      </c>
      <c r="AB170" s="136">
        <f t="shared" si="31"/>
        <v>2.3E-2</v>
      </c>
      <c r="AC170" s="136">
        <f t="shared" si="31"/>
        <v>2.3E-2</v>
      </c>
      <c r="AD170" s="136">
        <f t="shared" si="31"/>
        <v>2.3E-2</v>
      </c>
      <c r="AE170" s="136">
        <f t="shared" si="31"/>
        <v>2.3E-2</v>
      </c>
      <c r="AF170" s="136">
        <f t="shared" si="31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3">SUM(B89:B170)</f>
        <v>195.60600000000002</v>
      </c>
      <c r="C171" s="141">
        <f t="shared" si="33"/>
        <v>195.60600000000002</v>
      </c>
      <c r="D171" s="141">
        <f t="shared" si="33"/>
        <v>195.60600000000002</v>
      </c>
      <c r="E171" s="141">
        <f t="shared" si="33"/>
        <v>195.60600000000002</v>
      </c>
      <c r="F171" s="141">
        <f t="shared" si="33"/>
        <v>195.60600000000002</v>
      </c>
      <c r="G171" s="141">
        <f t="shared" si="33"/>
        <v>195.60600000000002</v>
      </c>
      <c r="H171" s="141">
        <f t="shared" si="33"/>
        <v>195.60600000000002</v>
      </c>
      <c r="I171" s="141">
        <f t="shared" si="33"/>
        <v>193.00600000000006</v>
      </c>
      <c r="J171" s="141">
        <f t="shared" si="33"/>
        <v>193.00600000000006</v>
      </c>
      <c r="K171" s="141">
        <f t="shared" si="33"/>
        <v>193.00600000000006</v>
      </c>
      <c r="L171" s="141">
        <f t="shared" si="33"/>
        <v>193.00600000000006</v>
      </c>
      <c r="M171" s="141">
        <f t="shared" si="33"/>
        <v>193.00600000000006</v>
      </c>
      <c r="N171" s="141">
        <f t="shared" si="33"/>
        <v>193.00600000000006</v>
      </c>
      <c r="O171" s="141">
        <f t="shared" si="33"/>
        <v>193.00600000000006</v>
      </c>
      <c r="P171" s="141">
        <f t="shared" si="33"/>
        <v>193.00600000000006</v>
      </c>
      <c r="Q171" s="141">
        <f t="shared" si="33"/>
        <v>193.00600000000006</v>
      </c>
      <c r="R171" s="141">
        <f t="shared" si="33"/>
        <v>193.00600000000006</v>
      </c>
      <c r="S171" s="141">
        <f t="shared" si="33"/>
        <v>193.00600000000006</v>
      </c>
      <c r="T171" s="141">
        <f t="shared" si="33"/>
        <v>193.00600000000006</v>
      </c>
      <c r="U171" s="141">
        <f t="shared" si="33"/>
        <v>193.00600000000006</v>
      </c>
      <c r="V171" s="141">
        <f t="shared" si="33"/>
        <v>193.00600000000006</v>
      </c>
      <c r="W171" s="141">
        <f t="shared" si="33"/>
        <v>193.00600000000006</v>
      </c>
      <c r="X171" s="141">
        <f t="shared" si="33"/>
        <v>193.00600000000006</v>
      </c>
      <c r="Y171" s="141">
        <f t="shared" si="33"/>
        <v>193.00600000000006</v>
      </c>
      <c r="Z171" s="141">
        <f t="shared" si="33"/>
        <v>193.00600000000006</v>
      </c>
      <c r="AA171" s="141">
        <f t="shared" si="33"/>
        <v>193.00600000000006</v>
      </c>
      <c r="AB171" s="141">
        <f t="shared" si="33"/>
        <v>193.00600000000006</v>
      </c>
      <c r="AC171" s="141">
        <f t="shared" si="33"/>
        <v>193.00600000000006</v>
      </c>
      <c r="AD171" s="141">
        <f t="shared" si="33"/>
        <v>193.00600000000006</v>
      </c>
      <c r="AE171" s="141">
        <f t="shared" si="33"/>
        <v>193.00600000000006</v>
      </c>
      <c r="AF171" s="141">
        <f t="shared" si="33"/>
        <v>193.00600000000006</v>
      </c>
      <c r="AG171" s="142">
        <f t="shared" si="33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4">B173</f>
        <v>0.3</v>
      </c>
      <c r="D173" s="143">
        <f t="shared" si="34"/>
        <v>0.3</v>
      </c>
      <c r="E173" s="143">
        <f t="shared" si="34"/>
        <v>0.3</v>
      </c>
      <c r="F173" s="143">
        <f t="shared" si="34"/>
        <v>0.3</v>
      </c>
      <c r="G173" s="143">
        <f t="shared" si="34"/>
        <v>0.3</v>
      </c>
      <c r="H173" s="143">
        <f t="shared" si="34"/>
        <v>0.3</v>
      </c>
      <c r="I173" s="143">
        <f t="shared" si="34"/>
        <v>0.3</v>
      </c>
      <c r="J173" s="143">
        <f t="shared" si="34"/>
        <v>0.3</v>
      </c>
      <c r="K173" s="143">
        <f t="shared" si="34"/>
        <v>0.3</v>
      </c>
      <c r="L173" s="143">
        <f t="shared" si="34"/>
        <v>0.3</v>
      </c>
      <c r="M173" s="143">
        <f t="shared" si="34"/>
        <v>0.3</v>
      </c>
      <c r="N173" s="143">
        <f t="shared" si="34"/>
        <v>0.3</v>
      </c>
      <c r="O173" s="143">
        <f t="shared" si="34"/>
        <v>0.3</v>
      </c>
      <c r="P173" s="143">
        <f t="shared" si="34"/>
        <v>0.3</v>
      </c>
      <c r="Q173" s="143">
        <f t="shared" si="34"/>
        <v>0.3</v>
      </c>
      <c r="R173" s="143">
        <f t="shared" si="34"/>
        <v>0.3</v>
      </c>
      <c r="S173" s="143">
        <f t="shared" ref="S173:AF178" si="35">R173</f>
        <v>0.3</v>
      </c>
      <c r="T173" s="143">
        <f t="shared" si="35"/>
        <v>0.3</v>
      </c>
      <c r="U173" s="143">
        <f t="shared" si="35"/>
        <v>0.3</v>
      </c>
      <c r="V173" s="143">
        <f t="shared" si="35"/>
        <v>0.3</v>
      </c>
      <c r="W173" s="143">
        <f t="shared" si="35"/>
        <v>0.3</v>
      </c>
      <c r="X173" s="143">
        <f t="shared" si="35"/>
        <v>0.3</v>
      </c>
      <c r="Y173" s="143">
        <f t="shared" si="35"/>
        <v>0.3</v>
      </c>
      <c r="Z173" s="143">
        <f t="shared" si="35"/>
        <v>0.3</v>
      </c>
      <c r="AA173" s="143">
        <f t="shared" si="35"/>
        <v>0.3</v>
      </c>
      <c r="AB173" s="143">
        <f t="shared" si="35"/>
        <v>0.3</v>
      </c>
      <c r="AC173" s="143">
        <f t="shared" si="35"/>
        <v>0.3</v>
      </c>
      <c r="AD173" s="143">
        <f t="shared" si="35"/>
        <v>0.3</v>
      </c>
      <c r="AE173" s="143">
        <f t="shared" si="35"/>
        <v>0.3</v>
      </c>
      <c r="AF173" s="143">
        <f t="shared" si="35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4"/>
        <v>0.4</v>
      </c>
      <c r="D174" s="136">
        <f t="shared" si="34"/>
        <v>0.4</v>
      </c>
      <c r="E174" s="136">
        <f t="shared" si="34"/>
        <v>0.4</v>
      </c>
      <c r="F174" s="136">
        <f t="shared" si="34"/>
        <v>0.4</v>
      </c>
      <c r="G174" s="136">
        <f t="shared" si="34"/>
        <v>0.4</v>
      </c>
      <c r="H174" s="136">
        <f t="shared" si="34"/>
        <v>0.4</v>
      </c>
      <c r="I174" s="136">
        <f t="shared" si="34"/>
        <v>0.4</v>
      </c>
      <c r="J174" s="136">
        <f t="shared" si="34"/>
        <v>0.4</v>
      </c>
      <c r="K174" s="136">
        <f t="shared" si="34"/>
        <v>0.4</v>
      </c>
      <c r="L174" s="136">
        <f t="shared" si="34"/>
        <v>0.4</v>
      </c>
      <c r="M174" s="136">
        <f t="shared" si="34"/>
        <v>0.4</v>
      </c>
      <c r="N174" s="136">
        <f t="shared" si="34"/>
        <v>0.4</v>
      </c>
      <c r="O174" s="136">
        <f t="shared" si="34"/>
        <v>0.4</v>
      </c>
      <c r="P174" s="136">
        <f t="shared" si="34"/>
        <v>0.4</v>
      </c>
      <c r="Q174" s="136">
        <f t="shared" si="34"/>
        <v>0.4</v>
      </c>
      <c r="R174" s="136">
        <f t="shared" si="34"/>
        <v>0.4</v>
      </c>
      <c r="S174" s="136">
        <f t="shared" si="35"/>
        <v>0.4</v>
      </c>
      <c r="T174" s="136">
        <f t="shared" si="35"/>
        <v>0.4</v>
      </c>
      <c r="U174" s="136">
        <f t="shared" si="35"/>
        <v>0.4</v>
      </c>
      <c r="V174" s="136">
        <f>U174</f>
        <v>0.4</v>
      </c>
      <c r="W174" s="136">
        <f>V174</f>
        <v>0.4</v>
      </c>
      <c r="X174" s="136">
        <f t="shared" si="35"/>
        <v>0.4</v>
      </c>
      <c r="Y174" s="136">
        <f t="shared" si="35"/>
        <v>0.4</v>
      </c>
      <c r="Z174" s="136">
        <f t="shared" si="35"/>
        <v>0.4</v>
      </c>
      <c r="AA174" s="136">
        <f t="shared" si="35"/>
        <v>0.4</v>
      </c>
      <c r="AB174" s="136">
        <f t="shared" si="35"/>
        <v>0.4</v>
      </c>
      <c r="AC174" s="136">
        <f t="shared" si="35"/>
        <v>0.4</v>
      </c>
      <c r="AD174" s="136">
        <f t="shared" si="35"/>
        <v>0.4</v>
      </c>
      <c r="AE174" s="136">
        <f t="shared" si="35"/>
        <v>0.4</v>
      </c>
      <c r="AF174" s="136">
        <f t="shared" si="35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4"/>
        <v>1.5</v>
      </c>
      <c r="D175" s="136">
        <f t="shared" si="34"/>
        <v>1.5</v>
      </c>
      <c r="E175" s="136">
        <f t="shared" si="34"/>
        <v>1.5</v>
      </c>
      <c r="F175" s="136">
        <f t="shared" si="34"/>
        <v>1.5</v>
      </c>
      <c r="G175" s="136">
        <f t="shared" si="34"/>
        <v>1.5</v>
      </c>
      <c r="H175" s="136">
        <f t="shared" si="34"/>
        <v>1.5</v>
      </c>
      <c r="I175" s="136">
        <f t="shared" si="34"/>
        <v>1.5</v>
      </c>
      <c r="J175" s="136">
        <f t="shared" si="34"/>
        <v>1.5</v>
      </c>
      <c r="K175" s="136">
        <f t="shared" si="34"/>
        <v>1.5</v>
      </c>
      <c r="L175" s="136">
        <f t="shared" si="34"/>
        <v>1.5</v>
      </c>
      <c r="M175" s="136">
        <f t="shared" si="34"/>
        <v>1.5</v>
      </c>
      <c r="N175" s="136">
        <f t="shared" si="34"/>
        <v>1.5</v>
      </c>
      <c r="O175" s="136">
        <f t="shared" si="34"/>
        <v>1.5</v>
      </c>
      <c r="P175" s="136">
        <f t="shared" si="34"/>
        <v>1.5</v>
      </c>
      <c r="Q175" s="136">
        <f t="shared" si="34"/>
        <v>1.5</v>
      </c>
      <c r="R175" s="136">
        <f t="shared" si="34"/>
        <v>1.5</v>
      </c>
      <c r="S175" s="136">
        <f t="shared" si="35"/>
        <v>1.5</v>
      </c>
      <c r="T175" s="136">
        <f t="shared" si="35"/>
        <v>1.5</v>
      </c>
      <c r="U175" s="136">
        <f t="shared" si="35"/>
        <v>1.5</v>
      </c>
      <c r="V175" s="136">
        <f t="shared" si="35"/>
        <v>1.5</v>
      </c>
      <c r="W175" s="136">
        <f t="shared" si="35"/>
        <v>1.5</v>
      </c>
      <c r="X175" s="136">
        <f t="shared" si="35"/>
        <v>1.5</v>
      </c>
      <c r="Y175" s="136">
        <f t="shared" si="35"/>
        <v>1.5</v>
      </c>
      <c r="Z175" s="136">
        <f t="shared" si="35"/>
        <v>1.5</v>
      </c>
      <c r="AA175" s="136">
        <f t="shared" si="35"/>
        <v>1.5</v>
      </c>
      <c r="AB175" s="136">
        <f t="shared" si="35"/>
        <v>1.5</v>
      </c>
      <c r="AC175" s="136">
        <f t="shared" si="35"/>
        <v>1.5</v>
      </c>
      <c r="AD175" s="136">
        <f t="shared" si="35"/>
        <v>1.5</v>
      </c>
      <c r="AE175" s="136">
        <f t="shared" si="35"/>
        <v>1.5</v>
      </c>
      <c r="AF175" s="136">
        <f t="shared" si="35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4"/>
        <v>0.3</v>
      </c>
      <c r="D176" s="136">
        <f t="shared" si="34"/>
        <v>0.3</v>
      </c>
      <c r="E176" s="136">
        <f t="shared" si="34"/>
        <v>0.3</v>
      </c>
      <c r="F176" s="136">
        <f t="shared" si="34"/>
        <v>0.3</v>
      </c>
      <c r="G176" s="136">
        <f t="shared" si="34"/>
        <v>0.3</v>
      </c>
      <c r="H176" s="136">
        <f t="shared" si="34"/>
        <v>0.3</v>
      </c>
      <c r="I176" s="136">
        <f t="shared" si="34"/>
        <v>0.3</v>
      </c>
      <c r="J176" s="136">
        <f t="shared" si="34"/>
        <v>0.3</v>
      </c>
      <c r="K176" s="136">
        <f t="shared" si="34"/>
        <v>0.3</v>
      </c>
      <c r="L176" s="136">
        <f t="shared" si="34"/>
        <v>0.3</v>
      </c>
      <c r="M176" s="136">
        <f t="shared" si="34"/>
        <v>0.3</v>
      </c>
      <c r="N176" s="136">
        <f t="shared" si="34"/>
        <v>0.3</v>
      </c>
      <c r="O176" s="136">
        <f t="shared" si="34"/>
        <v>0.3</v>
      </c>
      <c r="P176" s="136">
        <f t="shared" si="34"/>
        <v>0.3</v>
      </c>
      <c r="Q176" s="136">
        <f t="shared" si="34"/>
        <v>0.3</v>
      </c>
      <c r="R176" s="136">
        <f t="shared" si="34"/>
        <v>0.3</v>
      </c>
      <c r="S176" s="136">
        <f t="shared" si="35"/>
        <v>0.3</v>
      </c>
      <c r="T176" s="136">
        <f t="shared" si="35"/>
        <v>0.3</v>
      </c>
      <c r="U176" s="136">
        <f t="shared" si="35"/>
        <v>0.3</v>
      </c>
      <c r="V176" s="136">
        <f t="shared" si="35"/>
        <v>0.3</v>
      </c>
      <c r="W176" s="136">
        <f t="shared" si="35"/>
        <v>0.3</v>
      </c>
      <c r="X176" s="136">
        <f t="shared" si="35"/>
        <v>0.3</v>
      </c>
      <c r="Y176" s="136">
        <f t="shared" si="35"/>
        <v>0.3</v>
      </c>
      <c r="Z176" s="136">
        <f t="shared" si="35"/>
        <v>0.3</v>
      </c>
      <c r="AA176" s="136">
        <f t="shared" si="35"/>
        <v>0.3</v>
      </c>
      <c r="AB176" s="136">
        <f t="shared" si="35"/>
        <v>0.3</v>
      </c>
      <c r="AC176" s="136">
        <f t="shared" si="35"/>
        <v>0.3</v>
      </c>
      <c r="AD176" s="136">
        <f t="shared" si="35"/>
        <v>0.3</v>
      </c>
      <c r="AE176" s="136">
        <f t="shared" si="35"/>
        <v>0.3</v>
      </c>
      <c r="AF176" s="136">
        <f t="shared" si="35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4"/>
        <v>0.4</v>
      </c>
      <c r="D177" s="136">
        <f t="shared" si="34"/>
        <v>0.4</v>
      </c>
      <c r="E177" s="136">
        <f t="shared" si="34"/>
        <v>0.4</v>
      </c>
      <c r="F177" s="136">
        <f t="shared" si="34"/>
        <v>0.4</v>
      </c>
      <c r="G177" s="136">
        <f t="shared" si="34"/>
        <v>0.4</v>
      </c>
      <c r="H177" s="136">
        <f t="shared" si="34"/>
        <v>0.4</v>
      </c>
      <c r="I177" s="136">
        <f t="shared" si="34"/>
        <v>0.4</v>
      </c>
      <c r="J177" s="136">
        <f t="shared" si="34"/>
        <v>0.4</v>
      </c>
      <c r="K177" s="136">
        <f t="shared" si="34"/>
        <v>0.4</v>
      </c>
      <c r="L177" s="136">
        <f t="shared" si="34"/>
        <v>0.4</v>
      </c>
      <c r="M177" s="136">
        <f t="shared" si="34"/>
        <v>0.4</v>
      </c>
      <c r="N177" s="136">
        <f t="shared" si="34"/>
        <v>0.4</v>
      </c>
      <c r="O177" s="136">
        <f t="shared" si="34"/>
        <v>0.4</v>
      </c>
      <c r="P177" s="136">
        <f t="shared" si="34"/>
        <v>0.4</v>
      </c>
      <c r="Q177" s="136">
        <f t="shared" si="34"/>
        <v>0.4</v>
      </c>
      <c r="R177" s="136">
        <f t="shared" si="34"/>
        <v>0.4</v>
      </c>
      <c r="S177" s="136">
        <f t="shared" si="35"/>
        <v>0.4</v>
      </c>
      <c r="T177" s="136">
        <f t="shared" si="35"/>
        <v>0.4</v>
      </c>
      <c r="U177" s="136">
        <f t="shared" si="35"/>
        <v>0.4</v>
      </c>
      <c r="V177" s="136">
        <f t="shared" si="35"/>
        <v>0.4</v>
      </c>
      <c r="W177" s="136">
        <f t="shared" si="35"/>
        <v>0.4</v>
      </c>
      <c r="X177" s="136">
        <f t="shared" si="35"/>
        <v>0.4</v>
      </c>
      <c r="Y177" s="136">
        <f t="shared" si="35"/>
        <v>0.4</v>
      </c>
      <c r="Z177" s="136">
        <f t="shared" si="35"/>
        <v>0.4</v>
      </c>
      <c r="AA177" s="136">
        <f t="shared" si="35"/>
        <v>0.4</v>
      </c>
      <c r="AB177" s="136">
        <f t="shared" si="35"/>
        <v>0.4</v>
      </c>
      <c r="AC177" s="136">
        <f t="shared" si="35"/>
        <v>0.4</v>
      </c>
      <c r="AD177" s="136">
        <f t="shared" si="35"/>
        <v>0.4</v>
      </c>
      <c r="AE177" s="136">
        <f t="shared" si="35"/>
        <v>0.4</v>
      </c>
      <c r="AF177" s="136">
        <f t="shared" si="35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4"/>
        <v>0.64</v>
      </c>
      <c r="D178" s="146">
        <f t="shared" si="34"/>
        <v>0.64</v>
      </c>
      <c r="E178" s="146">
        <f t="shared" si="34"/>
        <v>0.64</v>
      </c>
      <c r="F178" s="146">
        <f t="shared" si="34"/>
        <v>0.64</v>
      </c>
      <c r="G178" s="146">
        <f t="shared" si="34"/>
        <v>0.64</v>
      </c>
      <c r="H178" s="146">
        <f t="shared" si="34"/>
        <v>0.64</v>
      </c>
      <c r="I178" s="146">
        <f t="shared" si="34"/>
        <v>0.64</v>
      </c>
      <c r="J178" s="146">
        <f t="shared" si="34"/>
        <v>0.64</v>
      </c>
      <c r="K178" s="146">
        <f t="shared" si="34"/>
        <v>0.64</v>
      </c>
      <c r="L178" s="146">
        <f t="shared" si="34"/>
        <v>0.64</v>
      </c>
      <c r="M178" s="146">
        <f t="shared" si="34"/>
        <v>0.64</v>
      </c>
      <c r="N178" s="146">
        <f t="shared" si="34"/>
        <v>0.64</v>
      </c>
      <c r="O178" s="146">
        <f t="shared" si="34"/>
        <v>0.64</v>
      </c>
      <c r="P178" s="146">
        <f t="shared" si="34"/>
        <v>0.64</v>
      </c>
      <c r="Q178" s="146">
        <f t="shared" si="34"/>
        <v>0.64</v>
      </c>
      <c r="R178" s="146">
        <f t="shared" si="34"/>
        <v>0.64</v>
      </c>
      <c r="S178" s="146">
        <f t="shared" si="35"/>
        <v>0.64</v>
      </c>
      <c r="T178" s="146">
        <f t="shared" si="35"/>
        <v>0.64</v>
      </c>
      <c r="U178" s="146">
        <f t="shared" si="35"/>
        <v>0.64</v>
      </c>
      <c r="V178" s="146">
        <f t="shared" si="35"/>
        <v>0.64</v>
      </c>
      <c r="W178" s="146">
        <f t="shared" si="35"/>
        <v>0.64</v>
      </c>
      <c r="X178" s="146">
        <f t="shared" si="35"/>
        <v>0.64</v>
      </c>
      <c r="Y178" s="146">
        <f t="shared" si="35"/>
        <v>0.64</v>
      </c>
      <c r="Z178" s="146">
        <f t="shared" si="35"/>
        <v>0.64</v>
      </c>
      <c r="AA178" s="146">
        <f t="shared" si="35"/>
        <v>0.64</v>
      </c>
      <c r="AB178" s="146">
        <f t="shared" si="35"/>
        <v>0.64</v>
      </c>
      <c r="AC178" s="146">
        <f t="shared" si="35"/>
        <v>0.64</v>
      </c>
      <c r="AD178" s="146">
        <f t="shared" si="35"/>
        <v>0.64</v>
      </c>
      <c r="AE178" s="146">
        <f t="shared" si="35"/>
        <v>0.64</v>
      </c>
      <c r="AF178" s="146">
        <f t="shared" si="35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6">SUM(C173:C178)</f>
        <v>3.54</v>
      </c>
      <c r="D179" s="149">
        <f t="shared" si="36"/>
        <v>3.54</v>
      </c>
      <c r="E179" s="149">
        <f t="shared" si="36"/>
        <v>3.54</v>
      </c>
      <c r="F179" s="149">
        <f t="shared" si="36"/>
        <v>3.54</v>
      </c>
      <c r="G179" s="149">
        <f t="shared" si="36"/>
        <v>3.54</v>
      </c>
      <c r="H179" s="149">
        <f t="shared" si="36"/>
        <v>3.54</v>
      </c>
      <c r="I179" s="149">
        <f t="shared" si="36"/>
        <v>3.54</v>
      </c>
      <c r="J179" s="149">
        <f t="shared" si="36"/>
        <v>3.54</v>
      </c>
      <c r="K179" s="149">
        <f t="shared" si="36"/>
        <v>3.54</v>
      </c>
      <c r="L179" s="149">
        <f>SUM(L173:L178)</f>
        <v>3.54</v>
      </c>
      <c r="M179" s="149">
        <f t="shared" ref="M179:R179" si="37">SUM(M173:M178)</f>
        <v>3.54</v>
      </c>
      <c r="N179" s="149">
        <f t="shared" si="37"/>
        <v>3.54</v>
      </c>
      <c r="O179" s="149">
        <f t="shared" si="37"/>
        <v>3.54</v>
      </c>
      <c r="P179" s="149">
        <f t="shared" si="37"/>
        <v>3.54</v>
      </c>
      <c r="Q179" s="149">
        <f t="shared" si="37"/>
        <v>3.54</v>
      </c>
      <c r="R179" s="149">
        <f t="shared" si="37"/>
        <v>3.54</v>
      </c>
      <c r="S179" s="149">
        <f>SUM(S173:S178)</f>
        <v>3.54</v>
      </c>
      <c r="T179" s="149">
        <f t="shared" ref="T179:AG179" si="38">SUM(T173:T178)</f>
        <v>3.54</v>
      </c>
      <c r="U179" s="149">
        <f t="shared" si="38"/>
        <v>3.54</v>
      </c>
      <c r="V179" s="149">
        <f t="shared" si="38"/>
        <v>3.54</v>
      </c>
      <c r="W179" s="149">
        <f t="shared" si="38"/>
        <v>3.54</v>
      </c>
      <c r="X179" s="149">
        <f t="shared" si="38"/>
        <v>3.54</v>
      </c>
      <c r="Y179" s="149">
        <f t="shared" si="38"/>
        <v>3.54</v>
      </c>
      <c r="Z179" s="149">
        <f t="shared" si="38"/>
        <v>3.54</v>
      </c>
      <c r="AA179" s="149">
        <f t="shared" si="38"/>
        <v>3.54</v>
      </c>
      <c r="AB179" s="149">
        <f t="shared" si="38"/>
        <v>3.54</v>
      </c>
      <c r="AC179" s="149">
        <f t="shared" si="38"/>
        <v>3.54</v>
      </c>
      <c r="AD179" s="149">
        <f t="shared" si="38"/>
        <v>3.54</v>
      </c>
      <c r="AE179" s="149">
        <f t="shared" si="38"/>
        <v>3.54</v>
      </c>
      <c r="AF179" s="149">
        <f t="shared" si="38"/>
        <v>3.54</v>
      </c>
      <c r="AG179" s="150">
        <f t="shared" si="38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1126.24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20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20)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20)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9">B65</f>
        <v>1005.3399999999999</v>
      </c>
      <c r="U193" s="173">
        <f t="shared" si="39"/>
        <v>992.94</v>
      </c>
      <c r="V193" s="173">
        <f t="shared" si="39"/>
        <v>965.33999999999992</v>
      </c>
      <c r="W193" s="173">
        <f t="shared" si="39"/>
        <v>939.94</v>
      </c>
      <c r="X193" s="173">
        <f t="shared" si="39"/>
        <v>960.04</v>
      </c>
      <c r="Y193" s="173">
        <f t="shared" si="39"/>
        <v>968.63999999999987</v>
      </c>
      <c r="Z193" s="173">
        <f t="shared" si="39"/>
        <v>960.29</v>
      </c>
      <c r="AA193" s="173">
        <f t="shared" si="39"/>
        <v>980.14</v>
      </c>
      <c r="AB193" s="173">
        <f t="shared" si="39"/>
        <v>983.33999999999992</v>
      </c>
      <c r="AC193" s="173">
        <f t="shared" si="39"/>
        <v>983.33999999999992</v>
      </c>
      <c r="AD193" s="173">
        <f t="shared" si="39"/>
        <v>1104.2399999999998</v>
      </c>
      <c r="AE193" s="173">
        <f t="shared" si="39"/>
        <v>1126.24</v>
      </c>
      <c r="AF193" s="173">
        <f t="shared" si="39"/>
        <v>1145.24</v>
      </c>
      <c r="AG193" s="173">
        <f t="shared" si="39"/>
        <v>1133.44</v>
      </c>
      <c r="AH193" s="173">
        <f t="shared" si="39"/>
        <v>1119.1399999999999</v>
      </c>
      <c r="AI193" s="173">
        <f t="shared" si="39"/>
        <v>1105.3400000000001</v>
      </c>
      <c r="AJ193" s="173">
        <f t="shared" si="39"/>
        <v>1125.44</v>
      </c>
      <c r="AK193" s="173">
        <f t="shared" si="39"/>
        <v>1109.0400000000002</v>
      </c>
      <c r="AL193" s="173">
        <f t="shared" si="39"/>
        <v>1109.04</v>
      </c>
      <c r="AM193" s="173">
        <f t="shared" si="39"/>
        <v>1086.94</v>
      </c>
      <c r="AN193" s="173">
        <f t="shared" si="39"/>
        <v>1081.3399999999999</v>
      </c>
      <c r="AO193" s="173">
        <f t="shared" si="39"/>
        <v>1046.04</v>
      </c>
      <c r="AP193" s="173">
        <f t="shared" si="39"/>
        <v>1049.54</v>
      </c>
      <c r="AQ193" s="173">
        <f t="shared" si="39"/>
        <v>1142.3400000000001</v>
      </c>
      <c r="AR193" s="173">
        <f t="shared" si="39"/>
        <v>1238.74</v>
      </c>
      <c r="AS193" s="173">
        <f t="shared" si="39"/>
        <v>1282.1400000000001</v>
      </c>
      <c r="AT193" s="173">
        <f t="shared" si="39"/>
        <v>1285.74</v>
      </c>
      <c r="AU193" s="173">
        <f t="shared" si="39"/>
        <v>1251</v>
      </c>
      <c r="AV193" s="173">
        <f t="shared" si="39"/>
        <v>1211.8</v>
      </c>
      <c r="AW193" s="173">
        <f t="shared" si="39"/>
        <v>1155.8399999999999</v>
      </c>
      <c r="AX193" s="173">
        <f t="shared" si="39"/>
        <v>1082.74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40">B178</f>
        <v>0.64</v>
      </c>
      <c r="C214" s="176">
        <f t="shared" si="40"/>
        <v>0.64</v>
      </c>
      <c r="D214" s="176">
        <f t="shared" si="40"/>
        <v>0.64</v>
      </c>
      <c r="E214" s="176">
        <f t="shared" si="40"/>
        <v>0.64</v>
      </c>
      <c r="F214" s="176">
        <f t="shared" si="40"/>
        <v>0.64</v>
      </c>
      <c r="G214" s="176">
        <f t="shared" si="40"/>
        <v>0.64</v>
      </c>
      <c r="H214" s="176">
        <f t="shared" si="40"/>
        <v>0.64</v>
      </c>
      <c r="I214" s="176">
        <f t="shared" si="40"/>
        <v>0.64</v>
      </c>
      <c r="J214" s="176">
        <f t="shared" si="40"/>
        <v>0.64</v>
      </c>
      <c r="K214" s="176">
        <f t="shared" si="40"/>
        <v>0.64</v>
      </c>
      <c r="L214" s="176">
        <f t="shared" si="40"/>
        <v>0.64</v>
      </c>
      <c r="M214" s="176">
        <f t="shared" si="40"/>
        <v>0.64</v>
      </c>
      <c r="N214" s="176">
        <f t="shared" si="40"/>
        <v>0.64</v>
      </c>
      <c r="O214" s="176">
        <f t="shared" si="40"/>
        <v>0.64</v>
      </c>
      <c r="P214" s="176">
        <f t="shared" si="40"/>
        <v>0.64</v>
      </c>
      <c r="Q214" s="176">
        <f t="shared" si="40"/>
        <v>0.64</v>
      </c>
      <c r="R214" s="176">
        <f t="shared" si="40"/>
        <v>0.64</v>
      </c>
      <c r="S214" s="176">
        <f t="shared" si="40"/>
        <v>0.64</v>
      </c>
      <c r="T214" s="176">
        <f t="shared" si="40"/>
        <v>0.64</v>
      </c>
      <c r="U214" s="176">
        <f t="shared" si="40"/>
        <v>0.64</v>
      </c>
      <c r="V214" s="176">
        <f t="shared" si="40"/>
        <v>0.64</v>
      </c>
      <c r="W214" s="176">
        <f t="shared" si="40"/>
        <v>0.64</v>
      </c>
      <c r="X214" s="176">
        <f t="shared" si="40"/>
        <v>0.64</v>
      </c>
      <c r="Y214" s="176">
        <f t="shared" si="40"/>
        <v>0.64</v>
      </c>
      <c r="Z214" s="176">
        <f t="shared" si="40"/>
        <v>0.64</v>
      </c>
      <c r="AA214" s="176">
        <f t="shared" si="40"/>
        <v>0.64</v>
      </c>
      <c r="AB214" s="176">
        <f t="shared" si="40"/>
        <v>0.64</v>
      </c>
      <c r="AC214" s="176">
        <f t="shared" si="40"/>
        <v>0.64</v>
      </c>
      <c r="AD214" s="176">
        <f t="shared" si="40"/>
        <v>0.64</v>
      </c>
      <c r="AE214" s="176">
        <f t="shared" si="40"/>
        <v>0.64</v>
      </c>
      <c r="AF214" s="176">
        <f t="shared" si="40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41">IF(C182&lt;100,"",C182-520)</f>
        <v/>
      </c>
      <c r="D215" s="120" t="str">
        <f t="shared" si="41"/>
        <v/>
      </c>
      <c r="E215" s="120" t="str">
        <f t="shared" si="41"/>
        <v/>
      </c>
      <c r="F215" s="120" t="str">
        <f t="shared" si="41"/>
        <v/>
      </c>
      <c r="G215" s="120" t="str">
        <f t="shared" si="41"/>
        <v/>
      </c>
      <c r="H215" s="120" t="str">
        <f t="shared" si="41"/>
        <v/>
      </c>
      <c r="I215" s="120" t="str">
        <f t="shared" si="41"/>
        <v/>
      </c>
      <c r="J215" s="120" t="str">
        <f t="shared" si="41"/>
        <v/>
      </c>
      <c r="K215" s="120" t="str">
        <f t="shared" si="41"/>
        <v/>
      </c>
      <c r="L215" s="120" t="str">
        <f t="shared" si="41"/>
        <v/>
      </c>
      <c r="M215" s="120" t="str">
        <f t="shared" si="41"/>
        <v/>
      </c>
      <c r="N215" s="120" t="str">
        <f t="shared" si="41"/>
        <v/>
      </c>
      <c r="O215" s="120" t="str">
        <f t="shared" si="41"/>
        <v/>
      </c>
      <c r="P215" s="120" t="str">
        <f t="shared" si="41"/>
        <v/>
      </c>
      <c r="Q215" s="120" t="str">
        <f t="shared" si="41"/>
        <v/>
      </c>
      <c r="R215" s="120" t="str">
        <f t="shared" si="41"/>
        <v/>
      </c>
      <c r="S215" s="120" t="str">
        <f t="shared" si="41"/>
        <v/>
      </c>
      <c r="T215" s="120" t="str">
        <f t="shared" si="41"/>
        <v/>
      </c>
      <c r="U215" s="120" t="str">
        <f t="shared" si="41"/>
        <v/>
      </c>
      <c r="V215" s="120" t="str">
        <f t="shared" si="41"/>
        <v/>
      </c>
      <c r="W215" s="120" t="str">
        <f t="shared" si="41"/>
        <v/>
      </c>
      <c r="X215" s="120" t="str">
        <f t="shared" si="41"/>
        <v/>
      </c>
      <c r="Y215" s="120" t="str">
        <f t="shared" si="41"/>
        <v/>
      </c>
      <c r="Z215" s="120" t="str">
        <f t="shared" si="41"/>
        <v/>
      </c>
      <c r="AA215" s="120" t="str">
        <f t="shared" si="41"/>
        <v/>
      </c>
      <c r="AB215" s="120" t="str">
        <f t="shared" si="41"/>
        <v/>
      </c>
      <c r="AC215" s="120" t="str">
        <f t="shared" si="41"/>
        <v/>
      </c>
      <c r="AD215" s="120" t="str">
        <f t="shared" si="41"/>
        <v/>
      </c>
      <c r="AE215" s="120" t="str">
        <f t="shared" si="41"/>
        <v/>
      </c>
      <c r="AF215" s="120" t="str">
        <f t="shared" si="41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2">IF(B183&lt;100,"",B183-620)</f>
        <v/>
      </c>
      <c r="C216" s="120" t="str">
        <f t="shared" si="42"/>
        <v/>
      </c>
      <c r="D216" s="120" t="str">
        <f t="shared" si="42"/>
        <v/>
      </c>
      <c r="E216" s="120" t="str">
        <f t="shared" si="42"/>
        <v/>
      </c>
      <c r="F216" s="120" t="str">
        <f t="shared" si="42"/>
        <v/>
      </c>
      <c r="G216" s="120" t="str">
        <f t="shared" si="42"/>
        <v/>
      </c>
      <c r="H216" s="120" t="str">
        <f t="shared" si="42"/>
        <v/>
      </c>
      <c r="I216" s="120" t="str">
        <f t="shared" si="42"/>
        <v/>
      </c>
      <c r="J216" s="120" t="str">
        <f t="shared" si="42"/>
        <v/>
      </c>
      <c r="K216" s="120" t="str">
        <f t="shared" si="42"/>
        <v/>
      </c>
      <c r="L216" s="120" t="str">
        <f t="shared" si="42"/>
        <v/>
      </c>
      <c r="M216" s="120" t="str">
        <f t="shared" si="42"/>
        <v/>
      </c>
      <c r="N216" s="120" t="str">
        <f t="shared" si="42"/>
        <v/>
      </c>
      <c r="O216" s="120" t="str">
        <f t="shared" si="42"/>
        <v/>
      </c>
      <c r="P216" s="120" t="str">
        <f t="shared" si="42"/>
        <v/>
      </c>
      <c r="Q216" s="120" t="str">
        <f t="shared" si="42"/>
        <v/>
      </c>
      <c r="R216" s="120" t="str">
        <f t="shared" si="42"/>
        <v/>
      </c>
      <c r="S216" s="120" t="str">
        <f t="shared" si="42"/>
        <v/>
      </c>
      <c r="T216" s="120" t="str">
        <f t="shared" si="42"/>
        <v/>
      </c>
      <c r="U216" s="120" t="str">
        <f t="shared" si="42"/>
        <v/>
      </c>
      <c r="V216" s="120" t="str">
        <f t="shared" si="42"/>
        <v/>
      </c>
      <c r="W216" s="120" t="str">
        <f t="shared" si="42"/>
        <v/>
      </c>
      <c r="X216" s="120" t="str">
        <f t="shared" si="42"/>
        <v/>
      </c>
      <c r="Y216" s="120" t="str">
        <f t="shared" si="42"/>
        <v/>
      </c>
      <c r="Z216" s="120" t="str">
        <f t="shared" si="42"/>
        <v/>
      </c>
      <c r="AA216" s="120" t="str">
        <f t="shared" si="42"/>
        <v/>
      </c>
      <c r="AB216" s="120" t="str">
        <f t="shared" si="42"/>
        <v/>
      </c>
      <c r="AC216" s="120" t="str">
        <f t="shared" si="42"/>
        <v/>
      </c>
      <c r="AD216" s="120" t="str">
        <f t="shared" si="42"/>
        <v/>
      </c>
      <c r="AE216" s="120" t="str">
        <f t="shared" si="42"/>
        <v/>
      </c>
      <c r="AF216" s="120" t="str">
        <f t="shared" si="42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3">IF(B184&lt;100,"",B184-330)</f>
        <v/>
      </c>
      <c r="C217" s="120" t="str">
        <f t="shared" si="43"/>
        <v/>
      </c>
      <c r="D217" s="120" t="str">
        <f t="shared" si="43"/>
        <v/>
      </c>
      <c r="E217" s="120" t="str">
        <f t="shared" si="43"/>
        <v/>
      </c>
      <c r="F217" s="120" t="str">
        <f t="shared" si="43"/>
        <v/>
      </c>
      <c r="G217" s="120" t="str">
        <f t="shared" si="43"/>
        <v/>
      </c>
      <c r="H217" s="120" t="str">
        <f t="shared" si="43"/>
        <v/>
      </c>
      <c r="I217" s="120" t="str">
        <f t="shared" si="43"/>
        <v/>
      </c>
      <c r="J217" s="120" t="str">
        <f t="shared" si="43"/>
        <v/>
      </c>
      <c r="K217" s="120" t="str">
        <f t="shared" si="43"/>
        <v/>
      </c>
      <c r="L217" s="120" t="str">
        <f t="shared" si="43"/>
        <v/>
      </c>
      <c r="M217" s="120" t="str">
        <f t="shared" si="43"/>
        <v/>
      </c>
      <c r="N217" s="120" t="str">
        <f t="shared" si="43"/>
        <v/>
      </c>
      <c r="O217" s="120" t="str">
        <f t="shared" si="43"/>
        <v/>
      </c>
      <c r="P217" s="120" t="str">
        <f t="shared" si="43"/>
        <v/>
      </c>
      <c r="Q217" s="120" t="str">
        <f t="shared" si="43"/>
        <v/>
      </c>
      <c r="R217" s="120" t="str">
        <f t="shared" si="43"/>
        <v/>
      </c>
      <c r="S217" s="120" t="str">
        <f t="shared" si="43"/>
        <v/>
      </c>
      <c r="T217" s="120" t="str">
        <f t="shared" si="43"/>
        <v/>
      </c>
      <c r="U217" s="120" t="str">
        <f t="shared" si="43"/>
        <v/>
      </c>
      <c r="V217" s="120" t="str">
        <f t="shared" si="43"/>
        <v/>
      </c>
      <c r="W217" s="120" t="str">
        <f t="shared" si="43"/>
        <v/>
      </c>
      <c r="X217" s="120" t="str">
        <f t="shared" si="43"/>
        <v/>
      </c>
      <c r="Y217" s="120" t="str">
        <f t="shared" si="43"/>
        <v/>
      </c>
      <c r="Z217" s="120" t="str">
        <f t="shared" si="43"/>
        <v/>
      </c>
      <c r="AA217" s="120" t="str">
        <f t="shared" si="43"/>
        <v/>
      </c>
      <c r="AB217" s="120" t="str">
        <f t="shared" si="43"/>
        <v/>
      </c>
      <c r="AC217" s="120" t="str">
        <f t="shared" si="43"/>
        <v/>
      </c>
      <c r="AD217" s="120" t="str">
        <f t="shared" si="43"/>
        <v/>
      </c>
      <c r="AE217" s="120" t="str">
        <f t="shared" si="43"/>
        <v/>
      </c>
      <c r="AF217" s="120" t="str">
        <f t="shared" si="43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4">IF(C185&lt;100,"",C185-1500)</f>
        <v/>
      </c>
      <c r="D218" s="120" t="str">
        <f t="shared" si="44"/>
        <v/>
      </c>
      <c r="E218" s="120" t="str">
        <f t="shared" si="44"/>
        <v/>
      </c>
      <c r="F218" s="120" t="str">
        <f t="shared" si="44"/>
        <v/>
      </c>
      <c r="G218" s="120" t="str">
        <f t="shared" si="44"/>
        <v/>
      </c>
      <c r="H218" s="120" t="str">
        <f t="shared" si="44"/>
        <v/>
      </c>
      <c r="I218" s="120" t="str">
        <f t="shared" si="44"/>
        <v/>
      </c>
      <c r="J218" s="120" t="str">
        <f t="shared" si="44"/>
        <v/>
      </c>
      <c r="K218" s="120" t="str">
        <f t="shared" si="44"/>
        <v/>
      </c>
      <c r="L218" s="120" t="str">
        <f t="shared" si="44"/>
        <v/>
      </c>
      <c r="M218" s="120" t="str">
        <f t="shared" si="44"/>
        <v/>
      </c>
      <c r="N218" s="120" t="str">
        <f t="shared" si="44"/>
        <v/>
      </c>
      <c r="O218" s="120" t="str">
        <f t="shared" si="44"/>
        <v/>
      </c>
      <c r="P218" s="120" t="str">
        <f t="shared" si="44"/>
        <v/>
      </c>
      <c r="Q218" s="120" t="str">
        <f t="shared" si="44"/>
        <v/>
      </c>
      <c r="R218" s="120" t="str">
        <f t="shared" si="44"/>
        <v/>
      </c>
      <c r="S218" s="120" t="str">
        <f t="shared" si="44"/>
        <v/>
      </c>
      <c r="T218" s="120" t="str">
        <f t="shared" si="44"/>
        <v/>
      </c>
      <c r="U218" s="120" t="str">
        <f t="shared" si="44"/>
        <v/>
      </c>
      <c r="V218" s="120" t="str">
        <f t="shared" si="44"/>
        <v/>
      </c>
      <c r="W218" s="120" t="str">
        <f t="shared" si="44"/>
        <v/>
      </c>
      <c r="X218" s="120" t="str">
        <f t="shared" si="44"/>
        <v/>
      </c>
      <c r="Y218" s="120" t="str">
        <f t="shared" si="44"/>
        <v/>
      </c>
      <c r="Z218" s="120" t="str">
        <f t="shared" si="44"/>
        <v/>
      </c>
      <c r="AA218" s="120" t="str">
        <f t="shared" si="44"/>
        <v/>
      </c>
      <c r="AB218" s="120" t="str">
        <f t="shared" si="44"/>
        <v/>
      </c>
      <c r="AC218" s="120" t="str">
        <f t="shared" si="44"/>
        <v/>
      </c>
      <c r="AD218" s="120" t="str">
        <f t="shared" si="44"/>
        <v/>
      </c>
      <c r="AE218" s="120" t="str">
        <f t="shared" si="44"/>
        <v/>
      </c>
      <c r="AF218" s="120" t="str">
        <f t="shared" si="44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446" priority="177">
      <formula>S$9&gt;=20/24</formula>
    </cfRule>
    <cfRule type="expression" dxfId="2445" priority="178">
      <formula>AND(S$9&gt;=14/24,S$9&lt;20/24)</formula>
    </cfRule>
    <cfRule type="expression" dxfId="2444" priority="179">
      <formula>AND(S$9&gt;=8/24,S$9&lt;14/24)</formula>
    </cfRule>
    <cfRule type="expression" dxfId="2443" priority="180">
      <formula>S$9&lt;8/24</formula>
    </cfRule>
  </conditionalFormatting>
  <conditionalFormatting sqref="B8:AF10 AA70:AF70 B70:Q70 L32:Z33 L31:Q31 B71:AF71 B48:J50 C173:AF179 M36 N35:Q36 L29:Q29 L34:Q34 L49:T50 V35:W35 X34:Z35 AA72:AF79 L44:AF46 R11:T11 D51:J51 B51:C58 E52:J52 D52:D58 E53:H58 K48:K52 L72:Q72 B72:K79 B59:AF69 L51:Q58 M37:Z39 R53:Z58 S34:W34 B47:AF47 U11:Z12 X32:Y35 L73:Z79 AA48:AF51">
    <cfRule type="expression" dxfId="2442" priority="173">
      <formula>B$9&gt;=20/24</formula>
    </cfRule>
    <cfRule type="expression" dxfId="2441" priority="174">
      <formula>AND(B$9&gt;=14/24,B$9&lt;20/24)</formula>
    </cfRule>
    <cfRule type="expression" dxfId="2440" priority="175">
      <formula>AND(B$9&gt;=8/24,B$9&lt;14/24)</formula>
    </cfRule>
    <cfRule type="expression" dxfId="2439" priority="176">
      <formula>B$9&lt;8/24</formula>
    </cfRule>
  </conditionalFormatting>
  <conditionalFormatting sqref="B171:AF171">
    <cfRule type="expression" dxfId="2438" priority="169">
      <formula>B$9&gt;=20/24</formula>
    </cfRule>
    <cfRule type="expression" dxfId="2437" priority="170">
      <formula>AND(B$9&gt;=14/24,B$9&lt;20/24)</formula>
    </cfRule>
    <cfRule type="expression" dxfId="2436" priority="171">
      <formula>AND(B$9&gt;=8/24,B$9&lt;14/24)</formula>
    </cfRule>
    <cfRule type="expression" dxfId="2435" priority="172">
      <formula>B$9&lt;8/24</formula>
    </cfRule>
  </conditionalFormatting>
  <conditionalFormatting sqref="AL4:AL6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434" priority="164">
      <formula>L$9&gt;=20/24</formula>
    </cfRule>
    <cfRule type="expression" dxfId="2433" priority="165">
      <formula>AND(L$9&gt;=14/24,L$9&lt;20/24)</formula>
    </cfRule>
    <cfRule type="expression" dxfId="2432" priority="166">
      <formula>AND(L$9&gt;=8/24,L$9&lt;14/24)</formula>
    </cfRule>
    <cfRule type="expression" dxfId="2431" priority="167">
      <formula>L$9&lt;8/24</formula>
    </cfRule>
  </conditionalFormatting>
  <conditionalFormatting sqref="L35:M35">
    <cfRule type="expression" dxfId="2430" priority="160">
      <formula>L$9&gt;=20/24</formula>
    </cfRule>
    <cfRule type="expression" dxfId="2429" priority="161">
      <formula>AND(L$9&gt;=14/24,L$9&lt;20/24)</formula>
    </cfRule>
    <cfRule type="expression" dxfId="2428" priority="162">
      <formula>AND(L$9&gt;=8/24,L$9&lt;14/24)</formula>
    </cfRule>
    <cfRule type="expression" dxfId="2427" priority="163">
      <formula>L$9&lt;8/24</formula>
    </cfRule>
  </conditionalFormatting>
  <conditionalFormatting sqref="U13:Z13">
    <cfRule type="expression" dxfId="2426" priority="156">
      <formula>U$9&gt;=20/24</formula>
    </cfRule>
    <cfRule type="expression" dxfId="2425" priority="157">
      <formula>AND(U$9&gt;=14/24,U$9&lt;20/24)</formula>
    </cfRule>
    <cfRule type="expression" dxfId="2424" priority="158">
      <formula>AND(U$9&gt;=8/24,U$9&lt;14/24)</formula>
    </cfRule>
    <cfRule type="expression" dxfId="2423" priority="159">
      <formula>U$9&lt;8/24</formula>
    </cfRule>
  </conditionalFormatting>
  <conditionalFormatting sqref="R31:Z31">
    <cfRule type="expression" dxfId="2422" priority="152">
      <formula>R$9&gt;=20/24</formula>
    </cfRule>
    <cfRule type="expression" dxfId="2421" priority="153">
      <formula>AND(R$9&gt;=14/24,R$9&lt;20/24)</formula>
    </cfRule>
    <cfRule type="expression" dxfId="2420" priority="154">
      <formula>AND(R$9&gt;=8/24,R$9&lt;14/24)</formula>
    </cfRule>
    <cfRule type="expression" dxfId="2419" priority="155">
      <formula>R$9&lt;8/24</formula>
    </cfRule>
  </conditionalFormatting>
  <conditionalFormatting sqref="R48:Z48">
    <cfRule type="expression" dxfId="2418" priority="148">
      <formula>R$9&gt;=20/24</formula>
    </cfRule>
    <cfRule type="expression" dxfId="2417" priority="149">
      <formula>AND(R$9&gt;=14/24,R$9&lt;20/24)</formula>
    </cfRule>
    <cfRule type="expression" dxfId="2416" priority="150">
      <formula>AND(R$9&gt;=8/24,R$9&lt;14/24)</formula>
    </cfRule>
    <cfRule type="expression" dxfId="2415" priority="151">
      <formula>R$9&lt;8/24</formula>
    </cfRule>
  </conditionalFormatting>
  <conditionalFormatting sqref="R70:Z70">
    <cfRule type="expression" dxfId="2414" priority="144">
      <formula>R$9&gt;=20/24</formula>
    </cfRule>
    <cfRule type="expression" dxfId="2413" priority="145">
      <formula>AND(R$9&gt;=14/24,R$9&lt;20/24)</formula>
    </cfRule>
    <cfRule type="expression" dxfId="2412" priority="146">
      <formula>AND(R$9&gt;=8/24,R$9&lt;14/24)</formula>
    </cfRule>
    <cfRule type="expression" dxfId="2411" priority="147">
      <formula>R$9&lt;8/24</formula>
    </cfRule>
  </conditionalFormatting>
  <conditionalFormatting sqref="R72:Z72">
    <cfRule type="expression" dxfId="2410" priority="140">
      <formula>R$9&gt;=20/24</formula>
    </cfRule>
    <cfRule type="expression" dxfId="2409" priority="141">
      <formula>AND(R$9&gt;=14/24,R$9&lt;20/24)</formula>
    </cfRule>
    <cfRule type="expression" dxfId="2408" priority="142">
      <formula>AND(R$9&gt;=8/24,R$9&lt;14/24)</formula>
    </cfRule>
    <cfRule type="expression" dxfId="2407" priority="143">
      <formula>R$9&lt;8/24</formula>
    </cfRule>
  </conditionalFormatting>
  <conditionalFormatting sqref="L11:Z27">
    <cfRule type="expression" dxfId="2406" priority="136">
      <formula>L$9&gt;=20/24</formula>
    </cfRule>
    <cfRule type="expression" dxfId="2405" priority="137">
      <formula>AND(L$9&gt;=14/24,L$9&lt;20/24)</formula>
    </cfRule>
    <cfRule type="expression" dxfId="2404" priority="138">
      <formula>AND(L$9&gt;=8/24,L$9&lt;14/24)</formula>
    </cfRule>
    <cfRule type="expression" dxfId="2403" priority="139">
      <formula>L$9&lt;8/24</formula>
    </cfRule>
  </conditionalFormatting>
  <conditionalFormatting sqref="L40:Z40">
    <cfRule type="expression" dxfId="2402" priority="132">
      <formula>L$9&gt;=20/24</formula>
    </cfRule>
    <cfRule type="expression" dxfId="2401" priority="133">
      <formula>AND(L$9&gt;=14/24,L$9&lt;20/24)</formula>
    </cfRule>
    <cfRule type="expression" dxfId="2400" priority="134">
      <formula>AND(L$9&gt;=8/24,L$9&lt;14/24)</formula>
    </cfRule>
    <cfRule type="expression" dxfId="2399" priority="135">
      <formula>L$9&lt;8/24</formula>
    </cfRule>
  </conditionalFormatting>
  <conditionalFormatting sqref="L41:Z41">
    <cfRule type="expression" dxfId="2398" priority="128">
      <formula>L$9&gt;=20/24</formula>
    </cfRule>
    <cfRule type="expression" dxfId="2397" priority="129">
      <formula>AND(L$9&gt;=14/24,L$9&lt;20/24)</formula>
    </cfRule>
    <cfRule type="expression" dxfId="2396" priority="130">
      <formula>AND(L$9&gt;=8/24,L$9&lt;14/24)</formula>
    </cfRule>
    <cfRule type="expression" dxfId="2395" priority="131">
      <formula>L$9&lt;8/24</formula>
    </cfRule>
  </conditionalFormatting>
  <conditionalFormatting sqref="L36:L39">
    <cfRule type="expression" dxfId="2394" priority="124">
      <formula>L$9&gt;=20/24</formula>
    </cfRule>
    <cfRule type="expression" dxfId="2393" priority="125">
      <formula>AND(L$9&gt;=14/24,L$9&lt;20/24)</formula>
    </cfRule>
    <cfRule type="expression" dxfId="2392" priority="126">
      <formula>AND(L$9&gt;=8/24,L$9&lt;14/24)</formula>
    </cfRule>
    <cfRule type="expression" dxfId="2391" priority="127">
      <formula>L$9&lt;8/24</formula>
    </cfRule>
  </conditionalFormatting>
  <conditionalFormatting sqref="R29:AD29">
    <cfRule type="expression" dxfId="2390" priority="120">
      <formula>R$9&gt;=20/24</formula>
    </cfRule>
    <cfRule type="expression" dxfId="2389" priority="121">
      <formula>AND(R$9&gt;=14/24,R$9&lt;20/24)</formula>
    </cfRule>
    <cfRule type="expression" dxfId="2388" priority="122">
      <formula>AND(R$9&gt;=8/24,R$9&lt;14/24)</formula>
    </cfRule>
    <cfRule type="expression" dxfId="2387" priority="123">
      <formula>R$9&lt;8/24</formula>
    </cfRule>
  </conditionalFormatting>
  <conditionalFormatting sqref="R12:T27 U14:Z27 AA16:AF27">
    <cfRule type="expression" dxfId="2386" priority="116">
      <formula>R$9&gt;=20/24</formula>
    </cfRule>
    <cfRule type="expression" dxfId="2385" priority="117">
      <formula>AND(R$9&gt;=14/24,R$9&lt;20/24)</formula>
    </cfRule>
    <cfRule type="expression" dxfId="2384" priority="118">
      <formula>AND(R$9&gt;=8/24,R$9&lt;14/24)</formula>
    </cfRule>
    <cfRule type="expression" dxfId="2383" priority="119">
      <formula>R$9&lt;8/24</formula>
    </cfRule>
  </conditionalFormatting>
  <conditionalFormatting sqref="R34:R39 S35:U39 V35:V36 V36:Z39">
    <cfRule type="expression" dxfId="2382" priority="112">
      <formula>R$9&gt;=20/24</formula>
    </cfRule>
    <cfRule type="expression" dxfId="2381" priority="113">
      <formula>AND(R$9&gt;=14/24,R$9&lt;20/24)</formula>
    </cfRule>
    <cfRule type="expression" dxfId="2380" priority="114">
      <formula>AND(R$9&gt;=8/24,R$9&lt;14/24)</formula>
    </cfRule>
    <cfRule type="expression" dxfId="2379" priority="115">
      <formula>R$9&lt;8/24</formula>
    </cfRule>
  </conditionalFormatting>
  <conditionalFormatting sqref="R40:Z40">
    <cfRule type="expression" dxfId="2378" priority="108">
      <formula>R$9&gt;=20/24</formula>
    </cfRule>
    <cfRule type="expression" dxfId="2377" priority="109">
      <formula>AND(R$9&gt;=14/24,R$9&lt;20/24)</formula>
    </cfRule>
    <cfRule type="expression" dxfId="2376" priority="110">
      <formula>AND(R$9&gt;=8/24,R$9&lt;14/24)</formula>
    </cfRule>
    <cfRule type="expression" dxfId="2375" priority="111">
      <formula>R$9&lt;8/24</formula>
    </cfRule>
  </conditionalFormatting>
  <conditionalFormatting sqref="R41:Z41">
    <cfRule type="expression" dxfId="2374" priority="104">
      <formula>R$9&gt;=20/24</formula>
    </cfRule>
    <cfRule type="expression" dxfId="2373" priority="105">
      <formula>AND(R$9&gt;=14/24,R$9&lt;20/24)</formula>
    </cfRule>
    <cfRule type="expression" dxfId="2372" priority="106">
      <formula>AND(R$9&gt;=8/24,R$9&lt;14/24)</formula>
    </cfRule>
    <cfRule type="expression" dxfId="2371" priority="107">
      <formula>R$9&lt;8/24</formula>
    </cfRule>
  </conditionalFormatting>
  <conditionalFormatting sqref="R51:Z52 AA52:AF52 AB53:AE53">
    <cfRule type="expression" dxfId="2370" priority="100">
      <formula>R$9&gt;=20/24</formula>
    </cfRule>
    <cfRule type="expression" dxfId="2369" priority="101">
      <formula>AND(R$9&gt;=14/24,R$9&lt;20/24)</formula>
    </cfRule>
    <cfRule type="expression" dxfId="2368" priority="102">
      <formula>AND(R$9&gt;=8/24,R$9&lt;14/24)</formula>
    </cfRule>
    <cfRule type="expression" dxfId="2367" priority="103">
      <formula>R$9&lt;8/24</formula>
    </cfRule>
  </conditionalFormatting>
  <conditionalFormatting sqref="AA83:AF86">
    <cfRule type="expression" dxfId="2366" priority="96">
      <formula>AA$9&gt;=20/24</formula>
    </cfRule>
    <cfRule type="expression" dxfId="2365" priority="97">
      <formula>AND(AA$9&gt;=14/24,AA$9&lt;20/24)</formula>
    </cfRule>
    <cfRule type="expression" dxfId="2364" priority="98">
      <formula>AND(AA$9&gt;=8/24,AA$9&lt;14/24)</formula>
    </cfRule>
    <cfRule type="expression" dxfId="2363" priority="99">
      <formula>AA$9&lt;8/24</formula>
    </cfRule>
  </conditionalFormatting>
  <conditionalFormatting sqref="I53:K58">
    <cfRule type="expression" dxfId="2362" priority="92">
      <formula>I$9&gt;=20/24</formula>
    </cfRule>
    <cfRule type="expression" dxfId="2361" priority="93">
      <formula>AND(I$9&gt;=14/24,I$9&lt;20/24)</formula>
    </cfRule>
    <cfRule type="expression" dxfId="2360" priority="94">
      <formula>AND(I$9&gt;=8/24,I$9&lt;14/24)</formula>
    </cfRule>
    <cfRule type="expression" dxfId="2359" priority="95">
      <formula>I$9&lt;8/24</formula>
    </cfRule>
  </conditionalFormatting>
  <conditionalFormatting sqref="B83:K86">
    <cfRule type="expression" dxfId="2358" priority="88">
      <formula>B$9&gt;=20/24</formula>
    </cfRule>
    <cfRule type="expression" dxfId="2357" priority="89">
      <formula>AND(B$9&gt;=14/24,B$9&lt;20/24)</formula>
    </cfRule>
    <cfRule type="expression" dxfId="2356" priority="90">
      <formula>AND(B$9&gt;=8/24,B$9&lt;14/24)</formula>
    </cfRule>
    <cfRule type="expression" dxfId="2355" priority="91">
      <formula>B$9&lt;8/24</formula>
    </cfRule>
  </conditionalFormatting>
  <conditionalFormatting sqref="L83:Q86">
    <cfRule type="expression" dxfId="2354" priority="84">
      <formula>L$9&gt;=20/24</formula>
    </cfRule>
    <cfRule type="expression" dxfId="2353" priority="85">
      <formula>AND(L$9&gt;=14/24,L$9&lt;20/24)</formula>
    </cfRule>
    <cfRule type="expression" dxfId="2352" priority="86">
      <formula>AND(L$9&gt;=8/24,L$9&lt;14/24)</formula>
    </cfRule>
    <cfRule type="expression" dxfId="2351" priority="87">
      <formula>L$9&lt;8/24</formula>
    </cfRule>
  </conditionalFormatting>
  <conditionalFormatting sqref="R83:Z86">
    <cfRule type="expression" dxfId="2350" priority="80">
      <formula>R$9&gt;=20/24</formula>
    </cfRule>
    <cfRule type="expression" dxfId="2349" priority="81">
      <formula>AND(R$9&gt;=14/24,R$9&lt;20/24)</formula>
    </cfRule>
    <cfRule type="expression" dxfId="2348" priority="82">
      <formula>AND(R$9&gt;=8/24,R$9&lt;14/24)</formula>
    </cfRule>
    <cfRule type="expression" dxfId="2347" priority="83">
      <formula>R$9&lt;8/24</formula>
    </cfRule>
  </conditionalFormatting>
  <conditionalFormatting sqref="AG42 B11:AF47">
    <cfRule type="expression" dxfId="2346" priority="79">
      <formula>B11&gt;$AG11</formula>
    </cfRule>
  </conditionalFormatting>
  <conditionalFormatting sqref="T192:AX192">
    <cfRule type="expression" dxfId="2345" priority="75">
      <formula>T$9&gt;=20/24</formula>
    </cfRule>
    <cfRule type="expression" dxfId="2344" priority="76">
      <formula>AND(T$9&gt;=14/24,T$9&lt;20/24)</formula>
    </cfRule>
    <cfRule type="expression" dxfId="2343" priority="77">
      <formula>AND(T$9&gt;=8/24,T$9&lt;14/24)</formula>
    </cfRule>
    <cfRule type="expression" dxfId="2342" priority="78">
      <formula>T$9&lt;8/24</formula>
    </cfRule>
  </conditionalFormatting>
  <conditionalFormatting sqref="A11:A86 A88:A180">
    <cfRule type="expression" dxfId="2341" priority="74">
      <formula>$AH11=0</formula>
    </cfRule>
  </conditionalFormatting>
  <conditionalFormatting sqref="AA87:AF87">
    <cfRule type="expression" dxfId="2340" priority="70">
      <formula>AA$9&gt;=20/24</formula>
    </cfRule>
    <cfRule type="expression" dxfId="2339" priority="71">
      <formula>AND(AA$9&gt;=14/24,AA$9&lt;20/24)</formula>
    </cfRule>
    <cfRule type="expression" dxfId="2338" priority="72">
      <formula>AND(AA$9&gt;=8/24,AA$9&lt;14/24)</formula>
    </cfRule>
    <cfRule type="expression" dxfId="2337" priority="73">
      <formula>AA$9&lt;8/24</formula>
    </cfRule>
  </conditionalFormatting>
  <conditionalFormatting sqref="B87:K87">
    <cfRule type="expression" dxfId="2336" priority="66">
      <formula>B$9&gt;=20/24</formula>
    </cfRule>
    <cfRule type="expression" dxfId="2335" priority="67">
      <formula>AND(B$9&gt;=14/24,B$9&lt;20/24)</formula>
    </cfRule>
    <cfRule type="expression" dxfId="2334" priority="68">
      <formula>AND(B$9&gt;=8/24,B$9&lt;14/24)</formula>
    </cfRule>
    <cfRule type="expression" dxfId="2333" priority="69">
      <formula>B$9&lt;8/24</formula>
    </cfRule>
  </conditionalFormatting>
  <conditionalFormatting sqref="L87:Q87">
    <cfRule type="expression" dxfId="2332" priority="62">
      <formula>L$9&gt;=20/24</formula>
    </cfRule>
    <cfRule type="expression" dxfId="2331" priority="63">
      <formula>AND(L$9&gt;=14/24,L$9&lt;20/24)</formula>
    </cfRule>
    <cfRule type="expression" dxfId="2330" priority="64">
      <formula>AND(L$9&gt;=8/24,L$9&lt;14/24)</formula>
    </cfRule>
    <cfRule type="expression" dxfId="2329" priority="65">
      <formula>L$9&lt;8/24</formula>
    </cfRule>
  </conditionalFormatting>
  <conditionalFormatting sqref="R87:Z87">
    <cfRule type="expression" dxfId="2328" priority="58">
      <formula>R$9&gt;=20/24</formula>
    </cfRule>
    <cfRule type="expression" dxfId="2327" priority="59">
      <formula>AND(R$9&gt;=14/24,R$9&lt;20/24)</formula>
    </cfRule>
    <cfRule type="expression" dxfId="2326" priority="60">
      <formula>AND(R$9&gt;=8/24,R$9&lt;14/24)</formula>
    </cfRule>
    <cfRule type="expression" dxfId="2325" priority="61">
      <formula>R$9&lt;8/24</formula>
    </cfRule>
  </conditionalFormatting>
  <conditionalFormatting sqref="A87">
    <cfRule type="expression" dxfId="2324" priority="57">
      <formula>$AH87=0</formula>
    </cfRule>
  </conditionalFormatting>
  <conditionalFormatting sqref="B28:AF28">
    <cfRule type="expression" dxfId="2323" priority="53">
      <formula>B$9&gt;=20/24</formula>
    </cfRule>
    <cfRule type="expression" dxfId="2322" priority="54">
      <formula>AND(B$9&gt;=14/24,B$9&lt;20/24)</formula>
    </cfRule>
    <cfRule type="expression" dxfId="2321" priority="55">
      <formula>AND(B$9&gt;=8/24,B$9&lt;14/24)</formula>
    </cfRule>
    <cfRule type="expression" dxfId="2320" priority="56">
      <formula>B$9&lt;8/24</formula>
    </cfRule>
  </conditionalFormatting>
  <conditionalFormatting sqref="R28:AA28">
    <cfRule type="expression" dxfId="2319" priority="49">
      <formula>R$9&gt;=20/24</formula>
    </cfRule>
    <cfRule type="expression" dxfId="2318" priority="50">
      <formula>AND(R$9&gt;=14/24,R$9&lt;20/24)</formula>
    </cfRule>
    <cfRule type="expression" dxfId="2317" priority="51">
      <formula>AND(R$9&gt;=8/24,R$9&lt;14/24)</formula>
    </cfRule>
    <cfRule type="expression" dxfId="2316" priority="52">
      <formula>R$9&lt;8/24</formula>
    </cfRule>
  </conditionalFormatting>
  <conditionalFormatting sqref="AA20:AA27">
    <cfRule type="expression" dxfId="2315" priority="45">
      <formula>AA$9&gt;=20/24</formula>
    </cfRule>
    <cfRule type="expression" dxfId="2314" priority="46">
      <formula>AND(AA$9&gt;=14/24,AA$9&lt;20/24)</formula>
    </cfRule>
    <cfRule type="expression" dxfId="2313" priority="47">
      <formula>AND(AA$9&gt;=8/24,AA$9&lt;14/24)</formula>
    </cfRule>
    <cfRule type="expression" dxfId="2312" priority="48">
      <formula>AA$9&lt;8/24</formula>
    </cfRule>
  </conditionalFormatting>
  <conditionalFormatting sqref="AA53:AA58">
    <cfRule type="expression" dxfId="2311" priority="41">
      <formula>AA$9&gt;=20/24</formula>
    </cfRule>
    <cfRule type="expression" dxfId="2310" priority="42">
      <formula>AND(AA$9&gt;=14/24,AA$9&lt;20/24)</formula>
    </cfRule>
    <cfRule type="expression" dxfId="2309" priority="43">
      <formula>AND(AA$9&gt;=8/24,AA$9&lt;14/24)</formula>
    </cfRule>
    <cfRule type="expression" dxfId="2308" priority="44">
      <formula>AA$9&lt;8/24</formula>
    </cfRule>
  </conditionalFormatting>
  <conditionalFormatting sqref="AB20:AB27">
    <cfRule type="expression" dxfId="2307" priority="37">
      <formula>AB$9&gt;=20/24</formula>
    </cfRule>
    <cfRule type="expression" dxfId="2306" priority="38">
      <formula>AND(AB$9&gt;=14/24,AB$9&lt;20/24)</formula>
    </cfRule>
    <cfRule type="expression" dxfId="2305" priority="39">
      <formula>AND(AB$9&gt;=8/24,AB$9&lt;14/24)</formula>
    </cfRule>
    <cfRule type="expression" dxfId="2304" priority="40">
      <formula>AB$9&lt;8/24</formula>
    </cfRule>
  </conditionalFormatting>
  <conditionalFormatting sqref="AB54:AB58">
    <cfRule type="expression" dxfId="2303" priority="33">
      <formula>AB$9&gt;=20/24</formula>
    </cfRule>
    <cfRule type="expression" dxfId="2302" priority="34">
      <formula>AND(AB$9&gt;=14/24,AB$9&lt;20/24)</formula>
    </cfRule>
    <cfRule type="expression" dxfId="2301" priority="35">
      <formula>AND(AB$9&gt;=8/24,AB$9&lt;14/24)</formula>
    </cfRule>
    <cfRule type="expression" dxfId="2300" priority="36">
      <formula>AB$9&lt;8/24</formula>
    </cfRule>
  </conditionalFormatting>
  <conditionalFormatting sqref="AC20:AC27">
    <cfRule type="expression" dxfId="2299" priority="29">
      <formula>AC$9&gt;=20/24</formula>
    </cfRule>
    <cfRule type="expression" dxfId="2298" priority="30">
      <formula>AND(AC$9&gt;=14/24,AC$9&lt;20/24)</formula>
    </cfRule>
    <cfRule type="expression" dxfId="2297" priority="31">
      <formula>AND(AC$9&gt;=8/24,AC$9&lt;14/24)</formula>
    </cfRule>
    <cfRule type="expression" dxfId="2296" priority="32">
      <formula>AC$9&lt;8/24</formula>
    </cfRule>
  </conditionalFormatting>
  <conditionalFormatting sqref="AC54:AD58">
    <cfRule type="expression" dxfId="2295" priority="25">
      <formula>AC$9&gt;=20/24</formula>
    </cfRule>
    <cfRule type="expression" dxfId="2294" priority="26">
      <formula>AND(AC$9&gt;=14/24,AC$9&lt;20/24)</formula>
    </cfRule>
    <cfRule type="expression" dxfId="2293" priority="27">
      <formula>AND(AC$9&gt;=8/24,AC$9&lt;14/24)</formula>
    </cfRule>
    <cfRule type="expression" dxfId="2292" priority="28">
      <formula>AC$9&lt;8/24</formula>
    </cfRule>
  </conditionalFormatting>
  <conditionalFormatting sqref="AD20:AD27">
    <cfRule type="expression" dxfId="2291" priority="21">
      <formula>AD$9&gt;=20/24</formula>
    </cfRule>
    <cfRule type="expression" dxfId="2290" priority="22">
      <formula>AND(AD$9&gt;=14/24,AD$9&lt;20/24)</formula>
    </cfRule>
    <cfRule type="expression" dxfId="2289" priority="23">
      <formula>AND(AD$9&gt;=8/24,AD$9&lt;14/24)</formula>
    </cfRule>
    <cfRule type="expression" dxfId="2288" priority="24">
      <formula>AD$9&lt;8/24</formula>
    </cfRule>
  </conditionalFormatting>
  <conditionalFormatting sqref="AE21:AE27">
    <cfRule type="expression" dxfId="2287" priority="17">
      <formula>AE$9&gt;=20/24</formula>
    </cfRule>
    <cfRule type="expression" dxfId="2286" priority="18">
      <formula>AND(AE$9&gt;=14/24,AE$9&lt;20/24)</formula>
    </cfRule>
    <cfRule type="expression" dxfId="2285" priority="19">
      <formula>AND(AE$9&gt;=8/24,AE$9&lt;14/24)</formula>
    </cfRule>
    <cfRule type="expression" dxfId="2284" priority="20">
      <formula>AE$9&lt;8/24</formula>
    </cfRule>
  </conditionalFormatting>
  <conditionalFormatting sqref="AE54:AE58">
    <cfRule type="expression" dxfId="2283" priority="13">
      <formula>AE$9&gt;=20/24</formula>
    </cfRule>
    <cfRule type="expression" dxfId="2282" priority="14">
      <formula>AND(AE$9&gt;=14/24,AE$9&lt;20/24)</formula>
    </cfRule>
    <cfRule type="expression" dxfId="2281" priority="15">
      <formula>AND(AE$9&gt;=8/24,AE$9&lt;14/24)</formula>
    </cfRule>
    <cfRule type="expression" dxfId="2280" priority="16">
      <formula>AE$9&lt;8/24</formula>
    </cfRule>
  </conditionalFormatting>
  <conditionalFormatting sqref="AF21:AF27">
    <cfRule type="expression" dxfId="2279" priority="9">
      <formula>AF$9&gt;=20/24</formula>
    </cfRule>
    <cfRule type="expression" dxfId="2278" priority="10">
      <formula>AND(AF$9&gt;=14/24,AF$9&lt;20/24)</formula>
    </cfRule>
    <cfRule type="expression" dxfId="2277" priority="11">
      <formula>AND(AF$9&gt;=8/24,AF$9&lt;14/24)</formula>
    </cfRule>
    <cfRule type="expression" dxfId="2276" priority="12">
      <formula>AF$9&lt;8/24</formula>
    </cfRule>
  </conditionalFormatting>
  <conditionalFormatting sqref="AF53">
    <cfRule type="expression" dxfId="2275" priority="5">
      <formula>AF$9&gt;=20/24</formula>
    </cfRule>
    <cfRule type="expression" dxfId="2274" priority="6">
      <formula>AND(AF$9&gt;=14/24,AF$9&lt;20/24)</formula>
    </cfRule>
    <cfRule type="expression" dxfId="2273" priority="7">
      <formula>AND(AF$9&gt;=8/24,AF$9&lt;14/24)</formula>
    </cfRule>
    <cfRule type="expression" dxfId="2272" priority="8">
      <formula>AF$9&lt;8/24</formula>
    </cfRule>
  </conditionalFormatting>
  <conditionalFormatting sqref="AF54:AF58">
    <cfRule type="expression" dxfId="2271" priority="1">
      <formula>AF$9&gt;=20/24</formula>
    </cfRule>
    <cfRule type="expression" dxfId="2270" priority="2">
      <formula>AND(AF$9&gt;=14/24,AF$9&lt;20/24)</formula>
    </cfRule>
    <cfRule type="expression" dxfId="2269" priority="3">
      <formula>AND(AF$9&gt;=8/24,AF$9&lt;14/24)</formula>
    </cfRule>
    <cfRule type="expression" dxfId="2268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B45" sqref="AB45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7" width="5.7109375" customWidth="1"/>
    <col min="1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21</v>
      </c>
      <c r="D4" s="324">
        <f ca="1">IFERROR(DATE(2021,5,14)+C4,"")</f>
        <v>44351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256</v>
      </c>
      <c r="C5" s="32">
        <f t="shared" ref="C5:AF5" si="0">C59</f>
        <v>259.8</v>
      </c>
      <c r="D5" s="32">
        <f t="shared" si="0"/>
        <v>228.57999999999998</v>
      </c>
      <c r="E5" s="32">
        <f t="shared" si="0"/>
        <v>231.6</v>
      </c>
      <c r="F5" s="32">
        <f t="shared" si="0"/>
        <v>160.01</v>
      </c>
      <c r="G5" s="32">
        <f t="shared" si="0"/>
        <v>153.72</v>
      </c>
      <c r="H5" s="32">
        <f t="shared" si="0"/>
        <v>147.63</v>
      </c>
      <c r="I5" s="32">
        <f t="shared" si="0"/>
        <v>256.82</v>
      </c>
      <c r="J5" s="32">
        <f t="shared" si="0"/>
        <v>287.48</v>
      </c>
      <c r="K5" s="32">
        <f t="shared" si="0"/>
        <v>284.37</v>
      </c>
      <c r="L5" s="32">
        <f t="shared" si="0"/>
        <v>290.3</v>
      </c>
      <c r="M5" s="32">
        <f t="shared" si="0"/>
        <v>331.8</v>
      </c>
      <c r="N5" s="32">
        <f t="shared" si="0"/>
        <v>342.6</v>
      </c>
      <c r="O5" s="32">
        <f t="shared" si="0"/>
        <v>351.6</v>
      </c>
      <c r="P5" s="32">
        <f t="shared" si="0"/>
        <v>330.08000000000004</v>
      </c>
      <c r="Q5" s="32">
        <f t="shared" si="0"/>
        <v>361.9</v>
      </c>
      <c r="R5" s="32">
        <f t="shared" si="0"/>
        <v>362.5</v>
      </c>
      <c r="S5" s="32">
        <f t="shared" si="0"/>
        <v>302.5</v>
      </c>
      <c r="T5" s="32">
        <f t="shared" si="0"/>
        <v>276.2</v>
      </c>
      <c r="U5" s="32">
        <f t="shared" si="0"/>
        <v>268.5</v>
      </c>
      <c r="V5" s="32">
        <f t="shared" si="0"/>
        <v>255.5</v>
      </c>
      <c r="W5" s="32">
        <f t="shared" si="0"/>
        <v>261.5</v>
      </c>
      <c r="X5" s="32">
        <f t="shared" si="0"/>
        <v>263.5</v>
      </c>
      <c r="Y5" s="32">
        <f t="shared" si="0"/>
        <v>368.5</v>
      </c>
      <c r="Z5" s="32">
        <f t="shared" si="0"/>
        <v>428.4</v>
      </c>
      <c r="AA5" s="32">
        <f t="shared" si="0"/>
        <v>413</v>
      </c>
      <c r="AB5" s="32">
        <f t="shared" si="0"/>
        <v>419.4</v>
      </c>
      <c r="AC5" s="32">
        <f t="shared" si="0"/>
        <v>431.6</v>
      </c>
      <c r="AD5" s="32">
        <f t="shared" si="0"/>
        <v>301.7</v>
      </c>
      <c r="AE5" s="32">
        <f t="shared" si="0"/>
        <v>226</v>
      </c>
      <c r="AF5" s="32">
        <f t="shared" si="0"/>
        <v>216.3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1127MW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Load=927</v>
      </c>
      <c r="B7" s="36">
        <f t="shared" ref="B7:AF7" si="1">B65</f>
        <v>1030.94</v>
      </c>
      <c r="C7" s="36">
        <f t="shared" si="1"/>
        <v>1014.94</v>
      </c>
      <c r="D7" s="36">
        <f t="shared" si="1"/>
        <v>980.62000000000012</v>
      </c>
      <c r="E7" s="36">
        <f t="shared" si="1"/>
        <v>988.24</v>
      </c>
      <c r="F7" s="36">
        <f t="shared" si="1"/>
        <v>955.25</v>
      </c>
      <c r="G7" s="36">
        <f t="shared" si="1"/>
        <v>947.46</v>
      </c>
      <c r="H7" s="36">
        <f t="shared" si="1"/>
        <v>927.47</v>
      </c>
      <c r="I7" s="36">
        <f t="shared" si="1"/>
        <v>985.96</v>
      </c>
      <c r="J7" s="36">
        <f t="shared" si="1"/>
        <v>1018.62</v>
      </c>
      <c r="K7" s="36">
        <f t="shared" si="1"/>
        <v>1069.0100000000002</v>
      </c>
      <c r="L7" s="36">
        <f>L65</f>
        <v>1085.8400000000001</v>
      </c>
      <c r="M7" s="36">
        <f t="shared" si="1"/>
        <v>1127.3400000000001</v>
      </c>
      <c r="N7" s="36">
        <f t="shared" si="1"/>
        <v>1134.04</v>
      </c>
      <c r="O7" s="36">
        <f t="shared" si="1"/>
        <v>1141.8399999999999</v>
      </c>
      <c r="P7" s="36">
        <f t="shared" si="1"/>
        <v>1151.92</v>
      </c>
      <c r="Q7" s="36">
        <f t="shared" si="1"/>
        <v>1151.7399999999998</v>
      </c>
      <c r="R7" s="36">
        <f t="shared" si="1"/>
        <v>1145.44</v>
      </c>
      <c r="S7" s="36">
        <f t="shared" si="1"/>
        <v>1059.24</v>
      </c>
      <c r="T7" s="36">
        <f t="shared" si="1"/>
        <v>1014.0400000000001</v>
      </c>
      <c r="U7" s="36">
        <f t="shared" si="1"/>
        <v>1037.44</v>
      </c>
      <c r="V7" s="36">
        <f t="shared" si="1"/>
        <v>1003.94</v>
      </c>
      <c r="W7" s="36">
        <f t="shared" si="1"/>
        <v>1008.54</v>
      </c>
      <c r="X7" s="36">
        <f t="shared" si="1"/>
        <v>1020.84</v>
      </c>
      <c r="Y7" s="36">
        <f t="shared" si="1"/>
        <v>1123.6399999999999</v>
      </c>
      <c r="Z7" s="36">
        <f t="shared" si="1"/>
        <v>1309.3399999999999</v>
      </c>
      <c r="AA7" s="36">
        <f t="shared" si="1"/>
        <v>1277.3400000000001</v>
      </c>
      <c r="AB7" s="36">
        <f t="shared" si="1"/>
        <v>1255.1399999999999</v>
      </c>
      <c r="AC7" s="36">
        <f t="shared" si="1"/>
        <v>1255.94</v>
      </c>
      <c r="AD7" s="36">
        <f t="shared" si="1"/>
        <v>1164.54</v>
      </c>
      <c r="AE7" s="36">
        <f t="shared" si="1"/>
        <v>1096.44</v>
      </c>
      <c r="AF7" s="36">
        <f t="shared" si="1"/>
        <v>1082.3399999999999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33.4</v>
      </c>
      <c r="C11" s="48">
        <v>32.299999999999997</v>
      </c>
      <c r="D11" s="48">
        <v>34.1</v>
      </c>
      <c r="E11" s="48">
        <v>37.299999999999997</v>
      </c>
      <c r="F11" s="48">
        <v>39.200000000000003</v>
      </c>
      <c r="G11" s="48">
        <v>42</v>
      </c>
      <c r="H11" s="48">
        <v>41.5</v>
      </c>
      <c r="I11" s="48">
        <v>41.3</v>
      </c>
      <c r="J11" s="48">
        <v>41.4</v>
      </c>
      <c r="K11" s="48">
        <v>41.7</v>
      </c>
      <c r="L11" s="49">
        <v>42.5</v>
      </c>
      <c r="M11" s="49">
        <v>42.5</v>
      </c>
      <c r="N11" s="49">
        <v>40.9</v>
      </c>
      <c r="O11" s="49">
        <v>40.6</v>
      </c>
      <c r="P11" s="49">
        <v>38.1</v>
      </c>
      <c r="Q11" s="49">
        <v>37.799999999999997</v>
      </c>
      <c r="R11" s="49">
        <v>37.700000000000003</v>
      </c>
      <c r="S11" s="49">
        <v>39</v>
      </c>
      <c r="T11" s="49">
        <v>35.700000000000003</v>
      </c>
      <c r="U11" s="49">
        <v>36.6</v>
      </c>
      <c r="V11" s="49">
        <v>37.4</v>
      </c>
      <c r="W11" s="49">
        <v>36.799999999999997</v>
      </c>
      <c r="X11" s="49">
        <v>36.799999999999997</v>
      </c>
      <c r="Y11" s="49">
        <v>36.799999999999997</v>
      </c>
      <c r="Z11" s="49">
        <v>38</v>
      </c>
      <c r="AA11" s="49">
        <v>35</v>
      </c>
      <c r="AB11" s="49">
        <v>35</v>
      </c>
      <c r="AC11" s="49">
        <v>35</v>
      </c>
      <c r="AD11" s="48">
        <v>52.5</v>
      </c>
      <c r="AE11" s="48">
        <v>51.4</v>
      </c>
      <c r="AF11" s="48">
        <v>48.5</v>
      </c>
      <c r="AG11" s="51">
        <v>60</v>
      </c>
      <c r="AH11" s="52">
        <f>MAX(B11:AF11)</f>
        <v>52.5</v>
      </c>
      <c r="AI11" s="53">
        <f>MIN(B11:AF11)</f>
        <v>32.299999999999997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50.4</v>
      </c>
      <c r="C12" s="56">
        <v>50.6</v>
      </c>
      <c r="D12" s="56">
        <v>50.5</v>
      </c>
      <c r="E12" s="56">
        <v>50.4</v>
      </c>
      <c r="F12" s="56">
        <v>50.2</v>
      </c>
      <c r="G12" s="56">
        <v>50.2</v>
      </c>
      <c r="H12" s="56">
        <v>50.3</v>
      </c>
      <c r="I12" s="56">
        <v>50.4</v>
      </c>
      <c r="J12" s="56">
        <v>50.3</v>
      </c>
      <c r="K12" s="56">
        <v>50.2</v>
      </c>
      <c r="L12" s="49">
        <v>50.4</v>
      </c>
      <c r="M12" s="49">
        <v>50.4</v>
      </c>
      <c r="N12" s="49">
        <v>50.4</v>
      </c>
      <c r="O12" s="49">
        <v>50.7</v>
      </c>
      <c r="P12" s="49">
        <v>50.4</v>
      </c>
      <c r="Q12" s="49">
        <v>50.4</v>
      </c>
      <c r="R12" s="49">
        <v>50.5</v>
      </c>
      <c r="S12" s="49">
        <v>50.5</v>
      </c>
      <c r="T12" s="49">
        <v>50.9</v>
      </c>
      <c r="U12" s="49">
        <v>51</v>
      </c>
      <c r="V12" s="49">
        <v>51.1</v>
      </c>
      <c r="W12" s="49">
        <v>50.5</v>
      </c>
      <c r="X12" s="49">
        <v>50.5</v>
      </c>
      <c r="Y12" s="49">
        <v>50.5</v>
      </c>
      <c r="Z12" s="49">
        <v>50.7</v>
      </c>
      <c r="AA12" s="49">
        <v>50.7</v>
      </c>
      <c r="AB12" s="49">
        <v>50.5</v>
      </c>
      <c r="AC12" s="49">
        <v>50.5</v>
      </c>
      <c r="AD12" s="56">
        <v>50.4</v>
      </c>
      <c r="AE12" s="56">
        <v>50.4</v>
      </c>
      <c r="AF12" s="56">
        <v>50.3</v>
      </c>
      <c r="AG12" s="57">
        <v>50</v>
      </c>
      <c r="AH12" s="52">
        <f t="shared" ref="AH12:AH77" si="2">MAX(B12:AF12)</f>
        <v>51.1</v>
      </c>
      <c r="AI12" s="53">
        <f t="shared" ref="AI12:AI77" si="3">MIN(B12:AF12)</f>
        <v>50.2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44.3</v>
      </c>
      <c r="C13" s="56">
        <v>43</v>
      </c>
      <c r="D13" s="56">
        <v>42.4</v>
      </c>
      <c r="E13" s="56">
        <v>42</v>
      </c>
      <c r="F13" s="56">
        <v>41.8</v>
      </c>
      <c r="G13" s="56">
        <v>41</v>
      </c>
      <c r="H13" s="56">
        <v>40.799999999999997</v>
      </c>
      <c r="I13" s="56">
        <v>40.700000000000003</v>
      </c>
      <c r="J13" s="56">
        <v>41.6</v>
      </c>
      <c r="K13" s="56">
        <v>41.1</v>
      </c>
      <c r="L13" s="49">
        <v>41.2</v>
      </c>
      <c r="M13" s="49">
        <v>41.2</v>
      </c>
      <c r="N13" s="49">
        <v>41.2</v>
      </c>
      <c r="O13" s="49">
        <v>41.2</v>
      </c>
      <c r="P13" s="49">
        <v>41.2</v>
      </c>
      <c r="Q13" s="49">
        <v>41.2</v>
      </c>
      <c r="R13" s="49">
        <v>38.4</v>
      </c>
      <c r="S13" s="49">
        <v>39.1</v>
      </c>
      <c r="T13" s="49">
        <v>40.4</v>
      </c>
      <c r="U13" s="49">
        <v>41</v>
      </c>
      <c r="V13" s="49">
        <v>42.3</v>
      </c>
      <c r="W13" s="49">
        <v>42.2</v>
      </c>
      <c r="X13" s="49">
        <v>42.2</v>
      </c>
      <c r="Y13" s="49">
        <v>42.2</v>
      </c>
      <c r="Z13" s="49">
        <v>42.8</v>
      </c>
      <c r="AA13" s="49">
        <v>43.1</v>
      </c>
      <c r="AB13" s="49">
        <v>44.3</v>
      </c>
      <c r="AC13" s="49">
        <v>44.3</v>
      </c>
      <c r="AD13" s="56">
        <v>42.9</v>
      </c>
      <c r="AE13" s="56">
        <v>43.9</v>
      </c>
      <c r="AF13" s="56">
        <v>43.3</v>
      </c>
      <c r="AG13" s="59">
        <v>45</v>
      </c>
      <c r="AH13" s="52">
        <f t="shared" si="2"/>
        <v>44.3</v>
      </c>
      <c r="AI13" s="53">
        <f t="shared" si="3"/>
        <v>38.4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16</v>
      </c>
      <c r="C14" s="56">
        <v>16</v>
      </c>
      <c r="D14" s="56">
        <v>16</v>
      </c>
      <c r="E14" s="56">
        <v>16</v>
      </c>
      <c r="F14" s="56">
        <v>16</v>
      </c>
      <c r="G14" s="56">
        <v>16</v>
      </c>
      <c r="H14" s="56">
        <v>16</v>
      </c>
      <c r="I14" s="56">
        <v>16</v>
      </c>
      <c r="J14" s="56">
        <v>22.9</v>
      </c>
      <c r="K14" s="56">
        <v>22.9</v>
      </c>
      <c r="L14" s="49">
        <v>22.9</v>
      </c>
      <c r="M14" s="49">
        <v>22.9</v>
      </c>
      <c r="N14" s="49">
        <v>22.9</v>
      </c>
      <c r="O14" s="49">
        <v>22.9</v>
      </c>
      <c r="P14" s="49">
        <v>22.9</v>
      </c>
      <c r="Q14" s="49">
        <v>22.9</v>
      </c>
      <c r="R14" s="49">
        <v>22.9</v>
      </c>
      <c r="S14" s="49">
        <v>22.9</v>
      </c>
      <c r="T14" s="49">
        <v>22.9</v>
      </c>
      <c r="U14" s="49">
        <v>22.9</v>
      </c>
      <c r="V14" s="49">
        <v>22.9</v>
      </c>
      <c r="W14" s="49">
        <v>22.9</v>
      </c>
      <c r="X14" s="49">
        <v>22.9</v>
      </c>
      <c r="Y14" s="49">
        <v>22.9</v>
      </c>
      <c r="Z14" s="49">
        <v>21</v>
      </c>
      <c r="AA14" s="49">
        <v>21</v>
      </c>
      <c r="AB14" s="49">
        <v>21</v>
      </c>
      <c r="AC14" s="49">
        <v>21</v>
      </c>
      <c r="AD14" s="49">
        <v>21</v>
      </c>
      <c r="AE14" s="49">
        <v>21</v>
      </c>
      <c r="AF14" s="49">
        <v>21</v>
      </c>
      <c r="AG14" s="59">
        <v>25</v>
      </c>
      <c r="AH14" s="52">
        <f t="shared" si="2"/>
        <v>22.9</v>
      </c>
      <c r="AI14" s="53">
        <f t="shared" si="3"/>
        <v>16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</v>
      </c>
      <c r="C15" s="56">
        <v>25.1</v>
      </c>
      <c r="D15" s="56">
        <v>25</v>
      </c>
      <c r="E15" s="56">
        <v>23.8</v>
      </c>
      <c r="F15" s="56">
        <v>23.8</v>
      </c>
      <c r="G15" s="56">
        <v>23.9</v>
      </c>
      <c r="H15" s="56">
        <v>23.1</v>
      </c>
      <c r="I15" s="56">
        <v>23.2</v>
      </c>
      <c r="J15" s="56">
        <v>23</v>
      </c>
      <c r="K15" s="56">
        <v>22.1</v>
      </c>
      <c r="L15" s="49">
        <v>21.6</v>
      </c>
      <c r="M15" s="49">
        <v>21.6</v>
      </c>
      <c r="N15" s="49">
        <v>21.6</v>
      </c>
      <c r="O15" s="49">
        <v>20.399999999999999</v>
      </c>
      <c r="P15" s="49">
        <v>22.8</v>
      </c>
      <c r="Q15" s="49">
        <v>22.7</v>
      </c>
      <c r="R15" s="49">
        <v>24</v>
      </c>
      <c r="S15" s="49">
        <v>24</v>
      </c>
      <c r="T15" s="49">
        <v>24</v>
      </c>
      <c r="U15" s="49">
        <v>24.8</v>
      </c>
      <c r="V15" s="49">
        <v>24.8</v>
      </c>
      <c r="W15" s="49">
        <v>24.9</v>
      </c>
      <c r="X15" s="49">
        <v>24.9</v>
      </c>
      <c r="Y15" s="49">
        <v>24.9</v>
      </c>
      <c r="Z15" s="49">
        <v>24.7</v>
      </c>
      <c r="AA15" s="49">
        <v>25</v>
      </c>
      <c r="AB15" s="49">
        <v>24.9</v>
      </c>
      <c r="AC15" s="49">
        <v>24.9</v>
      </c>
      <c r="AD15" s="49">
        <v>24.9</v>
      </c>
      <c r="AE15" s="49">
        <v>24.8</v>
      </c>
      <c r="AF15" s="49">
        <v>24.8</v>
      </c>
      <c r="AG15" s="59">
        <v>25</v>
      </c>
      <c r="AH15" s="52">
        <f t="shared" si="2"/>
        <v>25.1</v>
      </c>
      <c r="AI15" s="53">
        <f t="shared" si="3"/>
        <v>20.399999999999999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22.5</v>
      </c>
      <c r="C17" s="56">
        <v>22.5</v>
      </c>
      <c r="D17" s="56">
        <v>22.5</v>
      </c>
      <c r="E17" s="56">
        <v>22.4</v>
      </c>
      <c r="F17" s="56">
        <v>22.7</v>
      </c>
      <c r="G17" s="56">
        <v>22.6</v>
      </c>
      <c r="H17" s="56">
        <v>22.4</v>
      </c>
      <c r="I17" s="56">
        <v>22</v>
      </c>
      <c r="J17" s="56">
        <v>22</v>
      </c>
      <c r="K17" s="56">
        <v>21.9</v>
      </c>
      <c r="L17" s="49">
        <v>21.9</v>
      </c>
      <c r="M17" s="49">
        <v>21.9</v>
      </c>
      <c r="N17" s="49">
        <v>22.4</v>
      </c>
      <c r="O17" s="49">
        <v>22.5</v>
      </c>
      <c r="P17" s="49">
        <v>23.1</v>
      </c>
      <c r="Q17" s="49">
        <v>23</v>
      </c>
      <c r="R17" s="49">
        <v>23</v>
      </c>
      <c r="S17" s="49">
        <v>23</v>
      </c>
      <c r="T17" s="49">
        <v>22.5</v>
      </c>
      <c r="U17" s="49">
        <v>22.4</v>
      </c>
      <c r="V17" s="49">
        <v>22.9</v>
      </c>
      <c r="W17" s="49">
        <v>22.8</v>
      </c>
      <c r="X17" s="49">
        <v>22.8</v>
      </c>
      <c r="Y17" s="49">
        <v>22.8</v>
      </c>
      <c r="Z17" s="49">
        <v>22.3</v>
      </c>
      <c r="AA17" s="49">
        <v>22</v>
      </c>
      <c r="AB17" s="49">
        <v>22</v>
      </c>
      <c r="AC17" s="49">
        <v>22</v>
      </c>
      <c r="AD17" s="49">
        <v>22</v>
      </c>
      <c r="AE17" s="49">
        <v>22</v>
      </c>
      <c r="AF17" s="49">
        <v>22</v>
      </c>
      <c r="AG17" s="59">
        <v>22.1</v>
      </c>
      <c r="AH17" s="52">
        <f t="shared" si="2"/>
        <v>23.1</v>
      </c>
      <c r="AI17" s="53">
        <f t="shared" si="3"/>
        <v>21.9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16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16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12.5</v>
      </c>
      <c r="C19" s="56">
        <v>13.1</v>
      </c>
      <c r="D19" s="56">
        <v>12.5</v>
      </c>
      <c r="E19" s="56">
        <v>12.5</v>
      </c>
      <c r="F19" s="56">
        <v>12.6</v>
      </c>
      <c r="G19" s="56">
        <v>12.1</v>
      </c>
      <c r="H19" s="56">
        <v>12.2</v>
      </c>
      <c r="I19" s="56">
        <v>12.3</v>
      </c>
      <c r="J19" s="56">
        <v>11.5</v>
      </c>
      <c r="K19" s="56">
        <v>11.5</v>
      </c>
      <c r="L19" s="49">
        <v>11.2</v>
      </c>
      <c r="M19" s="49">
        <v>11.2</v>
      </c>
      <c r="N19" s="49">
        <v>10.3</v>
      </c>
      <c r="O19" s="49">
        <v>10.3</v>
      </c>
      <c r="P19" s="49">
        <v>10.3</v>
      </c>
      <c r="Q19" s="49">
        <v>10</v>
      </c>
      <c r="R19" s="49">
        <v>10</v>
      </c>
      <c r="S19" s="49">
        <v>10</v>
      </c>
      <c r="T19" s="49">
        <v>10</v>
      </c>
      <c r="U19" s="49">
        <v>11.8</v>
      </c>
      <c r="V19" s="49">
        <v>11.6</v>
      </c>
      <c r="W19" s="49">
        <v>11.5</v>
      </c>
      <c r="X19" s="49">
        <v>12.6</v>
      </c>
      <c r="Y19" s="49">
        <v>12.6</v>
      </c>
      <c r="Z19" s="49">
        <v>12.8</v>
      </c>
      <c r="AA19" s="49">
        <v>12.8</v>
      </c>
      <c r="AB19" s="49">
        <v>12.9</v>
      </c>
      <c r="AC19" s="49">
        <v>12.9</v>
      </c>
      <c r="AD19" s="49">
        <v>12.9</v>
      </c>
      <c r="AE19" s="49">
        <v>12.9</v>
      </c>
      <c r="AF19" s="49">
        <v>12.9</v>
      </c>
      <c r="AG19" s="59">
        <v>22</v>
      </c>
      <c r="AH19" s="52">
        <f t="shared" si="2"/>
        <v>13.1</v>
      </c>
      <c r="AI19" s="53">
        <f t="shared" si="3"/>
        <v>10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7</v>
      </c>
      <c r="C20" s="56">
        <v>7</v>
      </c>
      <c r="D20" s="56">
        <v>7</v>
      </c>
      <c r="E20" s="56">
        <v>7</v>
      </c>
      <c r="F20" s="56">
        <v>7</v>
      </c>
      <c r="G20" s="56">
        <v>7</v>
      </c>
      <c r="H20" s="56">
        <v>7</v>
      </c>
      <c r="I20" s="56">
        <v>7</v>
      </c>
      <c r="J20" s="56">
        <v>7</v>
      </c>
      <c r="K20" s="56">
        <v>7</v>
      </c>
      <c r="L20" s="56">
        <v>7</v>
      </c>
      <c r="M20" s="56">
        <v>7</v>
      </c>
      <c r="N20" s="56">
        <v>7</v>
      </c>
      <c r="O20" s="56">
        <v>7</v>
      </c>
      <c r="P20" s="56">
        <v>7</v>
      </c>
      <c r="Q20" s="56">
        <v>7</v>
      </c>
      <c r="R20" s="56">
        <v>7</v>
      </c>
      <c r="S20" s="56">
        <v>7</v>
      </c>
      <c r="T20" s="56">
        <v>7</v>
      </c>
      <c r="U20" s="56">
        <v>7</v>
      </c>
      <c r="V20" s="56">
        <v>7</v>
      </c>
      <c r="W20" s="56">
        <v>7</v>
      </c>
      <c r="X20" s="56">
        <v>7</v>
      </c>
      <c r="Y20" s="56">
        <v>7</v>
      </c>
      <c r="Z20" s="56">
        <v>22</v>
      </c>
      <c r="AA20" s="56">
        <v>12</v>
      </c>
      <c r="AB20" s="56">
        <v>8.5</v>
      </c>
      <c r="AC20" s="56">
        <v>8.5</v>
      </c>
      <c r="AD20" s="56">
        <v>8.5</v>
      </c>
      <c r="AE20" s="56">
        <v>8.5</v>
      </c>
      <c r="AF20" s="56">
        <v>8.5</v>
      </c>
      <c r="AG20" s="59">
        <v>22</v>
      </c>
      <c r="AH20" s="52">
        <f t="shared" si="2"/>
        <v>22</v>
      </c>
      <c r="AI20" s="53">
        <f t="shared" si="3"/>
        <v>7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3.5</v>
      </c>
      <c r="C21" s="56">
        <v>3.5</v>
      </c>
      <c r="D21" s="56">
        <v>3.5</v>
      </c>
      <c r="E21" s="56">
        <v>3.5</v>
      </c>
      <c r="F21" s="56">
        <v>3.5</v>
      </c>
      <c r="G21" s="56">
        <v>3.5</v>
      </c>
      <c r="H21" s="56">
        <v>3.5</v>
      </c>
      <c r="I21" s="56">
        <v>3.5</v>
      </c>
      <c r="J21" s="56">
        <v>3.5</v>
      </c>
      <c r="K21" s="56">
        <v>3.5</v>
      </c>
      <c r="L21" s="56">
        <v>3.5</v>
      </c>
      <c r="M21" s="56">
        <v>3.5</v>
      </c>
      <c r="N21" s="56">
        <v>3.5</v>
      </c>
      <c r="O21" s="56">
        <v>3.5</v>
      </c>
      <c r="P21" s="56">
        <v>3.5</v>
      </c>
      <c r="Q21" s="56">
        <v>3.5</v>
      </c>
      <c r="R21" s="56">
        <v>3.5</v>
      </c>
      <c r="S21" s="56">
        <v>3.5</v>
      </c>
      <c r="T21" s="56">
        <v>3.5</v>
      </c>
      <c r="U21" s="56">
        <v>3.5</v>
      </c>
      <c r="V21" s="56">
        <v>3.5</v>
      </c>
      <c r="W21" s="56">
        <v>3.5</v>
      </c>
      <c r="X21" s="56">
        <v>3.5</v>
      </c>
      <c r="Y21" s="56">
        <v>3.5</v>
      </c>
      <c r="Z21" s="56">
        <v>7.5</v>
      </c>
      <c r="AA21" s="56">
        <v>7.5</v>
      </c>
      <c r="AB21" s="56">
        <v>7.5</v>
      </c>
      <c r="AC21" s="56">
        <v>7.5</v>
      </c>
      <c r="AD21" s="56">
        <v>7.5</v>
      </c>
      <c r="AE21" s="56">
        <v>0</v>
      </c>
      <c r="AF21" s="56">
        <v>0</v>
      </c>
      <c r="AG21" s="59">
        <v>14.9</v>
      </c>
      <c r="AH21" s="52">
        <f t="shared" si="2"/>
        <v>7.5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10</v>
      </c>
      <c r="AA22" s="56">
        <v>5</v>
      </c>
      <c r="AB22" s="56">
        <v>5</v>
      </c>
      <c r="AC22" s="56">
        <v>5</v>
      </c>
      <c r="AD22" s="56">
        <v>5</v>
      </c>
      <c r="AE22" s="56">
        <v>5</v>
      </c>
      <c r="AF22" s="56">
        <v>5</v>
      </c>
      <c r="AG22" s="59">
        <v>13.6</v>
      </c>
      <c r="AH22" s="52">
        <f t="shared" si="2"/>
        <v>10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4</v>
      </c>
      <c r="C23" s="56">
        <v>4</v>
      </c>
      <c r="D23" s="56">
        <v>4</v>
      </c>
      <c r="E23" s="56">
        <v>4</v>
      </c>
      <c r="F23" s="56">
        <v>4</v>
      </c>
      <c r="G23" s="56">
        <v>4</v>
      </c>
      <c r="H23" s="56">
        <v>4</v>
      </c>
      <c r="I23" s="56">
        <v>4</v>
      </c>
      <c r="J23" s="56">
        <v>4</v>
      </c>
      <c r="K23" s="56">
        <v>4</v>
      </c>
      <c r="L23" s="56">
        <v>4</v>
      </c>
      <c r="M23" s="56">
        <v>4</v>
      </c>
      <c r="N23" s="56">
        <v>4</v>
      </c>
      <c r="O23" s="56">
        <v>4</v>
      </c>
      <c r="P23" s="56">
        <v>4</v>
      </c>
      <c r="Q23" s="56">
        <v>4</v>
      </c>
      <c r="R23" s="56">
        <v>4</v>
      </c>
      <c r="S23" s="56">
        <v>4</v>
      </c>
      <c r="T23" s="56">
        <v>4</v>
      </c>
      <c r="U23" s="56">
        <v>4</v>
      </c>
      <c r="V23" s="56">
        <v>4</v>
      </c>
      <c r="W23" s="56">
        <v>4</v>
      </c>
      <c r="X23" s="56">
        <v>4</v>
      </c>
      <c r="Y23" s="56">
        <v>4</v>
      </c>
      <c r="Z23" s="56">
        <v>10</v>
      </c>
      <c r="AA23" s="56">
        <v>10.5</v>
      </c>
      <c r="AB23" s="56">
        <v>10.5</v>
      </c>
      <c r="AC23" s="56">
        <v>10.5</v>
      </c>
      <c r="AD23" s="56">
        <v>10.5</v>
      </c>
      <c r="AE23" s="56">
        <v>10.5</v>
      </c>
      <c r="AF23" s="56">
        <v>10.5</v>
      </c>
      <c r="AG23" s="59">
        <v>13</v>
      </c>
      <c r="AH23" s="52">
        <f t="shared" si="2"/>
        <v>10.5</v>
      </c>
      <c r="AI23" s="53">
        <f t="shared" si="3"/>
        <v>4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3.5</v>
      </c>
      <c r="C24" s="56">
        <v>3.5</v>
      </c>
      <c r="D24" s="56">
        <v>3.5</v>
      </c>
      <c r="E24" s="56">
        <v>3.5</v>
      </c>
      <c r="F24" s="56">
        <v>3.5</v>
      </c>
      <c r="G24" s="56">
        <v>3.5</v>
      </c>
      <c r="H24" s="56">
        <v>3.5</v>
      </c>
      <c r="I24" s="56">
        <v>3.5</v>
      </c>
      <c r="J24" s="56">
        <v>3.5</v>
      </c>
      <c r="K24" s="56">
        <v>3.5</v>
      </c>
      <c r="L24" s="56">
        <v>3.5</v>
      </c>
      <c r="M24" s="56">
        <v>3.5</v>
      </c>
      <c r="N24" s="56">
        <v>3.5</v>
      </c>
      <c r="O24" s="56">
        <v>3.5</v>
      </c>
      <c r="P24" s="56">
        <v>3.5</v>
      </c>
      <c r="Q24" s="56">
        <v>3.5</v>
      </c>
      <c r="R24" s="56">
        <v>3.5</v>
      </c>
      <c r="S24" s="56">
        <v>3.5</v>
      </c>
      <c r="T24" s="56">
        <v>3.5</v>
      </c>
      <c r="U24" s="56">
        <v>3.5</v>
      </c>
      <c r="V24" s="56">
        <v>3.5</v>
      </c>
      <c r="W24" s="56">
        <v>3.5</v>
      </c>
      <c r="X24" s="56">
        <v>3.5</v>
      </c>
      <c r="Y24" s="56">
        <v>3.5</v>
      </c>
      <c r="Z24" s="56">
        <v>12</v>
      </c>
      <c r="AA24" s="56">
        <v>4.4000000000000004</v>
      </c>
      <c r="AB24" s="56">
        <v>4.4000000000000004</v>
      </c>
      <c r="AC24" s="56">
        <v>4.4000000000000004</v>
      </c>
      <c r="AD24" s="56">
        <v>4.4000000000000004</v>
      </c>
      <c r="AE24" s="56">
        <v>4.4000000000000004</v>
      </c>
      <c r="AF24" s="56">
        <v>4.4000000000000004</v>
      </c>
      <c r="AG24" s="59">
        <v>12</v>
      </c>
      <c r="AH24" s="52">
        <f t="shared" si="2"/>
        <v>12</v>
      </c>
      <c r="AI24" s="53">
        <f t="shared" si="3"/>
        <v>3.5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0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4</v>
      </c>
      <c r="C26" s="56">
        <v>4</v>
      </c>
      <c r="D26" s="56">
        <v>4</v>
      </c>
      <c r="E26" s="56">
        <v>4</v>
      </c>
      <c r="F26" s="56">
        <v>4</v>
      </c>
      <c r="G26" s="56">
        <v>4</v>
      </c>
      <c r="H26" s="56">
        <v>4</v>
      </c>
      <c r="I26" s="56">
        <v>4</v>
      </c>
      <c r="J26" s="56">
        <v>4</v>
      </c>
      <c r="K26" s="56">
        <v>4</v>
      </c>
      <c r="L26" s="56">
        <v>4</v>
      </c>
      <c r="M26" s="56">
        <v>4</v>
      </c>
      <c r="N26" s="56">
        <v>4</v>
      </c>
      <c r="O26" s="56">
        <v>4</v>
      </c>
      <c r="P26" s="56">
        <v>4</v>
      </c>
      <c r="Q26" s="56">
        <v>4</v>
      </c>
      <c r="R26" s="56">
        <v>4</v>
      </c>
      <c r="S26" s="56">
        <v>4</v>
      </c>
      <c r="T26" s="56">
        <v>4</v>
      </c>
      <c r="U26" s="56">
        <v>4</v>
      </c>
      <c r="V26" s="56">
        <v>4</v>
      </c>
      <c r="W26" s="56">
        <v>4</v>
      </c>
      <c r="X26" s="56">
        <v>4</v>
      </c>
      <c r="Y26" s="56">
        <v>4</v>
      </c>
      <c r="Z26" s="56">
        <v>10</v>
      </c>
      <c r="AA26" s="56">
        <v>10</v>
      </c>
      <c r="AB26" s="56">
        <v>10</v>
      </c>
      <c r="AC26" s="56">
        <v>10</v>
      </c>
      <c r="AD26" s="56">
        <v>10</v>
      </c>
      <c r="AE26" s="56">
        <v>10</v>
      </c>
      <c r="AF26" s="56">
        <v>10</v>
      </c>
      <c r="AG26" s="59">
        <v>12</v>
      </c>
      <c r="AH26" s="52">
        <f>MAX(B26:AF26)</f>
        <v>10</v>
      </c>
      <c r="AI26" s="53">
        <f>MIN(B26:AF26)</f>
        <v>4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56">
        <v>4</v>
      </c>
      <c r="S27" s="56">
        <v>4</v>
      </c>
      <c r="T27" s="56">
        <v>4</v>
      </c>
      <c r="U27" s="56">
        <v>4</v>
      </c>
      <c r="V27" s="56">
        <v>4</v>
      </c>
      <c r="W27" s="56">
        <v>4</v>
      </c>
      <c r="X27" s="56">
        <v>4</v>
      </c>
      <c r="Y27" s="56">
        <v>4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154</v>
      </c>
      <c r="F28" s="56">
        <v>154</v>
      </c>
      <c r="G28" s="56">
        <v>158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164</v>
      </c>
      <c r="AA28" s="56">
        <v>150</v>
      </c>
      <c r="AB28" s="56">
        <v>150</v>
      </c>
      <c r="AC28" s="56">
        <v>140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164</v>
      </c>
      <c r="AI28" s="53">
        <f t="shared" si="3"/>
        <v>140</v>
      </c>
      <c r="AK28" s="54"/>
    </row>
    <row r="29" spans="1:88" ht="15.75" thickBot="1" x14ac:dyDescent="0.3">
      <c r="A29" s="66" t="s">
        <v>36</v>
      </c>
      <c r="B29" s="56">
        <v>76.3</v>
      </c>
      <c r="C29" s="56">
        <v>82</v>
      </c>
      <c r="D29" s="56">
        <v>83</v>
      </c>
      <c r="E29" s="56">
        <v>81.599999999999994</v>
      </c>
      <c r="F29" s="56">
        <v>83.2</v>
      </c>
      <c r="G29" s="56">
        <v>82.8</v>
      </c>
      <c r="H29" s="56">
        <v>81.7</v>
      </c>
      <c r="I29" s="56">
        <v>82.8</v>
      </c>
      <c r="J29" s="56">
        <v>80.099999999999994</v>
      </c>
      <c r="K29" s="56">
        <v>80.7</v>
      </c>
      <c r="L29" s="67">
        <v>90</v>
      </c>
      <c r="M29" s="67">
        <v>81</v>
      </c>
      <c r="N29" s="67">
        <v>79.8</v>
      </c>
      <c r="O29" s="67">
        <v>80</v>
      </c>
      <c r="P29" s="67">
        <v>76.7</v>
      </c>
      <c r="Q29" s="67">
        <v>74</v>
      </c>
      <c r="R29" s="67">
        <v>75.7</v>
      </c>
      <c r="S29" s="67">
        <v>72.8</v>
      </c>
      <c r="T29" s="67">
        <v>71.8</v>
      </c>
      <c r="U29" s="67">
        <v>70.400000000000006</v>
      </c>
      <c r="V29" s="67">
        <v>71.400000000000006</v>
      </c>
      <c r="W29" s="67">
        <v>73.5</v>
      </c>
      <c r="X29" s="67">
        <v>57</v>
      </c>
      <c r="Y29" s="67">
        <v>57</v>
      </c>
      <c r="Z29" s="67">
        <v>64</v>
      </c>
      <c r="AA29" s="67">
        <v>66</v>
      </c>
      <c r="AB29" s="67">
        <v>72</v>
      </c>
      <c r="AC29" s="67">
        <v>70.8</v>
      </c>
      <c r="AD29" s="67">
        <v>75.900000000000006</v>
      </c>
      <c r="AE29" s="56">
        <v>72.900000000000006</v>
      </c>
      <c r="AF29" s="56">
        <v>69.599999999999994</v>
      </c>
      <c r="AG29" s="59">
        <v>240</v>
      </c>
      <c r="AH29" s="52">
        <f t="shared" si="2"/>
        <v>90</v>
      </c>
      <c r="AI29" s="53">
        <f t="shared" si="3"/>
        <v>57</v>
      </c>
      <c r="AK29" s="54"/>
    </row>
    <row r="30" spans="1:88" ht="15.75" thickBot="1" x14ac:dyDescent="0.3">
      <c r="A30" s="68" t="s">
        <v>37</v>
      </c>
      <c r="B30" s="69">
        <f>SUM(B11:B28)</f>
        <v>396.29999999999995</v>
      </c>
      <c r="C30" s="69">
        <f t="shared" ref="C30:AF30" si="4">SUM(C11:C28)</f>
        <v>394.79999999999995</v>
      </c>
      <c r="D30" s="69">
        <f t="shared" si="4"/>
        <v>395.2</v>
      </c>
      <c r="E30" s="69">
        <f t="shared" si="4"/>
        <v>400.6</v>
      </c>
      <c r="F30" s="69">
        <f t="shared" si="4"/>
        <v>402.5</v>
      </c>
      <c r="G30" s="69">
        <f t="shared" si="4"/>
        <v>408</v>
      </c>
      <c r="H30" s="69">
        <f t="shared" si="4"/>
        <v>398.5</v>
      </c>
      <c r="I30" s="69">
        <f t="shared" si="4"/>
        <v>398.09999999999997</v>
      </c>
      <c r="J30" s="69">
        <f t="shared" si="4"/>
        <v>404.9</v>
      </c>
      <c r="K30" s="69">
        <f t="shared" si="4"/>
        <v>403.6</v>
      </c>
      <c r="L30" s="69">
        <f t="shared" si="4"/>
        <v>403.9</v>
      </c>
      <c r="M30" s="69">
        <f t="shared" si="4"/>
        <v>403.9</v>
      </c>
      <c r="N30" s="69">
        <f t="shared" si="4"/>
        <v>401.9</v>
      </c>
      <c r="O30" s="69">
        <f t="shared" si="4"/>
        <v>400.8</v>
      </c>
      <c r="P30" s="69">
        <f t="shared" si="4"/>
        <v>401</v>
      </c>
      <c r="Q30" s="69">
        <f t="shared" si="4"/>
        <v>400.19999999999993</v>
      </c>
      <c r="R30" s="69">
        <f t="shared" si="4"/>
        <v>398.7</v>
      </c>
      <c r="S30" s="69">
        <f t="shared" si="4"/>
        <v>400.7</v>
      </c>
      <c r="T30" s="69">
        <f t="shared" si="4"/>
        <v>398.6</v>
      </c>
      <c r="U30" s="69">
        <f t="shared" si="4"/>
        <v>402.70000000000005</v>
      </c>
      <c r="V30" s="69">
        <f>SUM(V11:V28)</f>
        <v>405.20000000000005</v>
      </c>
      <c r="W30" s="69">
        <f t="shared" si="4"/>
        <v>403.8</v>
      </c>
      <c r="X30" s="69">
        <f t="shared" si="4"/>
        <v>404.9</v>
      </c>
      <c r="Y30" s="69">
        <f t="shared" si="4"/>
        <v>404.9</v>
      </c>
      <c r="Z30" s="69">
        <f t="shared" si="4"/>
        <v>476.2</v>
      </c>
      <c r="AA30" s="69">
        <f t="shared" si="4"/>
        <v>426.4</v>
      </c>
      <c r="AB30" s="69">
        <f t="shared" si="4"/>
        <v>423.9</v>
      </c>
      <c r="AC30" s="69">
        <f t="shared" si="4"/>
        <v>413.9</v>
      </c>
      <c r="AD30" s="69">
        <f t="shared" si="4"/>
        <v>439.9</v>
      </c>
      <c r="AE30" s="69">
        <f t="shared" si="4"/>
        <v>432.2</v>
      </c>
      <c r="AF30" s="69">
        <f t="shared" si="4"/>
        <v>428.59999999999997</v>
      </c>
      <c r="AG30" s="59">
        <f>SUM(AG11:AG29)</f>
        <v>729.2</v>
      </c>
      <c r="AH30" s="52">
        <f t="shared" si="2"/>
        <v>476.2</v>
      </c>
      <c r="AI30" s="53">
        <f t="shared" si="3"/>
        <v>394.79999999999995</v>
      </c>
      <c r="AK30" s="54"/>
    </row>
    <row r="31" spans="1:88" x14ac:dyDescent="0.25">
      <c r="A31" s="55" t="s">
        <v>38</v>
      </c>
      <c r="B31" s="56">
        <v>97</v>
      </c>
      <c r="C31" s="56">
        <v>97</v>
      </c>
      <c r="D31" s="56">
        <v>96.9</v>
      </c>
      <c r="E31" s="56">
        <v>97</v>
      </c>
      <c r="F31" s="56">
        <v>97</v>
      </c>
      <c r="G31" s="56">
        <v>96.8</v>
      </c>
      <c r="H31" s="56">
        <v>96.7</v>
      </c>
      <c r="I31" s="56">
        <v>97.1</v>
      </c>
      <c r="J31" s="56">
        <v>97</v>
      </c>
      <c r="K31" s="56">
        <v>97</v>
      </c>
      <c r="L31" s="49">
        <v>97</v>
      </c>
      <c r="M31" s="49">
        <v>97</v>
      </c>
      <c r="N31" s="49">
        <v>96.9</v>
      </c>
      <c r="O31" s="49">
        <v>97.1</v>
      </c>
      <c r="P31" s="49">
        <v>128.19999999999999</v>
      </c>
      <c r="Q31" s="49">
        <v>96.9</v>
      </c>
      <c r="R31" s="49">
        <v>97</v>
      </c>
      <c r="S31" s="49">
        <v>97</v>
      </c>
      <c r="T31" s="49">
        <v>97</v>
      </c>
      <c r="U31" s="49">
        <v>97.1</v>
      </c>
      <c r="V31" s="49">
        <v>97.1</v>
      </c>
      <c r="W31" s="49">
        <v>97.1</v>
      </c>
      <c r="X31" s="49">
        <v>97.1</v>
      </c>
      <c r="Y31" s="49">
        <v>97.1</v>
      </c>
      <c r="Z31" s="49">
        <v>97</v>
      </c>
      <c r="AA31" s="48">
        <v>98.9</v>
      </c>
      <c r="AB31" s="48">
        <v>99</v>
      </c>
      <c r="AC31" s="48">
        <v>98.9</v>
      </c>
      <c r="AD31" s="48">
        <v>99</v>
      </c>
      <c r="AE31" s="48">
        <v>99.1</v>
      </c>
      <c r="AF31" s="48">
        <v>99</v>
      </c>
      <c r="AG31" s="57">
        <v>144</v>
      </c>
      <c r="AH31" s="52">
        <f t="shared" si="2"/>
        <v>128.19999999999999</v>
      </c>
      <c r="AI31" s="53">
        <f t="shared" si="3"/>
        <v>96.7</v>
      </c>
      <c r="AK31" s="54"/>
    </row>
    <row r="32" spans="1:88" x14ac:dyDescent="0.25">
      <c r="A32" s="58" t="s">
        <v>39</v>
      </c>
      <c r="B32" s="56">
        <v>69.900000000000006</v>
      </c>
      <c r="C32" s="56">
        <v>70</v>
      </c>
      <c r="D32" s="56">
        <v>70.599999999999994</v>
      </c>
      <c r="E32" s="56">
        <v>70.400000000000006</v>
      </c>
      <c r="F32" s="56">
        <v>70.900000000000006</v>
      </c>
      <c r="G32" s="56">
        <v>71.599999999999994</v>
      </c>
      <c r="H32" s="56">
        <v>71.599999999999994</v>
      </c>
      <c r="I32" s="56">
        <v>70.8</v>
      </c>
      <c r="J32" s="56">
        <v>69.8</v>
      </c>
      <c r="K32" s="56">
        <v>70.099999999999994</v>
      </c>
      <c r="L32" s="70">
        <v>69.8</v>
      </c>
      <c r="M32" s="70">
        <v>69.8</v>
      </c>
      <c r="N32" s="70">
        <v>70.7</v>
      </c>
      <c r="O32" s="70">
        <v>71.2</v>
      </c>
      <c r="P32" s="70">
        <v>70.3</v>
      </c>
      <c r="Q32" s="70">
        <v>69.7</v>
      </c>
      <c r="R32" s="70">
        <v>69</v>
      </c>
      <c r="S32" s="70">
        <v>69</v>
      </c>
      <c r="T32" s="70">
        <v>67.599999999999994</v>
      </c>
      <c r="U32" s="70">
        <v>69.5</v>
      </c>
      <c r="V32" s="70">
        <v>69.5</v>
      </c>
      <c r="W32" s="70">
        <v>69.5</v>
      </c>
      <c r="X32" s="70">
        <v>69.5</v>
      </c>
      <c r="Y32" s="70">
        <v>69.5</v>
      </c>
      <c r="Z32" s="70">
        <v>69</v>
      </c>
      <c r="AA32" s="56">
        <v>71.7</v>
      </c>
      <c r="AB32" s="56">
        <v>70.8</v>
      </c>
      <c r="AC32" s="56">
        <v>69.3</v>
      </c>
      <c r="AD32" s="56">
        <v>70.2</v>
      </c>
      <c r="AE32" s="56">
        <v>70.099999999999994</v>
      </c>
      <c r="AF32" s="56">
        <v>70.3</v>
      </c>
      <c r="AG32" s="59">
        <v>70</v>
      </c>
      <c r="AH32" s="52">
        <f t="shared" si="2"/>
        <v>71.7</v>
      </c>
      <c r="AI32" s="53">
        <f t="shared" si="3"/>
        <v>67.599999999999994</v>
      </c>
      <c r="AK32" s="54"/>
    </row>
    <row r="33" spans="1:41" x14ac:dyDescent="0.25">
      <c r="A33" s="58" t="s">
        <v>40</v>
      </c>
      <c r="B33" s="56">
        <v>59.8</v>
      </c>
      <c r="C33" s="56">
        <v>60</v>
      </c>
      <c r="D33" s="56">
        <v>63.3</v>
      </c>
      <c r="E33" s="56">
        <v>63.3</v>
      </c>
      <c r="F33" s="56">
        <v>64.099999999999994</v>
      </c>
      <c r="G33" s="56">
        <v>63.1</v>
      </c>
      <c r="H33" s="56">
        <v>63.5</v>
      </c>
      <c r="I33" s="56">
        <v>63.3</v>
      </c>
      <c r="J33" s="56">
        <v>63.2</v>
      </c>
      <c r="K33" s="56">
        <v>63.5</v>
      </c>
      <c r="L33" s="70">
        <v>63</v>
      </c>
      <c r="M33" s="70">
        <v>63</v>
      </c>
      <c r="N33" s="70">
        <v>62.2</v>
      </c>
      <c r="O33" s="70">
        <v>62.6</v>
      </c>
      <c r="P33" s="70">
        <v>62.2</v>
      </c>
      <c r="Q33" s="70">
        <v>62.2</v>
      </c>
      <c r="R33" s="70">
        <v>62.1</v>
      </c>
      <c r="S33" s="70">
        <v>62.1</v>
      </c>
      <c r="T33" s="70">
        <v>62.5</v>
      </c>
      <c r="U33" s="70">
        <v>61.9</v>
      </c>
      <c r="V33" s="70">
        <v>61.9</v>
      </c>
      <c r="W33" s="70">
        <v>61.9</v>
      </c>
      <c r="X33" s="70">
        <v>62.6</v>
      </c>
      <c r="Y33" s="70">
        <v>61.9</v>
      </c>
      <c r="Z33" s="70">
        <v>63.2</v>
      </c>
      <c r="AA33" s="56">
        <v>62.5</v>
      </c>
      <c r="AB33" s="56">
        <v>62.7</v>
      </c>
      <c r="AC33" s="56">
        <v>62.4</v>
      </c>
      <c r="AD33" s="56">
        <v>62.3</v>
      </c>
      <c r="AE33" s="56">
        <v>63</v>
      </c>
      <c r="AF33" s="56">
        <v>62.3</v>
      </c>
      <c r="AG33" s="59">
        <v>69</v>
      </c>
      <c r="AH33" s="52">
        <f t="shared" si="2"/>
        <v>64.099999999999994</v>
      </c>
      <c r="AI33" s="53">
        <f t="shared" si="3"/>
        <v>59.8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28.5</v>
      </c>
      <c r="E34" s="56">
        <v>28.5</v>
      </c>
      <c r="F34" s="56">
        <v>28.5</v>
      </c>
      <c r="G34" s="56">
        <v>28.5</v>
      </c>
      <c r="H34" s="56">
        <v>28.5</v>
      </c>
      <c r="I34" s="56">
        <v>28.5</v>
      </c>
      <c r="J34" s="56">
        <v>28.5</v>
      </c>
      <c r="K34" s="56">
        <v>28.5</v>
      </c>
      <c r="L34" s="70">
        <v>28.5</v>
      </c>
      <c r="M34" s="70">
        <v>28.5</v>
      </c>
      <c r="N34" s="70">
        <v>28.5</v>
      </c>
      <c r="O34" s="70">
        <v>28.5</v>
      </c>
      <c r="P34" s="70">
        <v>28.2</v>
      </c>
      <c r="Q34" s="70">
        <v>28.5</v>
      </c>
      <c r="R34" s="70">
        <v>28.5</v>
      </c>
      <c r="S34" s="70">
        <v>28.5</v>
      </c>
      <c r="T34" s="70">
        <v>28.5</v>
      </c>
      <c r="U34" s="70">
        <v>28.5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28.7</v>
      </c>
      <c r="AG34" s="59">
        <v>60</v>
      </c>
      <c r="AH34" s="52">
        <f t="shared" si="2"/>
        <v>28.7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20.6</v>
      </c>
      <c r="C35" s="56">
        <v>21</v>
      </c>
      <c r="D35" s="56">
        <v>21.2</v>
      </c>
      <c r="E35" s="56">
        <v>20.8</v>
      </c>
      <c r="F35" s="56">
        <v>29.6</v>
      </c>
      <c r="G35" s="56">
        <v>29.6</v>
      </c>
      <c r="H35" s="56">
        <v>25.3</v>
      </c>
      <c r="I35" s="56">
        <v>20.8</v>
      </c>
      <c r="J35" s="56">
        <v>21.2</v>
      </c>
      <c r="K35" s="56">
        <v>29.5</v>
      </c>
      <c r="L35" s="49">
        <v>29.4</v>
      </c>
      <c r="M35" s="49">
        <v>29.4</v>
      </c>
      <c r="N35" s="49">
        <v>27.6</v>
      </c>
      <c r="O35" s="49">
        <v>28.3</v>
      </c>
      <c r="P35" s="49">
        <v>28.3</v>
      </c>
      <c r="Q35" s="49">
        <v>29</v>
      </c>
      <c r="R35" s="49">
        <v>24</v>
      </c>
      <c r="S35" s="49">
        <v>24</v>
      </c>
      <c r="T35" s="49">
        <v>20.5</v>
      </c>
      <c r="U35" s="49">
        <v>15</v>
      </c>
      <c r="V35" s="70">
        <v>15</v>
      </c>
      <c r="W35" s="70">
        <v>15</v>
      </c>
      <c r="X35" s="70">
        <v>21</v>
      </c>
      <c r="Y35" s="70">
        <v>21</v>
      </c>
      <c r="Z35" s="70">
        <v>20.7</v>
      </c>
      <c r="AA35" s="56">
        <v>29.5</v>
      </c>
      <c r="AB35" s="56">
        <v>26</v>
      </c>
      <c r="AC35" s="56">
        <v>26</v>
      </c>
      <c r="AD35" s="56">
        <v>26</v>
      </c>
      <c r="AE35" s="56">
        <v>23.4</v>
      </c>
      <c r="AF35" s="56">
        <v>23.2</v>
      </c>
      <c r="AG35" s="59">
        <v>30</v>
      </c>
      <c r="AH35" s="52">
        <f t="shared" si="2"/>
        <v>29.6</v>
      </c>
      <c r="AI35" s="53">
        <f t="shared" si="3"/>
        <v>15</v>
      </c>
      <c r="AK35" s="54"/>
    </row>
    <row r="36" spans="1:41" x14ac:dyDescent="0.25">
      <c r="A36" s="58" t="s">
        <v>43</v>
      </c>
      <c r="B36" s="71">
        <v>16.8</v>
      </c>
      <c r="C36" s="71">
        <v>16.8</v>
      </c>
      <c r="D36" s="71">
        <v>16.8</v>
      </c>
      <c r="E36" s="71">
        <v>16.899999999999999</v>
      </c>
      <c r="F36" s="71">
        <v>16.8</v>
      </c>
      <c r="G36" s="71">
        <v>16.7</v>
      </c>
      <c r="H36" s="71">
        <v>16.7</v>
      </c>
      <c r="I36" s="71">
        <v>14</v>
      </c>
      <c r="J36" s="71">
        <v>10</v>
      </c>
      <c r="K36" s="71">
        <v>10</v>
      </c>
      <c r="L36" s="49">
        <v>16.7</v>
      </c>
      <c r="M36" s="49">
        <v>16.7</v>
      </c>
      <c r="N36" s="49">
        <v>16.7</v>
      </c>
      <c r="O36" s="49">
        <v>16.5</v>
      </c>
      <c r="P36" s="49">
        <v>16.8</v>
      </c>
      <c r="Q36" s="49">
        <v>16.399999999999999</v>
      </c>
      <c r="R36" s="49">
        <v>16.5</v>
      </c>
      <c r="S36" s="49">
        <v>16.5</v>
      </c>
      <c r="T36" s="49">
        <v>9.8000000000000007</v>
      </c>
      <c r="U36" s="49">
        <v>16.399999999999999</v>
      </c>
      <c r="V36" s="49">
        <v>16.7</v>
      </c>
      <c r="W36" s="49">
        <v>16.7</v>
      </c>
      <c r="X36" s="49">
        <v>16.7</v>
      </c>
      <c r="Y36" s="49">
        <v>16.7</v>
      </c>
      <c r="Z36" s="49">
        <v>16.7</v>
      </c>
      <c r="AA36" s="56">
        <v>16.600000000000001</v>
      </c>
      <c r="AB36" s="56">
        <v>16.600000000000001</v>
      </c>
      <c r="AC36" s="56">
        <v>16.7</v>
      </c>
      <c r="AD36" s="56">
        <v>16.7</v>
      </c>
      <c r="AE36" s="56">
        <v>16.600000000000001</v>
      </c>
      <c r="AF36" s="56">
        <v>16.600000000000001</v>
      </c>
      <c r="AG36" s="59">
        <v>24</v>
      </c>
      <c r="AH36" s="52">
        <f t="shared" si="2"/>
        <v>16.899999999999999</v>
      </c>
      <c r="AI36" s="53">
        <f t="shared" si="3"/>
        <v>9.8000000000000007</v>
      </c>
      <c r="AK36" s="54"/>
    </row>
    <row r="37" spans="1:41" x14ac:dyDescent="0.25">
      <c r="A37" s="58" t="s">
        <v>44</v>
      </c>
      <c r="B37" s="56">
        <v>0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2</v>
      </c>
      <c r="T37" s="56">
        <v>2</v>
      </c>
      <c r="U37" s="56">
        <v>2</v>
      </c>
      <c r="V37" s="56">
        <v>2</v>
      </c>
      <c r="W37" s="56">
        <v>2</v>
      </c>
      <c r="X37" s="56">
        <v>2</v>
      </c>
      <c r="Y37" s="56">
        <v>2</v>
      </c>
      <c r="Z37" s="56">
        <v>0</v>
      </c>
      <c r="AA37" s="56">
        <v>2</v>
      </c>
      <c r="AB37" s="56">
        <v>2</v>
      </c>
      <c r="AC37" s="56">
        <v>2</v>
      </c>
      <c r="AD37" s="56">
        <v>2</v>
      </c>
      <c r="AE37" s="56">
        <v>2</v>
      </c>
      <c r="AF37" s="56">
        <v>2</v>
      </c>
      <c r="AG37" s="59">
        <v>15</v>
      </c>
      <c r="AH37" s="52">
        <f t="shared" si="2"/>
        <v>2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56">
        <v>10</v>
      </c>
      <c r="O38" s="56">
        <v>10</v>
      </c>
      <c r="P38" s="56">
        <v>10</v>
      </c>
      <c r="Q38" s="56">
        <v>10</v>
      </c>
      <c r="R38" s="56">
        <v>10</v>
      </c>
      <c r="S38" s="56">
        <v>10</v>
      </c>
      <c r="T38" s="56">
        <v>10</v>
      </c>
      <c r="U38" s="56">
        <v>10</v>
      </c>
      <c r="V38" s="56">
        <v>10</v>
      </c>
      <c r="W38" s="56">
        <v>10</v>
      </c>
      <c r="X38" s="56">
        <v>10</v>
      </c>
      <c r="Y38" s="56">
        <v>10</v>
      </c>
      <c r="Z38" s="56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12</v>
      </c>
      <c r="C39" s="71">
        <v>10</v>
      </c>
      <c r="D39" s="71">
        <v>12</v>
      </c>
      <c r="E39" s="71">
        <v>12</v>
      </c>
      <c r="F39" s="71">
        <v>12</v>
      </c>
      <c r="G39" s="71">
        <v>12</v>
      </c>
      <c r="H39" s="71">
        <v>12</v>
      </c>
      <c r="I39" s="71">
        <v>12</v>
      </c>
      <c r="J39" s="71">
        <v>12</v>
      </c>
      <c r="K39" s="71">
        <v>12</v>
      </c>
      <c r="L39" s="71">
        <v>12</v>
      </c>
      <c r="M39" s="71">
        <v>12</v>
      </c>
      <c r="N39" s="71">
        <v>12</v>
      </c>
      <c r="O39" s="71">
        <v>12</v>
      </c>
      <c r="P39" s="71">
        <v>12</v>
      </c>
      <c r="Q39" s="71">
        <v>12</v>
      </c>
      <c r="R39" s="71">
        <v>12</v>
      </c>
      <c r="S39" s="71">
        <v>12</v>
      </c>
      <c r="T39" s="71">
        <v>12</v>
      </c>
      <c r="U39" s="71">
        <v>12</v>
      </c>
      <c r="V39" s="71">
        <v>12</v>
      </c>
      <c r="W39" s="71">
        <v>12</v>
      </c>
      <c r="X39" s="71">
        <v>12</v>
      </c>
      <c r="Y39" s="71">
        <v>12</v>
      </c>
      <c r="Z39" s="71">
        <v>12</v>
      </c>
      <c r="AA39" s="56">
        <v>12</v>
      </c>
      <c r="AB39" s="56">
        <v>12</v>
      </c>
      <c r="AC39" s="56">
        <v>12</v>
      </c>
      <c r="AD39" s="56">
        <v>12</v>
      </c>
      <c r="AE39" s="56">
        <v>12</v>
      </c>
      <c r="AF39" s="56">
        <v>12</v>
      </c>
      <c r="AG39" s="59">
        <v>14</v>
      </c>
      <c r="AH39" s="52">
        <f t="shared" si="2"/>
        <v>12</v>
      </c>
      <c r="AI39" s="53">
        <f t="shared" si="3"/>
        <v>10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9.1999999999999993</v>
      </c>
      <c r="C40" s="56">
        <v>9.1999999999999993</v>
      </c>
      <c r="D40" s="56">
        <v>9.3000000000000007</v>
      </c>
      <c r="E40" s="56">
        <v>9.4</v>
      </c>
      <c r="F40" s="56">
        <v>9.4</v>
      </c>
      <c r="G40" s="56">
        <v>8.9</v>
      </c>
      <c r="H40" s="56">
        <v>9</v>
      </c>
      <c r="I40" s="56">
        <v>9</v>
      </c>
      <c r="J40" s="56">
        <v>9</v>
      </c>
      <c r="K40" s="56">
        <v>8.6</v>
      </c>
      <c r="L40" s="49">
        <v>8.9</v>
      </c>
      <c r="M40" s="49">
        <v>8.9</v>
      </c>
      <c r="N40" s="49">
        <v>8.6</v>
      </c>
      <c r="O40" s="49">
        <v>6.9</v>
      </c>
      <c r="P40" s="49">
        <v>8.5</v>
      </c>
      <c r="Q40" s="49">
        <v>8.6</v>
      </c>
      <c r="R40" s="49">
        <v>8.6</v>
      </c>
      <c r="S40" s="49">
        <v>8.6</v>
      </c>
      <c r="T40" s="49">
        <v>8.6</v>
      </c>
      <c r="U40" s="49">
        <v>8.6</v>
      </c>
      <c r="V40" s="49">
        <v>8.6</v>
      </c>
      <c r="W40" s="49">
        <v>8.6</v>
      </c>
      <c r="X40" s="49">
        <v>8.6</v>
      </c>
      <c r="Y40" s="49">
        <v>8.6</v>
      </c>
      <c r="Z40" s="49">
        <v>8.6</v>
      </c>
      <c r="AA40" s="56">
        <v>8.6</v>
      </c>
      <c r="AB40" s="56">
        <v>8.6</v>
      </c>
      <c r="AC40" s="56">
        <v>8.6</v>
      </c>
      <c r="AD40" s="56">
        <v>8.6</v>
      </c>
      <c r="AE40" s="56">
        <v>8.6</v>
      </c>
      <c r="AF40" s="56">
        <v>8.6</v>
      </c>
      <c r="AG40" s="59">
        <v>10.050000000000001</v>
      </c>
      <c r="AH40" s="52">
        <f t="shared" si="2"/>
        <v>9.4</v>
      </c>
      <c r="AI40" s="53">
        <f t="shared" si="3"/>
        <v>6.9</v>
      </c>
      <c r="AK40" s="54"/>
    </row>
    <row r="41" spans="1:41" x14ac:dyDescent="0.25">
      <c r="A41" s="58" t="s">
        <v>48</v>
      </c>
      <c r="B41" s="56">
        <v>2</v>
      </c>
      <c r="C41" s="56">
        <v>2</v>
      </c>
      <c r="D41" s="56">
        <v>2</v>
      </c>
      <c r="E41" s="56">
        <v>2</v>
      </c>
      <c r="F41" s="56">
        <v>2</v>
      </c>
      <c r="G41" s="56">
        <v>2</v>
      </c>
      <c r="H41" s="56">
        <v>2</v>
      </c>
      <c r="I41" s="56">
        <v>2</v>
      </c>
      <c r="J41" s="56">
        <v>2</v>
      </c>
      <c r="K41" s="56">
        <v>2</v>
      </c>
      <c r="L41" s="49">
        <v>2</v>
      </c>
      <c r="M41" s="49">
        <v>2</v>
      </c>
      <c r="N41" s="49">
        <v>2</v>
      </c>
      <c r="O41" s="49">
        <v>2</v>
      </c>
      <c r="P41" s="49">
        <v>2</v>
      </c>
      <c r="Q41" s="49">
        <v>2</v>
      </c>
      <c r="R41" s="49">
        <v>2</v>
      </c>
      <c r="S41" s="49">
        <v>2</v>
      </c>
      <c r="T41" s="49">
        <v>2</v>
      </c>
      <c r="U41" s="49">
        <v>2</v>
      </c>
      <c r="V41" s="49">
        <v>2</v>
      </c>
      <c r="W41" s="49">
        <v>2</v>
      </c>
      <c r="X41" s="49">
        <v>2</v>
      </c>
      <c r="Y41" s="49">
        <v>2</v>
      </c>
      <c r="Z41" s="49">
        <v>2</v>
      </c>
      <c r="AA41" s="56">
        <v>2</v>
      </c>
      <c r="AB41" s="56">
        <v>2</v>
      </c>
      <c r="AC41" s="56">
        <v>2</v>
      </c>
      <c r="AD41" s="56">
        <v>2</v>
      </c>
      <c r="AE41" s="56">
        <v>2</v>
      </c>
      <c r="AF41" s="56">
        <v>2</v>
      </c>
      <c r="AG41" s="59">
        <v>6.2</v>
      </c>
      <c r="AH41" s="52">
        <f t="shared" si="2"/>
        <v>2</v>
      </c>
      <c r="AI41" s="53">
        <f t="shared" si="3"/>
        <v>2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329.34000000000003</v>
      </c>
      <c r="C43" s="69">
        <f t="shared" si="6"/>
        <v>328.04</v>
      </c>
      <c r="D43" s="69">
        <f t="shared" si="6"/>
        <v>334.14000000000004</v>
      </c>
      <c r="E43" s="69">
        <f t="shared" si="6"/>
        <v>333.84</v>
      </c>
      <c r="F43" s="69">
        <f t="shared" si="6"/>
        <v>343.84000000000003</v>
      </c>
      <c r="G43" s="69">
        <f t="shared" si="6"/>
        <v>342.74</v>
      </c>
      <c r="H43" s="69">
        <f t="shared" si="6"/>
        <v>338.84000000000003</v>
      </c>
      <c r="I43" s="69">
        <f t="shared" si="6"/>
        <v>331.04</v>
      </c>
      <c r="J43" s="69">
        <f t="shared" si="6"/>
        <v>326.24</v>
      </c>
      <c r="K43" s="69">
        <f t="shared" si="6"/>
        <v>334.74000000000007</v>
      </c>
      <c r="L43" s="69">
        <f t="shared" si="6"/>
        <v>340.84</v>
      </c>
      <c r="M43" s="69">
        <f t="shared" si="6"/>
        <v>340.84</v>
      </c>
      <c r="N43" s="69">
        <f t="shared" si="6"/>
        <v>338.74000000000007</v>
      </c>
      <c r="O43" s="69">
        <f t="shared" si="6"/>
        <v>338.64</v>
      </c>
      <c r="P43" s="69">
        <f t="shared" si="6"/>
        <v>370.04</v>
      </c>
      <c r="Q43" s="69">
        <f t="shared" si="6"/>
        <v>338.84000000000003</v>
      </c>
      <c r="R43" s="69">
        <f t="shared" si="6"/>
        <v>333.24000000000007</v>
      </c>
      <c r="S43" s="69">
        <f t="shared" si="6"/>
        <v>335.24000000000007</v>
      </c>
      <c r="T43" s="69">
        <f t="shared" si="6"/>
        <v>324.04000000000008</v>
      </c>
      <c r="U43" s="69">
        <f t="shared" si="6"/>
        <v>326.54000000000002</v>
      </c>
      <c r="V43" s="69">
        <f t="shared" si="6"/>
        <v>326.84000000000003</v>
      </c>
      <c r="W43" s="69">
        <f t="shared" si="6"/>
        <v>326.84000000000003</v>
      </c>
      <c r="X43" s="69">
        <f t="shared" si="6"/>
        <v>333.54</v>
      </c>
      <c r="Y43" s="69">
        <f t="shared" si="6"/>
        <v>332.84000000000003</v>
      </c>
      <c r="Z43" s="69">
        <f t="shared" si="6"/>
        <v>331.24</v>
      </c>
      <c r="AA43" s="69">
        <f t="shared" si="6"/>
        <v>345.84000000000009</v>
      </c>
      <c r="AB43" s="69">
        <f t="shared" si="6"/>
        <v>341.74000000000007</v>
      </c>
      <c r="AC43" s="69">
        <f t="shared" si="6"/>
        <v>339.94000000000005</v>
      </c>
      <c r="AD43" s="69">
        <f t="shared" si="6"/>
        <v>340.84000000000003</v>
      </c>
      <c r="AE43" s="69">
        <f t="shared" si="6"/>
        <v>338.84000000000003</v>
      </c>
      <c r="AF43" s="69">
        <f t="shared" si="6"/>
        <v>338.24000000000007</v>
      </c>
      <c r="AG43" s="74">
        <f>SUM(AG31:AG42)</f>
        <v>464.91</v>
      </c>
      <c r="AH43" s="52">
        <f t="shared" si="2"/>
        <v>370.04</v>
      </c>
      <c r="AI43" s="53">
        <f t="shared" si="3"/>
        <v>324.04000000000008</v>
      </c>
      <c r="AK43" s="54"/>
    </row>
    <row r="44" spans="1:41" x14ac:dyDescent="0.25">
      <c r="A44" s="55" t="s">
        <v>51</v>
      </c>
      <c r="B44" s="56">
        <v>29.2</v>
      </c>
      <c r="C44" s="56">
        <v>19.7</v>
      </c>
      <c r="D44" s="56">
        <v>13.7</v>
      </c>
      <c r="E44" s="56">
        <v>13.7</v>
      </c>
      <c r="F44" s="56">
        <v>29.5</v>
      </c>
      <c r="G44" s="56">
        <v>24.6</v>
      </c>
      <c r="H44" s="56">
        <v>25</v>
      </c>
      <c r="I44" s="56">
        <v>0</v>
      </c>
      <c r="J44" s="56">
        <v>0</v>
      </c>
      <c r="K44" s="56">
        <v>29.2</v>
      </c>
      <c r="L44" s="75">
        <v>29.2</v>
      </c>
      <c r="M44" s="75">
        <v>29.2</v>
      </c>
      <c r="N44" s="75">
        <v>29.2</v>
      </c>
      <c r="O44" s="75">
        <v>29.2</v>
      </c>
      <c r="P44" s="75">
        <v>29.2</v>
      </c>
      <c r="Q44" s="75">
        <v>29.2</v>
      </c>
      <c r="R44" s="49">
        <v>30</v>
      </c>
      <c r="S44" s="49">
        <v>14</v>
      </c>
      <c r="T44" s="49">
        <v>10</v>
      </c>
      <c r="U44" s="49">
        <v>18.899999999999999</v>
      </c>
      <c r="V44" s="49">
        <v>10</v>
      </c>
      <c r="W44" s="49">
        <v>10</v>
      </c>
      <c r="X44" s="49">
        <v>10.4</v>
      </c>
      <c r="Y44" s="49">
        <v>10.4</v>
      </c>
      <c r="Z44" s="49">
        <v>45</v>
      </c>
      <c r="AA44" s="49">
        <v>55</v>
      </c>
      <c r="AB44" s="49">
        <v>40.200000000000003</v>
      </c>
      <c r="AC44" s="49">
        <v>45</v>
      </c>
      <c r="AD44" s="49">
        <v>49.2</v>
      </c>
      <c r="AE44" s="49">
        <v>58.6</v>
      </c>
      <c r="AF44" s="49">
        <v>58.6</v>
      </c>
      <c r="AG44" s="57">
        <v>60</v>
      </c>
      <c r="AH44" s="52">
        <f t="shared" si="2"/>
        <v>58.6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14.7</v>
      </c>
      <c r="C45" s="56">
        <v>9.1999999999999993</v>
      </c>
      <c r="D45" s="56">
        <v>6.6</v>
      </c>
      <c r="E45" s="56">
        <v>6.2</v>
      </c>
      <c r="F45" s="56">
        <v>14.2</v>
      </c>
      <c r="G45" s="56">
        <v>13.5</v>
      </c>
      <c r="H45" s="56">
        <v>12.8</v>
      </c>
      <c r="I45" s="56">
        <v>0</v>
      </c>
      <c r="J45" s="56">
        <v>0</v>
      </c>
      <c r="K45" s="56">
        <v>12.4</v>
      </c>
      <c r="L45" s="75">
        <v>15.8</v>
      </c>
      <c r="M45" s="75">
        <v>15.8</v>
      </c>
      <c r="N45" s="75">
        <v>15.8</v>
      </c>
      <c r="O45" s="75">
        <v>15.8</v>
      </c>
      <c r="P45" s="75">
        <v>15.8</v>
      </c>
      <c r="Q45" s="75">
        <v>15.8</v>
      </c>
      <c r="R45" s="49">
        <v>15.4</v>
      </c>
      <c r="S45" s="49">
        <v>5</v>
      </c>
      <c r="T45" s="49">
        <v>3.8</v>
      </c>
      <c r="U45" s="70">
        <v>15.2</v>
      </c>
      <c r="V45" s="70">
        <v>4.7</v>
      </c>
      <c r="W45" s="70">
        <v>4.7</v>
      </c>
      <c r="X45" s="70">
        <v>6.2</v>
      </c>
      <c r="Y45" s="70">
        <v>5</v>
      </c>
      <c r="Z45" s="70">
        <v>21</v>
      </c>
      <c r="AA45" s="70">
        <v>27.2</v>
      </c>
      <c r="AB45" s="70">
        <v>21.9</v>
      </c>
      <c r="AC45" s="70">
        <v>18.7</v>
      </c>
      <c r="AD45" s="70">
        <v>24.1</v>
      </c>
      <c r="AE45" s="70">
        <v>29.9</v>
      </c>
      <c r="AF45" s="70">
        <v>29.7</v>
      </c>
      <c r="AG45" s="59">
        <v>32</v>
      </c>
      <c r="AH45" s="52">
        <f t="shared" si="2"/>
        <v>29.9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5.4</v>
      </c>
      <c r="C46" s="71">
        <v>3.4</v>
      </c>
      <c r="D46" s="71">
        <v>2.4</v>
      </c>
      <c r="E46" s="71">
        <v>2.2999999999999998</v>
      </c>
      <c r="F46" s="71">
        <v>5.2</v>
      </c>
      <c r="G46" s="71">
        <v>4.9000000000000004</v>
      </c>
      <c r="H46" s="71">
        <v>4.7</v>
      </c>
      <c r="I46" s="71">
        <v>0</v>
      </c>
      <c r="J46" s="71">
        <v>0</v>
      </c>
      <c r="K46" s="71">
        <v>4.7</v>
      </c>
      <c r="L46" s="76">
        <v>5.8</v>
      </c>
      <c r="M46" s="76">
        <v>5.8</v>
      </c>
      <c r="N46" s="76">
        <v>5.8</v>
      </c>
      <c r="O46" s="76">
        <v>5.8</v>
      </c>
      <c r="P46" s="76">
        <v>5.8</v>
      </c>
      <c r="Q46" s="76">
        <v>5.8</v>
      </c>
      <c r="R46" s="49">
        <v>5.6</v>
      </c>
      <c r="S46" s="49">
        <v>1.8</v>
      </c>
      <c r="T46" s="49">
        <v>1.4</v>
      </c>
      <c r="U46" s="77">
        <v>5.6</v>
      </c>
      <c r="V46" s="77">
        <v>1.7</v>
      </c>
      <c r="W46" s="77">
        <v>1.7</v>
      </c>
      <c r="X46" s="77">
        <v>2.2999999999999998</v>
      </c>
      <c r="Y46" s="77">
        <v>2</v>
      </c>
      <c r="Z46" s="77">
        <v>7.5</v>
      </c>
      <c r="AA46" s="77">
        <v>9.9</v>
      </c>
      <c r="AB46" s="77">
        <v>8</v>
      </c>
      <c r="AC46" s="77">
        <v>6.8</v>
      </c>
      <c r="AD46" s="77">
        <v>8.8000000000000007</v>
      </c>
      <c r="AE46" s="77">
        <v>10.9</v>
      </c>
      <c r="AF46" s="77">
        <v>10.9</v>
      </c>
      <c r="AG46" s="78">
        <v>14</v>
      </c>
      <c r="AH46" s="52">
        <f t="shared" si="2"/>
        <v>10.9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49.3</v>
      </c>
      <c r="C47" s="69">
        <f t="shared" ref="C47:AF47" si="7">SUM(C44:C46)</f>
        <v>32.299999999999997</v>
      </c>
      <c r="D47" s="69">
        <f t="shared" si="7"/>
        <v>22.699999999999996</v>
      </c>
      <c r="E47" s="69">
        <f t="shared" si="7"/>
        <v>22.2</v>
      </c>
      <c r="F47" s="69">
        <f t="shared" si="7"/>
        <v>48.900000000000006</v>
      </c>
      <c r="G47" s="69">
        <f t="shared" si="7"/>
        <v>43</v>
      </c>
      <c r="H47" s="69">
        <f t="shared" si="7"/>
        <v>42.5</v>
      </c>
      <c r="I47" s="69">
        <f t="shared" si="7"/>
        <v>0</v>
      </c>
      <c r="J47" s="69">
        <f t="shared" si="7"/>
        <v>0</v>
      </c>
      <c r="K47" s="69">
        <f t="shared" si="7"/>
        <v>46.300000000000004</v>
      </c>
      <c r="L47" s="69">
        <f t="shared" si="7"/>
        <v>50.8</v>
      </c>
      <c r="M47" s="69">
        <f t="shared" si="7"/>
        <v>50.8</v>
      </c>
      <c r="N47" s="69">
        <f t="shared" si="7"/>
        <v>50.8</v>
      </c>
      <c r="O47" s="69">
        <f t="shared" si="7"/>
        <v>50.8</v>
      </c>
      <c r="P47" s="69">
        <f t="shared" si="7"/>
        <v>50.8</v>
      </c>
      <c r="Q47" s="69">
        <f t="shared" si="7"/>
        <v>50.8</v>
      </c>
      <c r="R47" s="69">
        <f t="shared" si="7"/>
        <v>51</v>
      </c>
      <c r="S47" s="69">
        <f t="shared" si="7"/>
        <v>20.8</v>
      </c>
      <c r="T47" s="69">
        <f t="shared" si="7"/>
        <v>15.200000000000001</v>
      </c>
      <c r="U47" s="69">
        <f t="shared" si="7"/>
        <v>39.699999999999996</v>
      </c>
      <c r="V47" s="69">
        <f t="shared" si="7"/>
        <v>16.399999999999999</v>
      </c>
      <c r="W47" s="69">
        <f t="shared" si="7"/>
        <v>16.399999999999999</v>
      </c>
      <c r="X47" s="69">
        <f t="shared" si="7"/>
        <v>18.900000000000002</v>
      </c>
      <c r="Y47" s="69">
        <f t="shared" si="7"/>
        <v>17.399999999999999</v>
      </c>
      <c r="Z47" s="69">
        <f t="shared" si="7"/>
        <v>73.5</v>
      </c>
      <c r="AA47" s="69">
        <f t="shared" si="7"/>
        <v>92.100000000000009</v>
      </c>
      <c r="AB47" s="69">
        <f t="shared" si="7"/>
        <v>70.099999999999994</v>
      </c>
      <c r="AC47" s="69">
        <f t="shared" si="7"/>
        <v>70.5</v>
      </c>
      <c r="AD47" s="69">
        <f t="shared" si="7"/>
        <v>82.100000000000009</v>
      </c>
      <c r="AE47" s="69">
        <f t="shared" si="7"/>
        <v>99.4</v>
      </c>
      <c r="AF47" s="69">
        <f t="shared" si="7"/>
        <v>99.2</v>
      </c>
      <c r="AG47" s="74">
        <f>SUM(AG44:AG46)</f>
        <v>106</v>
      </c>
      <c r="AH47" s="52">
        <f t="shared" si="2"/>
        <v>99.4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66</v>
      </c>
      <c r="C48" s="49">
        <v>66</v>
      </c>
      <c r="D48" s="49">
        <v>60.58</v>
      </c>
      <c r="E48" s="49">
        <v>59</v>
      </c>
      <c r="F48" s="49">
        <v>58.51</v>
      </c>
      <c r="G48" s="49">
        <v>48.72</v>
      </c>
      <c r="H48" s="49">
        <v>53.63</v>
      </c>
      <c r="I48" s="49">
        <v>56.82</v>
      </c>
      <c r="J48" s="49">
        <v>47.48</v>
      </c>
      <c r="K48" s="49">
        <v>65.37</v>
      </c>
      <c r="L48" s="49">
        <v>70.3</v>
      </c>
      <c r="M48" s="49">
        <v>65</v>
      </c>
      <c r="N48" s="49">
        <v>73.900000000000006</v>
      </c>
      <c r="O48" s="49">
        <v>77.5</v>
      </c>
      <c r="P48" s="49">
        <v>68.180000000000007</v>
      </c>
      <c r="Q48" s="49">
        <v>74</v>
      </c>
      <c r="R48" s="49">
        <v>73</v>
      </c>
      <c r="S48" s="49">
        <v>71</v>
      </c>
      <c r="T48" s="49">
        <v>68.7</v>
      </c>
      <c r="U48" s="49">
        <v>69</v>
      </c>
      <c r="V48" s="49">
        <v>69</v>
      </c>
      <c r="W48" s="49">
        <v>65</v>
      </c>
      <c r="X48" s="49">
        <v>57</v>
      </c>
      <c r="Y48" s="49">
        <v>53</v>
      </c>
      <c r="Z48" s="49">
        <v>63</v>
      </c>
      <c r="AA48" s="49">
        <v>64</v>
      </c>
      <c r="AB48" s="49">
        <v>67.900000000000006</v>
      </c>
      <c r="AC48" s="49">
        <v>70.3</v>
      </c>
      <c r="AD48" s="49">
        <v>68.2</v>
      </c>
      <c r="AE48" s="49">
        <v>67.099999999999994</v>
      </c>
      <c r="AF48" s="49">
        <v>64.2</v>
      </c>
      <c r="AG48" s="57"/>
      <c r="AH48" s="52">
        <f t="shared" si="2"/>
        <v>77.5</v>
      </c>
      <c r="AI48" s="53">
        <f t="shared" si="3"/>
        <v>47.48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76.8</v>
      </c>
      <c r="N49" s="49">
        <v>78.7</v>
      </c>
      <c r="O49" s="49">
        <v>78.099999999999994</v>
      </c>
      <c r="P49" s="49">
        <v>83.9</v>
      </c>
      <c r="Q49" s="49">
        <v>74.400000000000006</v>
      </c>
      <c r="R49" s="49">
        <f>67+16</f>
        <v>83</v>
      </c>
      <c r="S49" s="49">
        <v>27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38</v>
      </c>
      <c r="Z49" s="79">
        <v>86</v>
      </c>
      <c r="AA49" s="70">
        <v>80</v>
      </c>
      <c r="AB49" s="70">
        <v>81.5</v>
      </c>
      <c r="AC49" s="70">
        <v>82.3</v>
      </c>
      <c r="AD49" s="70">
        <v>58.5</v>
      </c>
      <c r="AE49" s="70">
        <v>48.9</v>
      </c>
      <c r="AF49" s="70">
        <v>47.9</v>
      </c>
      <c r="AG49" s="59"/>
      <c r="AH49" s="52">
        <f t="shared" si="2"/>
        <v>86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105.5</v>
      </c>
      <c r="C50" s="70">
        <v>106</v>
      </c>
      <c r="D50" s="70">
        <v>101</v>
      </c>
      <c r="E50" s="70">
        <v>108</v>
      </c>
      <c r="F50" s="70">
        <v>101.5</v>
      </c>
      <c r="G50" s="49">
        <v>105</v>
      </c>
      <c r="H50" s="49">
        <v>94</v>
      </c>
      <c r="I50" s="49">
        <v>200</v>
      </c>
      <c r="J50" s="49">
        <v>240</v>
      </c>
      <c r="K50" s="49">
        <v>219</v>
      </c>
      <c r="L50" s="70">
        <v>220</v>
      </c>
      <c r="M50" s="70">
        <v>190</v>
      </c>
      <c r="N50" s="70">
        <v>190</v>
      </c>
      <c r="O50" s="70">
        <v>196</v>
      </c>
      <c r="P50" s="70">
        <v>178</v>
      </c>
      <c r="Q50" s="70">
        <v>206</v>
      </c>
      <c r="R50" s="70">
        <v>186</v>
      </c>
      <c r="S50" s="70">
        <v>184</v>
      </c>
      <c r="T50" s="70">
        <v>188</v>
      </c>
      <c r="U50" s="80">
        <v>180</v>
      </c>
      <c r="V50" s="80">
        <v>170</v>
      </c>
      <c r="W50" s="80">
        <v>180</v>
      </c>
      <c r="X50" s="80">
        <v>190</v>
      </c>
      <c r="Y50" s="80">
        <v>260</v>
      </c>
      <c r="Z50" s="80">
        <v>252</v>
      </c>
      <c r="AA50" s="70">
        <v>240</v>
      </c>
      <c r="AB50" s="70">
        <v>241</v>
      </c>
      <c r="AC50" s="70">
        <v>250</v>
      </c>
      <c r="AD50" s="70">
        <v>145</v>
      </c>
      <c r="AE50" s="70">
        <v>80</v>
      </c>
      <c r="AF50" s="70">
        <v>74.2</v>
      </c>
      <c r="AG50" s="81"/>
      <c r="AH50" s="52">
        <f t="shared" si="2"/>
        <v>260</v>
      </c>
      <c r="AI50" s="53">
        <f t="shared" si="3"/>
        <v>74.2</v>
      </c>
      <c r="AK50" s="54"/>
    </row>
    <row r="51" spans="1:37" x14ac:dyDescent="0.25">
      <c r="A51" s="58" t="s">
        <v>58</v>
      </c>
      <c r="B51" s="82">
        <v>14.5</v>
      </c>
      <c r="C51" s="82">
        <v>14.5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13</v>
      </c>
      <c r="S51" s="70">
        <v>13</v>
      </c>
      <c r="T51" s="70">
        <v>12</v>
      </c>
      <c r="U51" s="70">
        <v>12</v>
      </c>
      <c r="V51" s="70">
        <v>9</v>
      </c>
      <c r="W51" s="70">
        <v>9</v>
      </c>
      <c r="X51" s="70">
        <v>9</v>
      </c>
      <c r="Y51" s="70">
        <v>10</v>
      </c>
      <c r="Z51" s="70">
        <v>18.399999999999999</v>
      </c>
      <c r="AA51" s="82">
        <v>20</v>
      </c>
      <c r="AB51" s="82">
        <v>20</v>
      </c>
      <c r="AC51" s="82">
        <v>20</v>
      </c>
      <c r="AD51" s="82">
        <v>21</v>
      </c>
      <c r="AE51" s="82">
        <v>21</v>
      </c>
      <c r="AF51" s="82">
        <v>21</v>
      </c>
      <c r="AG51" s="81"/>
      <c r="AH51" s="52">
        <f t="shared" si="2"/>
        <v>21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70</v>
      </c>
      <c r="C52" s="82">
        <v>73.3</v>
      </c>
      <c r="D52" s="82">
        <v>67</v>
      </c>
      <c r="E52" s="82">
        <v>64.599999999999994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73.3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70">
        <v>0</v>
      </c>
      <c r="L53" s="70">
        <v>0</v>
      </c>
      <c r="M53" s="83">
        <v>0</v>
      </c>
      <c r="N53" s="83">
        <v>0</v>
      </c>
      <c r="O53" s="83">
        <v>0</v>
      </c>
      <c r="P53" s="83">
        <v>0</v>
      </c>
      <c r="Q53" s="83">
        <v>7.5</v>
      </c>
      <c r="R53" s="83">
        <v>7.5</v>
      </c>
      <c r="S53" s="83">
        <v>7.5</v>
      </c>
      <c r="T53" s="83">
        <v>7.5</v>
      </c>
      <c r="U53" s="83">
        <v>7.5</v>
      </c>
      <c r="V53" s="83">
        <v>7.5</v>
      </c>
      <c r="W53" s="83">
        <v>7.5</v>
      </c>
      <c r="X53" s="83">
        <v>7.5</v>
      </c>
      <c r="Y53" s="83">
        <v>7.5</v>
      </c>
      <c r="Z53" s="83">
        <v>9</v>
      </c>
      <c r="AA53" s="83">
        <v>9</v>
      </c>
      <c r="AB53" s="83">
        <v>9</v>
      </c>
      <c r="AC53" s="83">
        <v>9</v>
      </c>
      <c r="AD53" s="83">
        <v>9</v>
      </c>
      <c r="AE53" s="83">
        <v>9</v>
      </c>
      <c r="AF53" s="83">
        <v>9</v>
      </c>
      <c r="AG53" s="81"/>
      <c r="AH53" s="52">
        <f t="shared" si="2"/>
        <v>9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49">
        <v>0</v>
      </c>
      <c r="L54" s="70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70">
        <v>0</v>
      </c>
      <c r="L57" s="70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49">
        <v>0</v>
      </c>
      <c r="L58" s="70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256</v>
      </c>
      <c r="C59" s="69">
        <f t="shared" ref="C59:AF59" si="8">SUM(C48:C58)</f>
        <v>259.8</v>
      </c>
      <c r="D59" s="69">
        <f t="shared" si="8"/>
        <v>228.57999999999998</v>
      </c>
      <c r="E59" s="69">
        <f t="shared" si="8"/>
        <v>231.6</v>
      </c>
      <c r="F59" s="69">
        <f t="shared" si="8"/>
        <v>160.01</v>
      </c>
      <c r="G59" s="69">
        <f t="shared" si="8"/>
        <v>153.72</v>
      </c>
      <c r="H59" s="69">
        <f t="shared" si="8"/>
        <v>147.63</v>
      </c>
      <c r="I59" s="69">
        <f t="shared" si="8"/>
        <v>256.82</v>
      </c>
      <c r="J59" s="69">
        <f t="shared" si="8"/>
        <v>287.48</v>
      </c>
      <c r="K59" s="69">
        <f t="shared" si="8"/>
        <v>284.37</v>
      </c>
      <c r="L59" s="69">
        <f t="shared" si="8"/>
        <v>290.3</v>
      </c>
      <c r="M59" s="69">
        <f t="shared" si="8"/>
        <v>331.8</v>
      </c>
      <c r="N59" s="69">
        <f t="shared" si="8"/>
        <v>342.6</v>
      </c>
      <c r="O59" s="69">
        <f t="shared" si="8"/>
        <v>351.6</v>
      </c>
      <c r="P59" s="69">
        <f t="shared" si="8"/>
        <v>330.08000000000004</v>
      </c>
      <c r="Q59" s="69">
        <f t="shared" si="8"/>
        <v>361.9</v>
      </c>
      <c r="R59" s="69">
        <f t="shared" si="8"/>
        <v>362.5</v>
      </c>
      <c r="S59" s="69">
        <f t="shared" si="8"/>
        <v>302.5</v>
      </c>
      <c r="T59" s="69">
        <f t="shared" si="8"/>
        <v>276.2</v>
      </c>
      <c r="U59" s="69">
        <f t="shared" si="8"/>
        <v>268.5</v>
      </c>
      <c r="V59" s="69">
        <f t="shared" si="8"/>
        <v>255.5</v>
      </c>
      <c r="W59" s="69">
        <f t="shared" si="8"/>
        <v>261.5</v>
      </c>
      <c r="X59" s="69">
        <f t="shared" si="8"/>
        <v>263.5</v>
      </c>
      <c r="Y59" s="69">
        <f t="shared" si="8"/>
        <v>368.5</v>
      </c>
      <c r="Z59" s="69">
        <f t="shared" si="8"/>
        <v>428.4</v>
      </c>
      <c r="AA59" s="69">
        <f t="shared" si="8"/>
        <v>413</v>
      </c>
      <c r="AB59" s="69">
        <f t="shared" si="8"/>
        <v>419.4</v>
      </c>
      <c r="AC59" s="69">
        <f t="shared" si="8"/>
        <v>431.6</v>
      </c>
      <c r="AD59" s="69">
        <f t="shared" si="8"/>
        <v>301.7</v>
      </c>
      <c r="AE59" s="69">
        <f t="shared" si="8"/>
        <v>226</v>
      </c>
      <c r="AF59" s="69">
        <f t="shared" si="8"/>
        <v>216.3</v>
      </c>
      <c r="AG59" s="74">
        <f>SUM(AG48:AG58)</f>
        <v>0</v>
      </c>
      <c r="AH59" s="52">
        <f t="shared" si="2"/>
        <v>431.6</v>
      </c>
      <c r="AI59" s="53">
        <f t="shared" si="3"/>
        <v>147.63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1030.94</v>
      </c>
      <c r="C65" s="91">
        <f t="shared" ref="C65:AF65" si="10">C63+C59+C47+C43+C30+C64</f>
        <v>1014.94</v>
      </c>
      <c r="D65" s="91">
        <f t="shared" si="10"/>
        <v>980.62000000000012</v>
      </c>
      <c r="E65" s="91">
        <f t="shared" si="10"/>
        <v>988.24</v>
      </c>
      <c r="F65" s="91">
        <f t="shared" si="10"/>
        <v>955.25</v>
      </c>
      <c r="G65" s="91">
        <f t="shared" si="10"/>
        <v>947.46</v>
      </c>
      <c r="H65" s="91">
        <f t="shared" si="10"/>
        <v>927.47</v>
      </c>
      <c r="I65" s="91">
        <f t="shared" si="10"/>
        <v>985.96</v>
      </c>
      <c r="J65" s="91">
        <f t="shared" si="10"/>
        <v>1018.62</v>
      </c>
      <c r="K65" s="91">
        <f t="shared" si="10"/>
        <v>1069.0100000000002</v>
      </c>
      <c r="L65" s="91">
        <f t="shared" si="10"/>
        <v>1085.8400000000001</v>
      </c>
      <c r="M65" s="91">
        <f t="shared" si="10"/>
        <v>1127.3400000000001</v>
      </c>
      <c r="N65" s="91">
        <f t="shared" si="10"/>
        <v>1134.04</v>
      </c>
      <c r="O65" s="91">
        <f t="shared" si="10"/>
        <v>1141.8399999999999</v>
      </c>
      <c r="P65" s="91">
        <f t="shared" si="10"/>
        <v>1151.92</v>
      </c>
      <c r="Q65" s="91">
        <f t="shared" si="10"/>
        <v>1151.7399999999998</v>
      </c>
      <c r="R65" s="91">
        <f t="shared" si="10"/>
        <v>1145.44</v>
      </c>
      <c r="S65" s="91">
        <f t="shared" si="10"/>
        <v>1059.24</v>
      </c>
      <c r="T65" s="91">
        <f t="shared" si="10"/>
        <v>1014.0400000000001</v>
      </c>
      <c r="U65" s="91">
        <f t="shared" si="10"/>
        <v>1037.44</v>
      </c>
      <c r="V65" s="91">
        <f t="shared" si="10"/>
        <v>1003.94</v>
      </c>
      <c r="W65" s="91">
        <f t="shared" si="10"/>
        <v>1008.54</v>
      </c>
      <c r="X65" s="91">
        <f t="shared" si="10"/>
        <v>1020.84</v>
      </c>
      <c r="Y65" s="91">
        <f t="shared" si="10"/>
        <v>1123.6399999999999</v>
      </c>
      <c r="Z65" s="91">
        <f t="shared" si="10"/>
        <v>1309.3399999999999</v>
      </c>
      <c r="AA65" s="91">
        <f t="shared" si="10"/>
        <v>1277.3400000000001</v>
      </c>
      <c r="AB65" s="91">
        <f t="shared" si="10"/>
        <v>1255.1399999999999</v>
      </c>
      <c r="AC65" s="91">
        <f t="shared" si="10"/>
        <v>1255.94</v>
      </c>
      <c r="AD65" s="91">
        <f t="shared" si="10"/>
        <v>1164.54</v>
      </c>
      <c r="AE65" s="91">
        <f t="shared" si="10"/>
        <v>1096.44</v>
      </c>
      <c r="AF65" s="91">
        <f t="shared" si="10"/>
        <v>1082.3399999999999</v>
      </c>
      <c r="AG65" s="74">
        <f>AG63+AG59+AG47+AG43+AG30+AG64</f>
        <v>1355.5100000000002</v>
      </c>
      <c r="AH65" s="52">
        <f t="shared" si="2"/>
        <v>1309.3399999999999</v>
      </c>
      <c r="AI65" s="53">
        <f t="shared" si="3"/>
        <v>927.47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50.012</v>
      </c>
      <c r="C72" s="94">
        <v>50.054000000000002</v>
      </c>
      <c r="D72" s="94">
        <v>50.01</v>
      </c>
      <c r="E72" s="94">
        <v>50.05</v>
      </c>
      <c r="F72" s="94">
        <v>49.993000000000002</v>
      </c>
      <c r="G72" s="94">
        <v>50.018999999999998</v>
      </c>
      <c r="H72" s="94">
        <v>49.896000000000001</v>
      </c>
      <c r="I72" s="94">
        <v>50</v>
      </c>
      <c r="J72" s="94">
        <v>50.061999999999998</v>
      </c>
      <c r="K72" s="94">
        <v>50.030999999999999</v>
      </c>
      <c r="L72" s="94">
        <v>50.06</v>
      </c>
      <c r="M72" s="94">
        <v>49.954999999999998</v>
      </c>
      <c r="N72" s="94">
        <v>50.05</v>
      </c>
      <c r="O72" s="94">
        <v>49.98</v>
      </c>
      <c r="P72" s="94">
        <v>50.04</v>
      </c>
      <c r="Q72" s="95">
        <v>49.98</v>
      </c>
      <c r="R72" s="94">
        <v>50.082000000000001</v>
      </c>
      <c r="S72" s="94">
        <v>50.06</v>
      </c>
      <c r="T72" s="94">
        <v>50.158999999999999</v>
      </c>
      <c r="U72" s="94">
        <v>49.994</v>
      </c>
      <c r="V72" s="94">
        <v>49.988</v>
      </c>
      <c r="W72" s="94">
        <v>49.988</v>
      </c>
      <c r="X72" s="94">
        <v>50.112000000000002</v>
      </c>
      <c r="Y72" s="94">
        <v>50.052999999999997</v>
      </c>
      <c r="Z72" s="94">
        <v>50.082000000000001</v>
      </c>
      <c r="AA72" s="94">
        <v>49.96</v>
      </c>
      <c r="AB72" s="94">
        <v>50.05</v>
      </c>
      <c r="AC72" s="94">
        <v>50.02</v>
      </c>
      <c r="AD72" s="94">
        <v>50.033000000000001</v>
      </c>
      <c r="AE72" s="94">
        <v>50.02</v>
      </c>
      <c r="AF72" s="96">
        <v>50.01</v>
      </c>
      <c r="AG72" s="97"/>
      <c r="AH72" s="52">
        <f t="shared" si="2"/>
        <v>50.158999999999999</v>
      </c>
      <c r="AI72" s="53">
        <f t="shared" si="3"/>
        <v>49.896000000000001</v>
      </c>
    </row>
    <row r="73" spans="1:35" x14ac:dyDescent="0.25">
      <c r="A73" s="98" t="s">
        <v>80</v>
      </c>
      <c r="B73" s="70">
        <v>127</v>
      </c>
      <c r="C73" s="70">
        <v>127.5</v>
      </c>
      <c r="D73" s="70">
        <v>127.8</v>
      </c>
      <c r="E73" s="70">
        <v>127.7</v>
      </c>
      <c r="F73" s="70">
        <v>125.6</v>
      </c>
      <c r="G73" s="70">
        <v>125.8</v>
      </c>
      <c r="H73" s="70">
        <v>126</v>
      </c>
      <c r="I73" s="70">
        <v>123.2</v>
      </c>
      <c r="J73" s="70">
        <v>124.3</v>
      </c>
      <c r="K73" s="70">
        <v>124.6</v>
      </c>
      <c r="L73" s="70">
        <v>125.6</v>
      </c>
      <c r="M73" s="70">
        <v>122.1</v>
      </c>
      <c r="N73" s="70">
        <v>124.2</v>
      </c>
      <c r="O73" s="70">
        <v>124.9</v>
      </c>
      <c r="P73" s="70">
        <v>125.1</v>
      </c>
      <c r="Q73" s="99">
        <v>125.6</v>
      </c>
      <c r="R73" s="99">
        <v>126.5</v>
      </c>
      <c r="S73" s="99">
        <v>126.5</v>
      </c>
      <c r="T73" s="99">
        <v>126.8</v>
      </c>
      <c r="U73" s="99">
        <v>127.7</v>
      </c>
      <c r="V73" s="99">
        <v>127.7</v>
      </c>
      <c r="W73" s="99">
        <v>127.7</v>
      </c>
      <c r="X73" s="99">
        <v>127.7</v>
      </c>
      <c r="Y73" s="99">
        <v>126.1</v>
      </c>
      <c r="Z73" s="99">
        <v>125.4</v>
      </c>
      <c r="AA73" s="70">
        <v>126.5</v>
      </c>
      <c r="AB73" s="70">
        <v>125.2</v>
      </c>
      <c r="AC73" s="70">
        <v>125.6</v>
      </c>
      <c r="AD73" s="70">
        <v>125.9</v>
      </c>
      <c r="AE73" s="70">
        <v>126.2</v>
      </c>
      <c r="AF73" s="100">
        <v>127</v>
      </c>
      <c r="AG73" s="101"/>
      <c r="AH73" s="52">
        <f t="shared" si="2"/>
        <v>127.8</v>
      </c>
      <c r="AI73" s="53">
        <f t="shared" si="3"/>
        <v>122.1</v>
      </c>
    </row>
    <row r="74" spans="1:35" x14ac:dyDescent="0.25">
      <c r="A74" s="98" t="s">
        <v>81</v>
      </c>
      <c r="B74" s="70">
        <v>129.9</v>
      </c>
      <c r="C74" s="70">
        <v>130.6</v>
      </c>
      <c r="D74" s="70">
        <v>130.80000000000001</v>
      </c>
      <c r="E74" s="70">
        <v>130.69999999999999</v>
      </c>
      <c r="F74" s="70">
        <v>128.80000000000001</v>
      </c>
      <c r="G74" s="70">
        <v>128.4</v>
      </c>
      <c r="H74" s="70">
        <v>128.19999999999999</v>
      </c>
      <c r="I74" s="70">
        <v>125.6</v>
      </c>
      <c r="J74" s="70">
        <v>126.3</v>
      </c>
      <c r="K74" s="70">
        <v>126.8</v>
      </c>
      <c r="L74" s="70">
        <v>127.5</v>
      </c>
      <c r="M74" s="70">
        <v>124.9</v>
      </c>
      <c r="N74" s="70">
        <v>126.7</v>
      </c>
      <c r="O74" s="70">
        <v>127.4</v>
      </c>
      <c r="P74" s="70">
        <v>127.7</v>
      </c>
      <c r="Q74" s="99">
        <v>127.7</v>
      </c>
      <c r="R74" s="99">
        <v>128.5</v>
      </c>
      <c r="S74" s="99">
        <v>128.5</v>
      </c>
      <c r="T74" s="99">
        <v>129</v>
      </c>
      <c r="U74" s="99">
        <v>129.69999999999999</v>
      </c>
      <c r="V74" s="99">
        <v>129.69999999999999</v>
      </c>
      <c r="W74" s="99">
        <v>129.69999999999999</v>
      </c>
      <c r="X74" s="99">
        <v>129.69999999999999</v>
      </c>
      <c r="Y74" s="99">
        <v>128.30000000000001</v>
      </c>
      <c r="Z74" s="99">
        <v>127.8</v>
      </c>
      <c r="AA74" s="70">
        <v>128.69999999999999</v>
      </c>
      <c r="AB74" s="70">
        <v>127.8</v>
      </c>
      <c r="AC74" s="70">
        <v>128.6</v>
      </c>
      <c r="AD74" s="70">
        <v>129.19999999999999</v>
      </c>
      <c r="AE74" s="70">
        <v>129.4</v>
      </c>
      <c r="AF74" s="100">
        <v>130.1</v>
      </c>
      <c r="AG74" s="101"/>
      <c r="AH74" s="52">
        <f t="shared" si="2"/>
        <v>130.80000000000001</v>
      </c>
      <c r="AI74" s="53">
        <f t="shared" si="3"/>
        <v>124.9</v>
      </c>
    </row>
    <row r="75" spans="1:35" x14ac:dyDescent="0.25">
      <c r="A75" s="98" t="s">
        <v>82</v>
      </c>
      <c r="B75" s="70">
        <v>126.8</v>
      </c>
      <c r="C75" s="70">
        <v>128.9</v>
      </c>
      <c r="D75" s="70">
        <v>129.6</v>
      </c>
      <c r="E75" s="70">
        <v>129</v>
      </c>
      <c r="F75" s="70">
        <v>129.5</v>
      </c>
      <c r="G75" s="70">
        <v>128.80000000000001</v>
      </c>
      <c r="H75" s="70">
        <v>129</v>
      </c>
      <c r="I75" s="70">
        <v>127.3</v>
      </c>
      <c r="J75" s="70">
        <v>127.7</v>
      </c>
      <c r="K75" s="70">
        <v>126.9</v>
      </c>
      <c r="L75" s="70">
        <v>123.4</v>
      </c>
      <c r="M75" s="70">
        <v>126</v>
      </c>
      <c r="N75" s="70">
        <v>129.1</v>
      </c>
      <c r="O75" s="70">
        <v>125.6</v>
      </c>
      <c r="P75" s="70">
        <v>128.4</v>
      </c>
      <c r="Q75" s="70">
        <v>130.30000000000001</v>
      </c>
      <c r="R75" s="70">
        <v>130</v>
      </c>
      <c r="S75" s="70">
        <v>130</v>
      </c>
      <c r="T75" s="99">
        <v>128.69999999999999</v>
      </c>
      <c r="U75" s="99">
        <v>130.30000000000001</v>
      </c>
      <c r="V75" s="99">
        <v>130.30000000000001</v>
      </c>
      <c r="W75" s="99">
        <v>130.30000000000001</v>
      </c>
      <c r="X75" s="99">
        <v>130.30000000000001</v>
      </c>
      <c r="Y75" s="99">
        <v>129.9</v>
      </c>
      <c r="Z75" s="99">
        <v>126.9</v>
      </c>
      <c r="AA75" s="70">
        <v>128.6</v>
      </c>
      <c r="AB75" s="70">
        <v>126.6</v>
      </c>
      <c r="AC75" s="70">
        <v>126.5</v>
      </c>
      <c r="AD75" s="70">
        <v>125.9</v>
      </c>
      <c r="AE75" s="70">
        <v>127.6</v>
      </c>
      <c r="AF75" s="100">
        <v>127.5</v>
      </c>
      <c r="AG75" s="101"/>
      <c r="AH75" s="52">
        <f t="shared" si="2"/>
        <v>130.30000000000001</v>
      </c>
      <c r="AI75" s="53">
        <f t="shared" si="3"/>
        <v>123.4</v>
      </c>
    </row>
    <row r="76" spans="1:35" x14ac:dyDescent="0.25">
      <c r="A76" s="102" t="s">
        <v>83</v>
      </c>
      <c r="B76" s="70">
        <v>131.80000000000001</v>
      </c>
      <c r="C76" s="70">
        <v>132.1</v>
      </c>
      <c r="D76" s="70">
        <v>132.80000000000001</v>
      </c>
      <c r="E76" s="70">
        <v>132.4</v>
      </c>
      <c r="F76" s="70">
        <v>133</v>
      </c>
      <c r="G76" s="70">
        <v>132.19999999999999</v>
      </c>
      <c r="H76" s="70">
        <v>132.30000000000001</v>
      </c>
      <c r="I76" s="70">
        <v>130.1</v>
      </c>
      <c r="J76" s="70">
        <v>130</v>
      </c>
      <c r="K76" s="70">
        <v>130.19999999999999</v>
      </c>
      <c r="L76" s="70">
        <v>126.1</v>
      </c>
      <c r="M76" s="70">
        <v>128</v>
      </c>
      <c r="N76" s="70">
        <v>127.3</v>
      </c>
      <c r="O76" s="70">
        <v>126.8</v>
      </c>
      <c r="P76" s="70">
        <v>129.5</v>
      </c>
      <c r="Q76" s="70">
        <v>131.80000000000001</v>
      </c>
      <c r="R76" s="70">
        <v>132.30000000000001</v>
      </c>
      <c r="S76" s="70">
        <v>132.30000000000001</v>
      </c>
      <c r="T76" s="99">
        <v>131.5</v>
      </c>
      <c r="U76" s="99">
        <v>134.19999999999999</v>
      </c>
      <c r="V76" s="99">
        <v>134.19999999999999</v>
      </c>
      <c r="W76" s="99">
        <v>134.19999999999999</v>
      </c>
      <c r="X76" s="99">
        <v>134.19999999999999</v>
      </c>
      <c r="Y76" s="99">
        <v>133.6</v>
      </c>
      <c r="Z76" s="99">
        <v>131.1</v>
      </c>
      <c r="AA76" s="70">
        <v>132.1</v>
      </c>
      <c r="AB76" s="70">
        <v>130.19999999999999</v>
      </c>
      <c r="AC76" s="70">
        <v>129.9</v>
      </c>
      <c r="AD76" s="70">
        <v>131</v>
      </c>
      <c r="AE76" s="70">
        <v>130.1</v>
      </c>
      <c r="AF76" s="100">
        <v>130.5</v>
      </c>
      <c r="AG76" s="101"/>
      <c r="AH76" s="52">
        <f t="shared" si="2"/>
        <v>134.19999999999999</v>
      </c>
      <c r="AI76" s="53">
        <f t="shared" si="3"/>
        <v>126.1</v>
      </c>
    </row>
    <row r="77" spans="1:35" x14ac:dyDescent="0.25">
      <c r="A77" s="102" t="s">
        <v>84</v>
      </c>
      <c r="B77" s="103">
        <v>132</v>
      </c>
      <c r="C77" s="103">
        <v>131.6</v>
      </c>
      <c r="D77" s="103">
        <v>131.9</v>
      </c>
      <c r="E77" s="103">
        <v>97.2</v>
      </c>
      <c r="F77" s="103">
        <v>132.80000000000001</v>
      </c>
      <c r="G77" s="103">
        <v>133.69999999999999</v>
      </c>
      <c r="H77" s="103">
        <v>133.30000000000001</v>
      </c>
      <c r="I77" s="103">
        <v>132.30000000000001</v>
      </c>
      <c r="J77" s="103">
        <v>129.30000000000001</v>
      </c>
      <c r="K77" s="103">
        <v>134.6</v>
      </c>
      <c r="L77" s="103">
        <v>134.5</v>
      </c>
      <c r="M77" s="103">
        <v>128</v>
      </c>
      <c r="N77" s="103">
        <v>130.4</v>
      </c>
      <c r="O77" s="103">
        <v>129.69999999999999</v>
      </c>
      <c r="P77" s="103">
        <v>128</v>
      </c>
      <c r="Q77" s="103">
        <v>131.1</v>
      </c>
      <c r="R77" s="103">
        <v>131.9</v>
      </c>
      <c r="S77" s="103">
        <v>131.9</v>
      </c>
      <c r="T77" s="99">
        <v>132.6</v>
      </c>
      <c r="U77" s="99">
        <v>135</v>
      </c>
      <c r="V77" s="99">
        <v>135</v>
      </c>
      <c r="W77" s="99">
        <v>135</v>
      </c>
      <c r="X77" s="99">
        <v>135</v>
      </c>
      <c r="Y77" s="99">
        <v>133.4</v>
      </c>
      <c r="Z77" s="99">
        <v>129.69999999999999</v>
      </c>
      <c r="AA77" s="103">
        <v>133.6</v>
      </c>
      <c r="AB77" s="103">
        <v>129</v>
      </c>
      <c r="AC77" s="103">
        <v>133.30000000000001</v>
      </c>
      <c r="AD77" s="103">
        <v>135.69999999999999</v>
      </c>
      <c r="AE77" s="103">
        <v>130</v>
      </c>
      <c r="AF77" s="104">
        <v>129.4</v>
      </c>
      <c r="AG77" s="105"/>
      <c r="AH77" s="52">
        <f t="shared" si="2"/>
        <v>135.69999999999999</v>
      </c>
      <c r="AI77" s="53">
        <f t="shared" si="3"/>
        <v>97.2</v>
      </c>
    </row>
    <row r="78" spans="1:35" x14ac:dyDescent="0.25">
      <c r="A78" s="98" t="s">
        <v>85</v>
      </c>
      <c r="B78" s="70">
        <v>130.5</v>
      </c>
      <c r="C78" s="70">
        <v>128.69999999999999</v>
      </c>
      <c r="D78" s="70">
        <v>128.19999999999999</v>
      </c>
      <c r="E78" s="70">
        <v>132.6</v>
      </c>
      <c r="F78" s="70">
        <v>135.1</v>
      </c>
      <c r="G78" s="70">
        <v>131.69999999999999</v>
      </c>
      <c r="H78" s="70">
        <v>129.6</v>
      </c>
      <c r="I78" s="70">
        <v>129.9</v>
      </c>
      <c r="J78" s="70">
        <v>129.6</v>
      </c>
      <c r="K78" s="70">
        <v>126.8</v>
      </c>
      <c r="L78" s="70">
        <v>129.9</v>
      </c>
      <c r="M78" s="70">
        <v>125.6</v>
      </c>
      <c r="N78" s="70">
        <v>121.1</v>
      </c>
      <c r="O78" s="70">
        <v>121.1</v>
      </c>
      <c r="P78" s="70">
        <v>130.9</v>
      </c>
      <c r="Q78" s="70">
        <v>128.4</v>
      </c>
      <c r="R78" s="70">
        <v>129.6</v>
      </c>
      <c r="S78" s="70">
        <v>129.6</v>
      </c>
      <c r="T78" s="99">
        <v>131.19999999999999</v>
      </c>
      <c r="U78" s="99">
        <v>132.19999999999999</v>
      </c>
      <c r="V78" s="99">
        <v>132.19999999999999</v>
      </c>
      <c r="W78" s="99">
        <v>132.19999999999999</v>
      </c>
      <c r="X78" s="99">
        <v>132.19999999999999</v>
      </c>
      <c r="Y78" s="99">
        <v>131.80000000000001</v>
      </c>
      <c r="Z78" s="99">
        <v>126.9</v>
      </c>
      <c r="AA78" s="70">
        <v>131.19999999999999</v>
      </c>
      <c r="AB78" s="70">
        <v>132.1</v>
      </c>
      <c r="AC78" s="70">
        <v>130.4</v>
      </c>
      <c r="AD78" s="70">
        <v>130.30000000000001</v>
      </c>
      <c r="AE78" s="70">
        <v>127</v>
      </c>
      <c r="AF78" s="100">
        <v>124.6</v>
      </c>
      <c r="AG78" s="101"/>
      <c r="AH78" s="52">
        <f>MAX(B78:AF78)</f>
        <v>135.1</v>
      </c>
      <c r="AI78" s="53">
        <f>MIN(B78:AF78)</f>
        <v>121.1</v>
      </c>
    </row>
    <row r="79" spans="1:35" ht="15.75" thickBot="1" x14ac:dyDescent="0.3">
      <c r="A79" s="98" t="s">
        <v>86</v>
      </c>
      <c r="B79" s="106">
        <v>66.7</v>
      </c>
      <c r="C79" s="106">
        <v>66.900000000000006</v>
      </c>
      <c r="D79" s="106">
        <v>67</v>
      </c>
      <c r="E79" s="106">
        <v>66.900000000000006</v>
      </c>
      <c r="F79" s="106">
        <v>66</v>
      </c>
      <c r="G79" s="106">
        <v>65.900000000000006</v>
      </c>
      <c r="H79" s="106">
        <v>65.599999999999994</v>
      </c>
      <c r="I79" s="106">
        <v>64.3</v>
      </c>
      <c r="J79" s="106">
        <v>64.3</v>
      </c>
      <c r="K79" s="106">
        <v>64.8</v>
      </c>
      <c r="L79" s="106">
        <v>65.2</v>
      </c>
      <c r="M79" s="106">
        <v>63.7</v>
      </c>
      <c r="N79" s="106">
        <v>64.900000000000006</v>
      </c>
      <c r="O79" s="106">
        <v>65.2</v>
      </c>
      <c r="P79" s="106">
        <v>65.400000000000006</v>
      </c>
      <c r="Q79" s="106">
        <v>65.400000000000006</v>
      </c>
      <c r="R79" s="106">
        <v>65.8</v>
      </c>
      <c r="S79" s="106">
        <v>65.8</v>
      </c>
      <c r="T79" s="106">
        <v>65.900000000000006</v>
      </c>
      <c r="U79" s="106">
        <v>66.2</v>
      </c>
      <c r="V79" s="106">
        <v>66.2</v>
      </c>
      <c r="W79" s="106">
        <v>66.2</v>
      </c>
      <c r="X79" s="106">
        <v>66.2</v>
      </c>
      <c r="Y79" s="106">
        <v>65.7</v>
      </c>
      <c r="Z79" s="106">
        <v>65.400000000000006</v>
      </c>
      <c r="AA79" s="106">
        <v>65.599999999999994</v>
      </c>
      <c r="AB79" s="106">
        <v>65.3</v>
      </c>
      <c r="AC79" s="106">
        <v>65.7</v>
      </c>
      <c r="AD79" s="106">
        <v>66</v>
      </c>
      <c r="AE79" s="106">
        <v>66.2</v>
      </c>
      <c r="AF79" s="107">
        <v>66.5</v>
      </c>
      <c r="AG79" s="108"/>
      <c r="AH79" s="52">
        <f>MAX(B79:AF79)</f>
        <v>67</v>
      </c>
      <c r="AI79" s="53">
        <f>MIN(B79:AF79)</f>
        <v>63.7</v>
      </c>
    </row>
    <row r="80" spans="1:35" x14ac:dyDescent="0.25">
      <c r="A80" s="109" t="s">
        <v>87</v>
      </c>
      <c r="B80" s="110">
        <f t="shared" ref="B80:AF80" si="19">SUMIF(B48:B57,"&gt;0")</f>
        <v>256</v>
      </c>
      <c r="C80" s="110">
        <f t="shared" si="19"/>
        <v>259.8</v>
      </c>
      <c r="D80" s="110">
        <f t="shared" si="19"/>
        <v>228.57999999999998</v>
      </c>
      <c r="E80" s="110">
        <f t="shared" si="19"/>
        <v>231.6</v>
      </c>
      <c r="F80" s="110">
        <f t="shared" si="19"/>
        <v>160.01</v>
      </c>
      <c r="G80" s="110">
        <f t="shared" si="19"/>
        <v>153.72</v>
      </c>
      <c r="H80" s="110">
        <f t="shared" si="19"/>
        <v>147.63</v>
      </c>
      <c r="I80" s="110">
        <f t="shared" si="19"/>
        <v>256.82</v>
      </c>
      <c r="J80" s="110">
        <f t="shared" si="19"/>
        <v>287.48</v>
      </c>
      <c r="K80" s="110">
        <f t="shared" si="19"/>
        <v>284.37</v>
      </c>
      <c r="L80" s="110">
        <f t="shared" si="19"/>
        <v>290.3</v>
      </c>
      <c r="M80" s="110">
        <f t="shared" si="19"/>
        <v>331.8</v>
      </c>
      <c r="N80" s="110">
        <f t="shared" si="19"/>
        <v>342.6</v>
      </c>
      <c r="O80" s="110">
        <f t="shared" si="19"/>
        <v>351.6</v>
      </c>
      <c r="P80" s="110">
        <f t="shared" si="19"/>
        <v>330.08000000000004</v>
      </c>
      <c r="Q80" s="110">
        <f t="shared" si="19"/>
        <v>361.9</v>
      </c>
      <c r="R80" s="110">
        <f t="shared" si="19"/>
        <v>362.5</v>
      </c>
      <c r="S80" s="110">
        <f t="shared" si="19"/>
        <v>302.5</v>
      </c>
      <c r="T80" s="110">
        <f t="shared" si="19"/>
        <v>276.2</v>
      </c>
      <c r="U80" s="110">
        <f t="shared" si="19"/>
        <v>268.5</v>
      </c>
      <c r="V80" s="110">
        <f t="shared" si="19"/>
        <v>255.5</v>
      </c>
      <c r="W80" s="110">
        <f t="shared" si="19"/>
        <v>261.5</v>
      </c>
      <c r="X80" s="110">
        <f t="shared" si="19"/>
        <v>263.5</v>
      </c>
      <c r="Y80" s="110">
        <f t="shared" si="19"/>
        <v>368.5</v>
      </c>
      <c r="Z80" s="110">
        <f t="shared" si="19"/>
        <v>428.4</v>
      </c>
      <c r="AA80" s="110">
        <f t="shared" si="19"/>
        <v>413</v>
      </c>
      <c r="AB80" s="110">
        <f t="shared" si="19"/>
        <v>419.4</v>
      </c>
      <c r="AC80" s="110">
        <f t="shared" si="19"/>
        <v>431.6</v>
      </c>
      <c r="AD80" s="110">
        <f t="shared" si="19"/>
        <v>301.7</v>
      </c>
      <c r="AE80" s="110">
        <f t="shared" si="19"/>
        <v>226</v>
      </c>
      <c r="AF80" s="110">
        <f t="shared" si="19"/>
        <v>216.3</v>
      </c>
      <c r="AG80" s="111"/>
      <c r="AH80" s="52">
        <f>MAX(B80:AF80)</f>
        <v>431.6</v>
      </c>
      <c r="AI80" s="53">
        <f>MIN(B80:AF80)</f>
        <v>147.63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128.31999999999994</v>
      </c>
      <c r="C82" s="115">
        <f t="shared" ref="C82:AF82" si="20">C11+C13+C17+C34+C36+C38+C40+C94+C108+C110+C121+C127+C130+C139+C143+C144+C147+C154+C159+C162+C163+C164+C172+C177+C83+C84+C85+C86+C99</f>
        <v>124.01999999999998</v>
      </c>
      <c r="D82" s="115">
        <f t="shared" si="20"/>
        <v>115.12</v>
      </c>
      <c r="E82" s="115">
        <f t="shared" si="20"/>
        <v>123.71999999999998</v>
      </c>
      <c r="F82" s="115">
        <f t="shared" si="20"/>
        <v>142.01999999999998</v>
      </c>
      <c r="G82" s="115">
        <f t="shared" si="20"/>
        <v>158.51999999999998</v>
      </c>
      <c r="H82" s="115">
        <f t="shared" si="20"/>
        <v>172.31999999999994</v>
      </c>
      <c r="I82" s="115">
        <f t="shared" si="20"/>
        <v>187.52</v>
      </c>
      <c r="J82" s="115">
        <f t="shared" si="20"/>
        <v>192.72</v>
      </c>
      <c r="K82" s="115">
        <f t="shared" si="20"/>
        <v>210.52</v>
      </c>
      <c r="L82" s="115">
        <f t="shared" si="20"/>
        <v>266.31999999999994</v>
      </c>
      <c r="M82" s="115">
        <f t="shared" si="20"/>
        <v>239.22</v>
      </c>
      <c r="N82" s="115">
        <f t="shared" si="20"/>
        <v>305.11999999999995</v>
      </c>
      <c r="O82" s="115">
        <f t="shared" si="20"/>
        <v>327.81999999999994</v>
      </c>
      <c r="P82" s="115">
        <f t="shared" si="20"/>
        <v>331.91999999999996</v>
      </c>
      <c r="Q82" s="115">
        <f t="shared" si="20"/>
        <v>202.52</v>
      </c>
      <c r="R82" s="115">
        <f t="shared" si="20"/>
        <v>204.71999999999997</v>
      </c>
      <c r="S82" s="115">
        <f t="shared" si="20"/>
        <v>206.51999999999998</v>
      </c>
      <c r="T82" s="115">
        <f t="shared" si="20"/>
        <v>206.61999999999998</v>
      </c>
      <c r="U82" s="115">
        <f t="shared" si="20"/>
        <v>202.42</v>
      </c>
      <c r="V82" s="115">
        <f t="shared" si="20"/>
        <v>207.81999999999996</v>
      </c>
      <c r="W82" s="115">
        <f t="shared" si="20"/>
        <v>220.02</v>
      </c>
      <c r="X82" s="115">
        <f t="shared" si="20"/>
        <v>236.02</v>
      </c>
      <c r="Y82" s="115">
        <f t="shared" si="20"/>
        <v>251.81999999999996</v>
      </c>
      <c r="Z82" s="115">
        <f t="shared" si="20"/>
        <v>291.91999999999996</v>
      </c>
      <c r="AA82" s="115">
        <f t="shared" si="20"/>
        <v>270.31999999999994</v>
      </c>
      <c r="AB82" s="115">
        <f t="shared" si="20"/>
        <v>247.32</v>
      </c>
      <c r="AC82" s="115">
        <f t="shared" si="20"/>
        <v>230.42</v>
      </c>
      <c r="AD82" s="115">
        <f t="shared" si="20"/>
        <v>331.01999999999992</v>
      </c>
      <c r="AE82" s="115">
        <f t="shared" si="20"/>
        <v>148.51999999999995</v>
      </c>
      <c r="AF82" s="115">
        <f t="shared" si="20"/>
        <v>135.11999999999995</v>
      </c>
      <c r="AG82" s="116"/>
      <c r="AH82" s="52">
        <f>MAX(B82:AF82)</f>
        <v>331.91999999999996</v>
      </c>
      <c r="AI82" s="53">
        <f>MIN(B82:AF82)</f>
        <v>115.12</v>
      </c>
    </row>
    <row r="83" spans="1:37" x14ac:dyDescent="0.25">
      <c r="A83" s="117" t="s">
        <v>89</v>
      </c>
      <c r="B83" s="118">
        <v>57.1</v>
      </c>
      <c r="C83" s="118">
        <v>53.7</v>
      </c>
      <c r="D83" s="118">
        <v>58.7</v>
      </c>
      <c r="E83" s="118">
        <v>57.3</v>
      </c>
      <c r="F83" s="118">
        <v>63.1</v>
      </c>
      <c r="G83" s="118">
        <v>62.3</v>
      </c>
      <c r="H83" s="118">
        <v>67.2</v>
      </c>
      <c r="I83" s="118">
        <v>58.1</v>
      </c>
      <c r="J83" s="118">
        <v>58.9</v>
      </c>
      <c r="K83" s="118">
        <v>62.1</v>
      </c>
      <c r="L83" s="118">
        <v>64</v>
      </c>
      <c r="M83" s="118">
        <v>57.1</v>
      </c>
      <c r="N83" s="118">
        <v>53.5</v>
      </c>
      <c r="O83" s="118">
        <v>52.3</v>
      </c>
      <c r="P83" s="118">
        <v>38.9</v>
      </c>
      <c r="Q83" s="118">
        <v>35.799999999999997</v>
      </c>
      <c r="R83" s="118">
        <v>45.6</v>
      </c>
      <c r="S83" s="118">
        <v>53.4</v>
      </c>
      <c r="T83" s="118">
        <v>64</v>
      </c>
      <c r="U83" s="118">
        <v>53.7</v>
      </c>
      <c r="V83" s="118">
        <v>63</v>
      </c>
      <c r="W83" s="118">
        <v>54.7</v>
      </c>
      <c r="X83" s="118">
        <v>62</v>
      </c>
      <c r="Y83" s="118">
        <v>59</v>
      </c>
      <c r="Z83" s="118">
        <v>46</v>
      </c>
      <c r="AA83" s="50">
        <v>40.6</v>
      </c>
      <c r="AB83" s="50">
        <v>46.8</v>
      </c>
      <c r="AC83" s="50">
        <v>35.4</v>
      </c>
      <c r="AD83" s="50">
        <v>47.9</v>
      </c>
      <c r="AE83" s="50">
        <v>55.4</v>
      </c>
      <c r="AF83" s="119">
        <v>49.7</v>
      </c>
      <c r="AG83" s="120">
        <v>75</v>
      </c>
      <c r="AH83" s="52">
        <f>IF(ABS(MAX(B83:AF83))&gt;ABS(MIN(B83:AF83)),MAX(B83:AF83),MIN(B83:AF83))</f>
        <v>67.2</v>
      </c>
      <c r="AI83" s="121">
        <f>INDEX($B$9:$AF$9,1,MATCH(AH83,B83:AF83,0))</f>
        <v>0.25</v>
      </c>
    </row>
    <row r="84" spans="1:37" x14ac:dyDescent="0.25">
      <c r="A84" s="122" t="s">
        <v>90</v>
      </c>
      <c r="B84" s="83">
        <v>-55</v>
      </c>
      <c r="C84" s="83">
        <v>-50</v>
      </c>
      <c r="D84" s="83">
        <v>-57.7</v>
      </c>
      <c r="E84" s="83">
        <v>-50.8</v>
      </c>
      <c r="F84" s="83">
        <v>-55</v>
      </c>
      <c r="G84" s="83">
        <v>-47</v>
      </c>
      <c r="H84" s="83">
        <v>-46</v>
      </c>
      <c r="I84" s="83">
        <v>-16</v>
      </c>
      <c r="J84" s="83">
        <v>-14.5</v>
      </c>
      <c r="K84" s="83">
        <v>-20.2</v>
      </c>
      <c r="L84" s="83">
        <v>13.7</v>
      </c>
      <c r="M84" s="83">
        <v>1.4</v>
      </c>
      <c r="N84" s="83">
        <f>3.6-0.7</f>
        <v>2.9000000000000004</v>
      </c>
      <c r="O84" s="83">
        <v>10</v>
      </c>
      <c r="P84" s="83">
        <f>8.7-0.5</f>
        <v>8.1999999999999993</v>
      </c>
      <c r="Q84" s="83">
        <f>1.7-2.6</f>
        <v>-0.90000000000000013</v>
      </c>
      <c r="R84" s="83">
        <v>-7</v>
      </c>
      <c r="S84" s="83">
        <v>-8</v>
      </c>
      <c r="T84" s="83">
        <v>-12.5</v>
      </c>
      <c r="U84" s="83">
        <v>-15</v>
      </c>
      <c r="V84" s="83">
        <v>-20</v>
      </c>
      <c r="W84" s="83">
        <v>-11</v>
      </c>
      <c r="X84" s="83">
        <v>-10</v>
      </c>
      <c r="Y84" s="83">
        <v>-2.2000000000000002</v>
      </c>
      <c r="Z84" s="83">
        <v>14</v>
      </c>
      <c r="AA84" s="70">
        <v>5.0999999999999996</v>
      </c>
      <c r="AB84" s="70">
        <v>-2.2999999999999998</v>
      </c>
      <c r="AC84" s="70">
        <v>0</v>
      </c>
      <c r="AD84" s="70">
        <v>-33.700000000000003</v>
      </c>
      <c r="AE84" s="70">
        <f>-23.1-34.4</f>
        <v>-57.5</v>
      </c>
      <c r="AF84" s="123">
        <f>-23.3-34.6</f>
        <v>-57.900000000000006</v>
      </c>
      <c r="AG84" s="120">
        <v>240</v>
      </c>
      <c r="AH84" s="52">
        <f>IF(ABS(MAX(B84:AF84))&gt;ABS(MIN(B84:AF84)),MAX(B84:AF84),MIN(B84:AF84))</f>
        <v>-57.900000000000006</v>
      </c>
      <c r="AI84" s="121">
        <f>INDEX($B$9:$AF$9,1,MATCH(AH84,B84:AF84,0))</f>
        <v>1</v>
      </c>
    </row>
    <row r="85" spans="1:37" x14ac:dyDescent="0.25">
      <c r="A85" s="122" t="s">
        <v>91</v>
      </c>
      <c r="B85" s="83">
        <v>13.2</v>
      </c>
      <c r="C85" s="83">
        <v>9</v>
      </c>
      <c r="D85" s="83">
        <v>5.4</v>
      </c>
      <c r="E85" s="83">
        <v>6.5</v>
      </c>
      <c r="F85" s="83">
        <v>13.3</v>
      </c>
      <c r="G85" s="83">
        <v>13.3</v>
      </c>
      <c r="H85" s="83">
        <v>15.4</v>
      </c>
      <c r="I85" s="83">
        <v>8.8000000000000007</v>
      </c>
      <c r="J85" s="83">
        <v>10.199999999999999</v>
      </c>
      <c r="K85" s="83">
        <v>23.4</v>
      </c>
      <c r="L85" s="83">
        <v>29.2</v>
      </c>
      <c r="M85" s="83">
        <v>19.3</v>
      </c>
      <c r="N85" s="83">
        <v>12.7</v>
      </c>
      <c r="O85" s="83">
        <v>24.7</v>
      </c>
      <c r="P85" s="83">
        <v>33.5</v>
      </c>
      <c r="Q85" s="83">
        <v>26.8</v>
      </c>
      <c r="R85" s="83">
        <v>25</v>
      </c>
      <c r="S85" s="83">
        <v>17</v>
      </c>
      <c r="T85" s="83">
        <v>15</v>
      </c>
      <c r="U85" s="83">
        <v>20.100000000000001</v>
      </c>
      <c r="V85" s="83">
        <v>15</v>
      </c>
      <c r="W85" s="83">
        <v>16.600000000000001</v>
      </c>
      <c r="X85" s="83">
        <v>18</v>
      </c>
      <c r="Y85" s="83">
        <v>20</v>
      </c>
      <c r="Z85" s="83">
        <v>40.6</v>
      </c>
      <c r="AA85" s="70">
        <v>42.5</v>
      </c>
      <c r="AB85" s="70">
        <v>33.5</v>
      </c>
      <c r="AC85" s="70">
        <v>32.799999999999997</v>
      </c>
      <c r="AD85" s="70">
        <v>29</v>
      </c>
      <c r="AE85" s="70">
        <v>28.1</v>
      </c>
      <c r="AF85" s="123">
        <v>27.2</v>
      </c>
      <c r="AG85" s="120">
        <v>60</v>
      </c>
      <c r="AH85" s="52">
        <f>IF(ABS(MAX(B85:AF85))&gt;ABS(MIN(B85:AF85)),MAX(B85:AF85),MIN(B85:AF85))</f>
        <v>42.5</v>
      </c>
      <c r="AI85" s="121">
        <f>INDEX($B$9:$AF$9,1,MATCH(AH85,B85:AF85,0))</f>
        <v>0.83333333333333337</v>
      </c>
    </row>
    <row r="86" spans="1:37" x14ac:dyDescent="0.25">
      <c r="A86" s="124" t="s">
        <v>92</v>
      </c>
      <c r="B86" s="85">
        <v>-82.7</v>
      </c>
      <c r="C86" s="85">
        <v>-82</v>
      </c>
      <c r="D86" s="85">
        <v>-85.9</v>
      </c>
      <c r="E86" s="85">
        <v>-86.8</v>
      </c>
      <c r="F86" s="85">
        <v>-78.8</v>
      </c>
      <c r="G86" s="85">
        <v>-70.8</v>
      </c>
      <c r="H86" s="85">
        <v>-64.2</v>
      </c>
      <c r="I86" s="85">
        <v>-57.3</v>
      </c>
      <c r="J86" s="85">
        <v>-52.8</v>
      </c>
      <c r="K86" s="85">
        <v>-45</v>
      </c>
      <c r="L86" s="85">
        <f>-38.7</f>
        <v>-38.700000000000003</v>
      </c>
      <c r="M86" s="85">
        <v>-36.700000000000003</v>
      </c>
      <c r="N86" s="85">
        <v>39.299999999999997</v>
      </c>
      <c r="O86" s="85">
        <v>46.2</v>
      </c>
      <c r="P86" s="85">
        <v>57</v>
      </c>
      <c r="Q86" s="85">
        <v>-53.1</v>
      </c>
      <c r="R86" s="85">
        <v>-50</v>
      </c>
      <c r="S86" s="85">
        <v>-49</v>
      </c>
      <c r="T86" s="85">
        <v>-43.8</v>
      </c>
      <c r="U86" s="85">
        <v>-48.3</v>
      </c>
      <c r="V86" s="85">
        <v>-45</v>
      </c>
      <c r="W86" s="85">
        <v>-34.299999999999997</v>
      </c>
      <c r="X86" s="85">
        <v>-28</v>
      </c>
      <c r="Y86" s="85">
        <v>-19</v>
      </c>
      <c r="Z86" s="85">
        <v>-4</v>
      </c>
      <c r="AA86" s="125">
        <v>-10.1</v>
      </c>
      <c r="AB86" s="125">
        <v>-24.1</v>
      </c>
      <c r="AC86" s="125">
        <v>-31.3</v>
      </c>
      <c r="AD86" s="125">
        <v>78.2</v>
      </c>
      <c r="AE86" s="125">
        <v>-86.9</v>
      </c>
      <c r="AF86" s="126">
        <v>-90</v>
      </c>
      <c r="AG86" s="127">
        <v>120</v>
      </c>
      <c r="AH86" s="52">
        <f>IF(ABS(MAX(B86:AF86))&gt;ABS(MIN(B86:AF86)),MAX(B86:AF86),MIN(B86:AF86))</f>
        <v>-90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85">
        <v>-14.8</v>
      </c>
      <c r="C87" s="85">
        <v>-4.5999999999999996</v>
      </c>
      <c r="D87" s="85">
        <v>-3</v>
      </c>
      <c r="E87" s="85">
        <v>-3.1</v>
      </c>
      <c r="F87" s="85">
        <v>8.3000000000000007</v>
      </c>
      <c r="G87" s="85">
        <v>11.6</v>
      </c>
      <c r="H87" s="85">
        <v>2.5</v>
      </c>
      <c r="I87" s="85">
        <v>50</v>
      </c>
      <c r="J87" s="85">
        <v>61.5</v>
      </c>
      <c r="K87" s="85">
        <v>38.5</v>
      </c>
      <c r="L87" s="85">
        <v>31.6</v>
      </c>
      <c r="M87" s="85">
        <v>52.6</v>
      </c>
      <c r="N87" s="85">
        <v>53.9</v>
      </c>
      <c r="O87" s="85">
        <v>48</v>
      </c>
      <c r="P87" s="85">
        <v>55.6</v>
      </c>
      <c r="Q87" s="85">
        <v>69.900000000000006</v>
      </c>
      <c r="R87" s="85">
        <v>56</v>
      </c>
      <c r="S87" s="85">
        <v>55</v>
      </c>
      <c r="T87" s="85">
        <v>38.4</v>
      </c>
      <c r="U87" s="85">
        <v>27.7</v>
      </c>
      <c r="V87" s="85">
        <v>30</v>
      </c>
      <c r="W87" s="85">
        <v>39.9</v>
      </c>
      <c r="X87" s="85">
        <v>39</v>
      </c>
      <c r="Y87" s="85">
        <v>49</v>
      </c>
      <c r="Z87" s="85">
        <v>56.5</v>
      </c>
      <c r="AA87" s="125">
        <v>51.8</v>
      </c>
      <c r="AB87" s="125">
        <v>56</v>
      </c>
      <c r="AC87" s="125">
        <v>65.8</v>
      </c>
      <c r="AD87" s="125">
        <v>29.2</v>
      </c>
      <c r="AE87" s="125">
        <v>4.8</v>
      </c>
      <c r="AF87" s="126">
        <v>3.2</v>
      </c>
      <c r="AG87" s="127"/>
      <c r="AH87" s="52">
        <f>IF(ABS(MAX(B87:AF87))&gt;ABS(MIN(B87:AF87)),MAX(B87:AF87),MIN(B87:AF87))</f>
        <v>69.900000000000006</v>
      </c>
      <c r="AI87" s="121">
        <f>INDEX($B$9:$AF$9,1,MATCH(AH87,B87:AF87,0))</f>
        <v>0.54166666666666696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>
        <v>16</v>
      </c>
      <c r="S88" s="129">
        <v>16</v>
      </c>
      <c r="T88" s="129">
        <v>16</v>
      </c>
      <c r="U88" s="129">
        <v>6</v>
      </c>
      <c r="V88" s="129">
        <v>12</v>
      </c>
      <c r="W88" s="129">
        <v>14</v>
      </c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1127.3400000000001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21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21)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21)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1030.94</v>
      </c>
      <c r="U193" s="173">
        <f t="shared" si="37"/>
        <v>1014.94</v>
      </c>
      <c r="V193" s="173">
        <f t="shared" si="37"/>
        <v>980.62000000000012</v>
      </c>
      <c r="W193" s="173">
        <f t="shared" si="37"/>
        <v>988.24</v>
      </c>
      <c r="X193" s="173">
        <f t="shared" si="37"/>
        <v>955.25</v>
      </c>
      <c r="Y193" s="173">
        <f t="shared" si="37"/>
        <v>947.46</v>
      </c>
      <c r="Z193" s="173">
        <f t="shared" si="37"/>
        <v>927.47</v>
      </c>
      <c r="AA193" s="173">
        <f t="shared" si="37"/>
        <v>985.96</v>
      </c>
      <c r="AB193" s="173">
        <f t="shared" si="37"/>
        <v>1018.62</v>
      </c>
      <c r="AC193" s="173">
        <f t="shared" si="37"/>
        <v>1069.0100000000002</v>
      </c>
      <c r="AD193" s="173">
        <f t="shared" si="37"/>
        <v>1085.8400000000001</v>
      </c>
      <c r="AE193" s="173">
        <f t="shared" si="37"/>
        <v>1127.3400000000001</v>
      </c>
      <c r="AF193" s="173">
        <f t="shared" si="37"/>
        <v>1134.04</v>
      </c>
      <c r="AG193" s="173">
        <f t="shared" si="37"/>
        <v>1141.8399999999999</v>
      </c>
      <c r="AH193" s="173">
        <f t="shared" si="37"/>
        <v>1151.92</v>
      </c>
      <c r="AI193" s="173">
        <f t="shared" si="37"/>
        <v>1151.7399999999998</v>
      </c>
      <c r="AJ193" s="173">
        <f t="shared" si="37"/>
        <v>1145.44</v>
      </c>
      <c r="AK193" s="173">
        <f t="shared" si="37"/>
        <v>1059.24</v>
      </c>
      <c r="AL193" s="173">
        <f t="shared" si="37"/>
        <v>1014.0400000000001</v>
      </c>
      <c r="AM193" s="173">
        <f t="shared" si="37"/>
        <v>1037.44</v>
      </c>
      <c r="AN193" s="173">
        <f t="shared" si="37"/>
        <v>1003.94</v>
      </c>
      <c r="AO193" s="173">
        <f t="shared" si="37"/>
        <v>1008.54</v>
      </c>
      <c r="AP193" s="173">
        <f t="shared" si="37"/>
        <v>1020.84</v>
      </c>
      <c r="AQ193" s="173">
        <f t="shared" si="37"/>
        <v>1123.6399999999999</v>
      </c>
      <c r="AR193" s="173">
        <f t="shared" si="37"/>
        <v>1309.3399999999999</v>
      </c>
      <c r="AS193" s="173">
        <f t="shared" si="37"/>
        <v>1277.3400000000001</v>
      </c>
      <c r="AT193" s="173">
        <f t="shared" si="37"/>
        <v>1255.1399999999999</v>
      </c>
      <c r="AU193" s="173">
        <f t="shared" si="37"/>
        <v>1255.94</v>
      </c>
      <c r="AV193" s="173">
        <f t="shared" si="37"/>
        <v>1164.54</v>
      </c>
      <c r="AW193" s="173">
        <f t="shared" si="37"/>
        <v>1096.44</v>
      </c>
      <c r="AX193" s="173">
        <f t="shared" si="37"/>
        <v>1082.3399999999999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267" priority="169">
      <formula>S$9&gt;=20/24</formula>
    </cfRule>
    <cfRule type="expression" dxfId="2266" priority="170">
      <formula>AND(S$9&gt;=14/24,S$9&lt;20/24)</formula>
    </cfRule>
    <cfRule type="expression" dxfId="2265" priority="171">
      <formula>AND(S$9&gt;=8/24,S$9&lt;14/24)</formula>
    </cfRule>
    <cfRule type="expression" dxfId="2264" priority="172">
      <formula>S$9&lt;8/24</formula>
    </cfRule>
  </conditionalFormatting>
  <conditionalFormatting sqref="B8:AF10 AA70:AF70 B70:Q70 L31:Q31 B47:AF47 B71:AF71 B48:K50 B72:Q72 C173:AF179 M36 N35:Q36 L29:Q29 L34:Q34 L49:T50 AA72:AF79 AA48:AF51 R11:T11 B59:AF69 B53:C58 B51:F52 H51:H52 K51:K52 M31:M34 L51:Q58 R52:Z58 S34:Z34 L32:Z33 V35:W35 B73:Z79 X34:Z35 L44:AF46 M37:Z39 U11:AC12">
    <cfRule type="expression" dxfId="2263" priority="165">
      <formula>B$9&gt;=20/24</formula>
    </cfRule>
    <cfRule type="expression" dxfId="2262" priority="166">
      <formula>AND(B$9&gt;=14/24,B$9&lt;20/24)</formula>
    </cfRule>
    <cfRule type="expression" dxfId="2261" priority="167">
      <formula>AND(B$9&gt;=8/24,B$9&lt;14/24)</formula>
    </cfRule>
    <cfRule type="expression" dxfId="2260" priority="168">
      <formula>B$9&lt;8/24</formula>
    </cfRule>
  </conditionalFormatting>
  <conditionalFormatting sqref="B171:AF171">
    <cfRule type="expression" dxfId="2259" priority="161">
      <formula>B$9&gt;=20/24</formula>
    </cfRule>
    <cfRule type="expression" dxfId="2258" priority="162">
      <formula>AND(B$9&gt;=14/24,B$9&lt;20/24)</formula>
    </cfRule>
    <cfRule type="expression" dxfId="2257" priority="163">
      <formula>AND(B$9&gt;=8/24,B$9&lt;14/24)</formula>
    </cfRule>
    <cfRule type="expression" dxfId="2256" priority="164">
      <formula>B$9&lt;8/24</formula>
    </cfRule>
  </conditionalFormatting>
  <conditionalFormatting sqref="AL4:AL6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255" priority="156">
      <formula>L$9&gt;=20/24</formula>
    </cfRule>
    <cfRule type="expression" dxfId="2254" priority="157">
      <formula>AND(L$9&gt;=14/24,L$9&lt;20/24)</formula>
    </cfRule>
    <cfRule type="expression" dxfId="2253" priority="158">
      <formula>AND(L$9&gt;=8/24,L$9&lt;14/24)</formula>
    </cfRule>
    <cfRule type="expression" dxfId="2252" priority="159">
      <formula>L$9&lt;8/24</formula>
    </cfRule>
  </conditionalFormatting>
  <conditionalFormatting sqref="L35:M35">
    <cfRule type="expression" dxfId="2251" priority="152">
      <formula>L$9&gt;=20/24</formula>
    </cfRule>
    <cfRule type="expression" dxfId="2250" priority="153">
      <formula>AND(L$9&gt;=14/24,L$9&lt;20/24)</formula>
    </cfRule>
    <cfRule type="expression" dxfId="2249" priority="154">
      <formula>AND(L$9&gt;=8/24,L$9&lt;14/24)</formula>
    </cfRule>
    <cfRule type="expression" dxfId="2248" priority="155">
      <formula>L$9&lt;8/24</formula>
    </cfRule>
  </conditionalFormatting>
  <conditionalFormatting sqref="U13:AC13">
    <cfRule type="expression" dxfId="2247" priority="148">
      <formula>U$9&gt;=20/24</formula>
    </cfRule>
    <cfRule type="expression" dxfId="2246" priority="149">
      <formula>AND(U$9&gt;=14/24,U$9&lt;20/24)</formula>
    </cfRule>
    <cfRule type="expression" dxfId="2245" priority="150">
      <formula>AND(U$9&gt;=8/24,U$9&lt;14/24)</formula>
    </cfRule>
    <cfRule type="expression" dxfId="2244" priority="151">
      <formula>U$9&lt;8/24</formula>
    </cfRule>
  </conditionalFormatting>
  <conditionalFormatting sqref="R31:Z31">
    <cfRule type="expression" dxfId="2243" priority="144">
      <formula>R$9&gt;=20/24</formula>
    </cfRule>
    <cfRule type="expression" dxfId="2242" priority="145">
      <formula>AND(R$9&gt;=14/24,R$9&lt;20/24)</formula>
    </cfRule>
    <cfRule type="expression" dxfId="2241" priority="146">
      <formula>AND(R$9&gt;=8/24,R$9&lt;14/24)</formula>
    </cfRule>
    <cfRule type="expression" dxfId="2240" priority="147">
      <formula>R$9&lt;8/24</formula>
    </cfRule>
  </conditionalFormatting>
  <conditionalFormatting sqref="R48:Z48">
    <cfRule type="expression" dxfId="2239" priority="140">
      <formula>R$9&gt;=20/24</formula>
    </cfRule>
    <cfRule type="expression" dxfId="2238" priority="141">
      <formula>AND(R$9&gt;=14/24,R$9&lt;20/24)</formula>
    </cfRule>
    <cfRule type="expression" dxfId="2237" priority="142">
      <formula>AND(R$9&gt;=8/24,R$9&lt;14/24)</formula>
    </cfRule>
    <cfRule type="expression" dxfId="2236" priority="143">
      <formula>R$9&lt;8/24</formula>
    </cfRule>
  </conditionalFormatting>
  <conditionalFormatting sqref="R70:Z70">
    <cfRule type="expression" dxfId="2235" priority="136">
      <formula>R$9&gt;=20/24</formula>
    </cfRule>
    <cfRule type="expression" dxfId="2234" priority="137">
      <formula>AND(R$9&gt;=14/24,R$9&lt;20/24)</formula>
    </cfRule>
    <cfRule type="expression" dxfId="2233" priority="138">
      <formula>AND(R$9&gt;=8/24,R$9&lt;14/24)</formula>
    </cfRule>
    <cfRule type="expression" dxfId="2232" priority="139">
      <formula>R$9&lt;8/24</formula>
    </cfRule>
  </conditionalFormatting>
  <conditionalFormatting sqref="R72:Z72">
    <cfRule type="expression" dxfId="2231" priority="132">
      <formula>R$9&gt;=20/24</formula>
    </cfRule>
    <cfRule type="expression" dxfId="2230" priority="133">
      <formula>AND(R$9&gt;=14/24,R$9&lt;20/24)</formula>
    </cfRule>
    <cfRule type="expression" dxfId="2229" priority="134">
      <formula>AND(R$9&gt;=8/24,R$9&lt;14/24)</formula>
    </cfRule>
    <cfRule type="expression" dxfId="2228" priority="135">
      <formula>R$9&lt;8/24</formula>
    </cfRule>
  </conditionalFormatting>
  <conditionalFormatting sqref="L11:AC27 AD14:AF27">
    <cfRule type="expression" dxfId="2227" priority="128">
      <formula>L$9&gt;=20/24</formula>
    </cfRule>
    <cfRule type="expression" dxfId="2226" priority="129">
      <formula>AND(L$9&gt;=14/24,L$9&lt;20/24)</formula>
    </cfRule>
    <cfRule type="expression" dxfId="2225" priority="130">
      <formula>AND(L$9&gt;=8/24,L$9&lt;14/24)</formula>
    </cfRule>
    <cfRule type="expression" dxfId="2224" priority="131">
      <formula>L$9&lt;8/24</formula>
    </cfRule>
  </conditionalFormatting>
  <conditionalFormatting sqref="L40:Z40">
    <cfRule type="expression" dxfId="2223" priority="124">
      <formula>L$9&gt;=20/24</formula>
    </cfRule>
    <cfRule type="expression" dxfId="2222" priority="125">
      <formula>AND(L$9&gt;=14/24,L$9&lt;20/24)</formula>
    </cfRule>
    <cfRule type="expression" dxfId="2221" priority="126">
      <formula>AND(L$9&gt;=8/24,L$9&lt;14/24)</formula>
    </cfRule>
    <cfRule type="expression" dxfId="2220" priority="127">
      <formula>L$9&lt;8/24</formula>
    </cfRule>
  </conditionalFormatting>
  <conditionalFormatting sqref="L41:Z41">
    <cfRule type="expression" dxfId="2219" priority="120">
      <formula>L$9&gt;=20/24</formula>
    </cfRule>
    <cfRule type="expression" dxfId="2218" priority="121">
      <formula>AND(L$9&gt;=14/24,L$9&lt;20/24)</formula>
    </cfRule>
    <cfRule type="expression" dxfId="2217" priority="122">
      <formula>AND(L$9&gt;=8/24,L$9&lt;14/24)</formula>
    </cfRule>
    <cfRule type="expression" dxfId="2216" priority="123">
      <formula>L$9&lt;8/24</formula>
    </cfRule>
  </conditionalFormatting>
  <conditionalFormatting sqref="L36:L39 M36">
    <cfRule type="expression" dxfId="2215" priority="116">
      <formula>L$9&gt;=20/24</formula>
    </cfRule>
    <cfRule type="expression" dxfId="2214" priority="117">
      <formula>AND(L$9&gt;=14/24,L$9&lt;20/24)</formula>
    </cfRule>
    <cfRule type="expression" dxfId="2213" priority="118">
      <formula>AND(L$9&gt;=8/24,L$9&lt;14/24)</formula>
    </cfRule>
    <cfRule type="expression" dxfId="2212" priority="119">
      <formula>L$9&lt;8/24</formula>
    </cfRule>
  </conditionalFormatting>
  <conditionalFormatting sqref="R29:AD29">
    <cfRule type="expression" dxfId="2211" priority="112">
      <formula>R$9&gt;=20/24</formula>
    </cfRule>
    <cfRule type="expression" dxfId="2210" priority="113">
      <formula>AND(R$9&gt;=14/24,R$9&lt;20/24)</formula>
    </cfRule>
    <cfRule type="expression" dxfId="2209" priority="114">
      <formula>AND(R$9&gt;=8/24,R$9&lt;14/24)</formula>
    </cfRule>
    <cfRule type="expression" dxfId="2208" priority="115">
      <formula>R$9&lt;8/24</formula>
    </cfRule>
  </conditionalFormatting>
  <conditionalFormatting sqref="R12:T27 U14:AF27">
    <cfRule type="expression" dxfId="2207" priority="108">
      <formula>R$9&gt;=20/24</formula>
    </cfRule>
    <cfRule type="expression" dxfId="2206" priority="109">
      <formula>AND(R$9&gt;=14/24,R$9&lt;20/24)</formula>
    </cfRule>
    <cfRule type="expression" dxfId="2205" priority="110">
      <formula>AND(R$9&gt;=8/24,R$9&lt;14/24)</formula>
    </cfRule>
    <cfRule type="expression" dxfId="2204" priority="111">
      <formula>R$9&lt;8/24</formula>
    </cfRule>
  </conditionalFormatting>
  <conditionalFormatting sqref="R34:R39 S35:U39 S34:S36 T34:Z34 V36:Z39 T37:Z37">
    <cfRule type="expression" dxfId="2203" priority="104">
      <formula>R$9&gt;=20/24</formula>
    </cfRule>
    <cfRule type="expression" dxfId="2202" priority="105">
      <formula>AND(R$9&gt;=14/24,R$9&lt;20/24)</formula>
    </cfRule>
    <cfRule type="expression" dxfId="2201" priority="106">
      <formula>AND(R$9&gt;=8/24,R$9&lt;14/24)</formula>
    </cfRule>
    <cfRule type="expression" dxfId="2200" priority="107">
      <formula>R$9&lt;8/24</formula>
    </cfRule>
  </conditionalFormatting>
  <conditionalFormatting sqref="R40:Z40">
    <cfRule type="expression" dxfId="2199" priority="100">
      <formula>R$9&gt;=20/24</formula>
    </cfRule>
    <cfRule type="expression" dxfId="2198" priority="101">
      <formula>AND(R$9&gt;=14/24,R$9&lt;20/24)</formula>
    </cfRule>
    <cfRule type="expression" dxfId="2197" priority="102">
      <formula>AND(R$9&gt;=8/24,R$9&lt;14/24)</formula>
    </cfRule>
    <cfRule type="expression" dxfId="2196" priority="103">
      <formula>R$9&lt;8/24</formula>
    </cfRule>
  </conditionalFormatting>
  <conditionalFormatting sqref="R41:Z41">
    <cfRule type="expression" dxfId="2195" priority="96">
      <formula>R$9&gt;=20/24</formula>
    </cfRule>
    <cfRule type="expression" dxfId="2194" priority="97">
      <formula>AND(R$9&gt;=14/24,R$9&lt;20/24)</formula>
    </cfRule>
    <cfRule type="expression" dxfId="2193" priority="98">
      <formula>AND(R$9&gt;=8/24,R$9&lt;14/24)</formula>
    </cfRule>
    <cfRule type="expression" dxfId="2192" priority="99">
      <formula>R$9&lt;8/24</formula>
    </cfRule>
  </conditionalFormatting>
  <conditionalFormatting sqref="R51:Z51 AA52:AF58">
    <cfRule type="expression" dxfId="2191" priority="92">
      <formula>R$9&gt;=20/24</formula>
    </cfRule>
    <cfRule type="expression" dxfId="2190" priority="93">
      <formula>AND(R$9&gt;=14/24,R$9&lt;20/24)</formula>
    </cfRule>
    <cfRule type="expression" dxfId="2189" priority="94">
      <formula>AND(R$9&gt;=8/24,R$9&lt;14/24)</formula>
    </cfRule>
    <cfRule type="expression" dxfId="2188" priority="95">
      <formula>R$9&lt;8/24</formula>
    </cfRule>
  </conditionalFormatting>
  <conditionalFormatting sqref="AA83:AF86">
    <cfRule type="expression" dxfId="2187" priority="88">
      <formula>AA$9&gt;=20/24</formula>
    </cfRule>
    <cfRule type="expression" dxfId="2186" priority="89">
      <formula>AND(AA$9&gt;=14/24,AA$9&lt;20/24)</formula>
    </cfRule>
    <cfRule type="expression" dxfId="2185" priority="90">
      <formula>AND(AA$9&gt;=8/24,AA$9&lt;14/24)</formula>
    </cfRule>
    <cfRule type="expression" dxfId="2184" priority="91">
      <formula>AA$9&lt;8/24</formula>
    </cfRule>
  </conditionalFormatting>
  <conditionalFormatting sqref="K53:K58">
    <cfRule type="expression" dxfId="2183" priority="84">
      <formula>K$9&gt;=20/24</formula>
    </cfRule>
    <cfRule type="expression" dxfId="2182" priority="85">
      <formula>AND(K$9&gt;=14/24,K$9&lt;20/24)</formula>
    </cfRule>
    <cfRule type="expression" dxfId="2181" priority="86">
      <formula>AND(K$9&gt;=8/24,K$9&lt;14/24)</formula>
    </cfRule>
    <cfRule type="expression" dxfId="2180" priority="87">
      <formula>K$9&lt;8/24</formula>
    </cfRule>
  </conditionalFormatting>
  <conditionalFormatting sqref="B83:K86">
    <cfRule type="expression" dxfId="2179" priority="80">
      <formula>B$9&gt;=20/24</formula>
    </cfRule>
    <cfRule type="expression" dxfId="2178" priority="81">
      <formula>AND(B$9&gt;=14/24,B$9&lt;20/24)</formula>
    </cfRule>
    <cfRule type="expression" dxfId="2177" priority="82">
      <formula>AND(B$9&gt;=8/24,B$9&lt;14/24)</formula>
    </cfRule>
    <cfRule type="expression" dxfId="2176" priority="83">
      <formula>B$9&lt;8/24</formula>
    </cfRule>
  </conditionalFormatting>
  <conditionalFormatting sqref="L83:Q86">
    <cfRule type="expression" dxfId="2175" priority="76">
      <formula>L$9&gt;=20/24</formula>
    </cfRule>
    <cfRule type="expression" dxfId="2174" priority="77">
      <formula>AND(L$9&gt;=14/24,L$9&lt;20/24)</formula>
    </cfRule>
    <cfRule type="expression" dxfId="2173" priority="78">
      <formula>AND(L$9&gt;=8/24,L$9&lt;14/24)</formula>
    </cfRule>
    <cfRule type="expression" dxfId="2172" priority="79">
      <formula>L$9&lt;8/24</formula>
    </cfRule>
  </conditionalFormatting>
  <conditionalFormatting sqref="R83:Z86">
    <cfRule type="expression" dxfId="2171" priority="72">
      <formula>R$9&gt;=20/24</formula>
    </cfRule>
    <cfRule type="expression" dxfId="2170" priority="73">
      <formula>AND(R$9&gt;=14/24,R$9&lt;20/24)</formula>
    </cfRule>
    <cfRule type="expression" dxfId="2169" priority="74">
      <formula>AND(R$9&gt;=8/24,R$9&lt;14/24)</formula>
    </cfRule>
    <cfRule type="expression" dxfId="2168" priority="75">
      <formula>R$9&lt;8/24</formula>
    </cfRule>
  </conditionalFormatting>
  <conditionalFormatting sqref="AG42 B11:AF47">
    <cfRule type="expression" dxfId="2167" priority="71">
      <formula>B11&gt;$AG11</formula>
    </cfRule>
  </conditionalFormatting>
  <conditionalFormatting sqref="T192:AX192">
    <cfRule type="expression" dxfId="2166" priority="67">
      <formula>T$9&gt;=20/24</formula>
    </cfRule>
    <cfRule type="expression" dxfId="2165" priority="68">
      <formula>AND(T$9&gt;=14/24,T$9&lt;20/24)</formula>
    </cfRule>
    <cfRule type="expression" dxfId="2164" priority="69">
      <formula>AND(T$9&gt;=8/24,T$9&lt;14/24)</formula>
    </cfRule>
    <cfRule type="expression" dxfId="2163" priority="70">
      <formula>T$9&lt;8/24</formula>
    </cfRule>
  </conditionalFormatting>
  <conditionalFormatting sqref="A11:A86 A88:A180">
    <cfRule type="expression" dxfId="2162" priority="66">
      <formula>$AH11=0</formula>
    </cfRule>
  </conditionalFormatting>
  <conditionalFormatting sqref="AA87:AF87">
    <cfRule type="expression" dxfId="2161" priority="62">
      <formula>AA$9&gt;=20/24</formula>
    </cfRule>
    <cfRule type="expression" dxfId="2160" priority="63">
      <formula>AND(AA$9&gt;=14/24,AA$9&lt;20/24)</formula>
    </cfRule>
    <cfRule type="expression" dxfId="2159" priority="64">
      <formula>AND(AA$9&gt;=8/24,AA$9&lt;14/24)</formula>
    </cfRule>
    <cfRule type="expression" dxfId="2158" priority="65">
      <formula>AA$9&lt;8/24</formula>
    </cfRule>
  </conditionalFormatting>
  <conditionalFormatting sqref="B87:K87">
    <cfRule type="expression" dxfId="2157" priority="58">
      <formula>B$9&gt;=20/24</formula>
    </cfRule>
    <cfRule type="expression" dxfId="2156" priority="59">
      <formula>AND(B$9&gt;=14/24,B$9&lt;20/24)</formula>
    </cfRule>
    <cfRule type="expression" dxfId="2155" priority="60">
      <formula>AND(B$9&gt;=8/24,B$9&lt;14/24)</formula>
    </cfRule>
    <cfRule type="expression" dxfId="2154" priority="61">
      <formula>B$9&lt;8/24</formula>
    </cfRule>
  </conditionalFormatting>
  <conditionalFormatting sqref="L87:Q87">
    <cfRule type="expression" dxfId="2153" priority="54">
      <formula>L$9&gt;=20/24</formula>
    </cfRule>
    <cfRule type="expression" dxfId="2152" priority="55">
      <formula>AND(L$9&gt;=14/24,L$9&lt;20/24)</formula>
    </cfRule>
    <cfRule type="expression" dxfId="2151" priority="56">
      <formula>AND(L$9&gt;=8/24,L$9&lt;14/24)</formula>
    </cfRule>
    <cfRule type="expression" dxfId="2150" priority="57">
      <formula>L$9&lt;8/24</formula>
    </cfRule>
  </conditionalFormatting>
  <conditionalFormatting sqref="R87:Z87">
    <cfRule type="expression" dxfId="2149" priority="50">
      <formula>R$9&gt;=20/24</formula>
    </cfRule>
    <cfRule type="expression" dxfId="2148" priority="51">
      <formula>AND(R$9&gt;=14/24,R$9&lt;20/24)</formula>
    </cfRule>
    <cfRule type="expression" dxfId="2147" priority="52">
      <formula>AND(R$9&gt;=8/24,R$9&lt;14/24)</formula>
    </cfRule>
    <cfRule type="expression" dxfId="2146" priority="53">
      <formula>R$9&lt;8/24</formula>
    </cfRule>
  </conditionalFormatting>
  <conditionalFormatting sqref="A87">
    <cfRule type="expression" dxfId="2145" priority="49">
      <formula>$AH87=0</formula>
    </cfRule>
  </conditionalFormatting>
  <conditionalFormatting sqref="B28:AF28">
    <cfRule type="expression" dxfId="2144" priority="45">
      <formula>B$9&gt;=20/24</formula>
    </cfRule>
    <cfRule type="expression" dxfId="2143" priority="46">
      <formula>AND(B$9&gt;=14/24,B$9&lt;20/24)</formula>
    </cfRule>
    <cfRule type="expression" dxfId="2142" priority="47">
      <formula>AND(B$9&gt;=8/24,B$9&lt;14/24)</formula>
    </cfRule>
    <cfRule type="expression" dxfId="2141" priority="48">
      <formula>B$9&lt;8/24</formula>
    </cfRule>
  </conditionalFormatting>
  <conditionalFormatting sqref="R28:AA28">
    <cfRule type="expression" dxfId="2140" priority="41">
      <formula>R$9&gt;=20/24</formula>
    </cfRule>
    <cfRule type="expression" dxfId="2139" priority="42">
      <formula>AND(R$9&gt;=14/24,R$9&lt;20/24)</formula>
    </cfRule>
    <cfRule type="expression" dxfId="2138" priority="43">
      <formula>AND(R$9&gt;=8/24,R$9&lt;14/24)</formula>
    </cfRule>
    <cfRule type="expression" dxfId="2137" priority="44">
      <formula>R$9&lt;8/24</formula>
    </cfRule>
  </conditionalFormatting>
  <conditionalFormatting sqref="D53:D58">
    <cfRule type="expression" dxfId="2136" priority="37">
      <formula>D$9&gt;=20/24</formula>
    </cfRule>
    <cfRule type="expression" dxfId="2135" priority="38">
      <formula>AND(D$9&gt;=14/24,D$9&lt;20/24)</formula>
    </cfRule>
    <cfRule type="expression" dxfId="2134" priority="39">
      <formula>AND(D$9&gt;=8/24,D$9&lt;14/24)</formula>
    </cfRule>
    <cfRule type="expression" dxfId="2133" priority="40">
      <formula>D$9&lt;8/24</formula>
    </cfRule>
  </conditionalFormatting>
  <conditionalFormatting sqref="E53:E58">
    <cfRule type="expression" dxfId="2132" priority="33">
      <formula>E$9&gt;=20/24</formula>
    </cfRule>
    <cfRule type="expression" dxfId="2131" priority="34">
      <formula>AND(E$9&gt;=14/24,E$9&lt;20/24)</formula>
    </cfRule>
    <cfRule type="expression" dxfId="2130" priority="35">
      <formula>AND(E$9&gt;=8/24,E$9&lt;14/24)</formula>
    </cfRule>
    <cfRule type="expression" dxfId="2129" priority="36">
      <formula>E$9&lt;8/24</formula>
    </cfRule>
  </conditionalFormatting>
  <conditionalFormatting sqref="F53:F58">
    <cfRule type="expression" dxfId="2128" priority="29">
      <formula>F$9&gt;=20/24</formula>
    </cfRule>
    <cfRule type="expression" dxfId="2127" priority="30">
      <formula>AND(F$9&gt;=14/24,F$9&lt;20/24)</formula>
    </cfRule>
    <cfRule type="expression" dxfId="2126" priority="31">
      <formula>AND(F$9&gt;=8/24,F$9&lt;14/24)</formula>
    </cfRule>
    <cfRule type="expression" dxfId="2125" priority="32">
      <formula>F$9&lt;8/24</formula>
    </cfRule>
  </conditionalFormatting>
  <conditionalFormatting sqref="G51:G52">
    <cfRule type="expression" dxfId="2124" priority="25">
      <formula>G$9&gt;=20/24</formula>
    </cfRule>
    <cfRule type="expression" dxfId="2123" priority="26">
      <formula>AND(G$9&gt;=14/24,G$9&lt;20/24)</formula>
    </cfRule>
    <cfRule type="expression" dxfId="2122" priority="27">
      <formula>AND(G$9&gt;=8/24,G$9&lt;14/24)</formula>
    </cfRule>
    <cfRule type="expression" dxfId="2121" priority="28">
      <formula>G$9&lt;8/24</formula>
    </cfRule>
  </conditionalFormatting>
  <conditionalFormatting sqref="G53:G58">
    <cfRule type="expression" dxfId="2120" priority="21">
      <formula>G$9&gt;=20/24</formula>
    </cfRule>
    <cfRule type="expression" dxfId="2119" priority="22">
      <formula>AND(G$9&gt;=14/24,G$9&lt;20/24)</formula>
    </cfRule>
    <cfRule type="expression" dxfId="2118" priority="23">
      <formula>AND(G$9&gt;=8/24,G$9&lt;14/24)</formula>
    </cfRule>
    <cfRule type="expression" dxfId="2117" priority="24">
      <formula>G$9&lt;8/24</formula>
    </cfRule>
  </conditionalFormatting>
  <conditionalFormatting sqref="H53:H58">
    <cfRule type="expression" dxfId="2116" priority="17">
      <formula>H$9&gt;=20/24</formula>
    </cfRule>
    <cfRule type="expression" dxfId="2115" priority="18">
      <formula>AND(H$9&gt;=14/24,H$9&lt;20/24)</formula>
    </cfRule>
    <cfRule type="expression" dxfId="2114" priority="19">
      <formula>AND(H$9&gt;=8/24,H$9&lt;14/24)</formula>
    </cfRule>
    <cfRule type="expression" dxfId="2113" priority="20">
      <formula>H$9&lt;8/24</formula>
    </cfRule>
  </conditionalFormatting>
  <conditionalFormatting sqref="I51:I52">
    <cfRule type="expression" dxfId="2112" priority="13">
      <formula>I$9&gt;=20/24</formula>
    </cfRule>
    <cfRule type="expression" dxfId="2111" priority="14">
      <formula>AND(I$9&gt;=14/24,I$9&lt;20/24)</formula>
    </cfRule>
    <cfRule type="expression" dxfId="2110" priority="15">
      <formula>AND(I$9&gt;=8/24,I$9&lt;14/24)</formula>
    </cfRule>
    <cfRule type="expression" dxfId="2109" priority="16">
      <formula>I$9&lt;8/24</formula>
    </cfRule>
  </conditionalFormatting>
  <conditionalFormatting sqref="I53:I58">
    <cfRule type="expression" dxfId="2108" priority="9">
      <formula>I$9&gt;=20/24</formula>
    </cfRule>
    <cfRule type="expression" dxfId="2107" priority="10">
      <formula>AND(I$9&gt;=14/24,I$9&lt;20/24)</formula>
    </cfRule>
    <cfRule type="expression" dxfId="2106" priority="11">
      <formula>AND(I$9&gt;=8/24,I$9&lt;14/24)</formula>
    </cfRule>
    <cfRule type="expression" dxfId="2105" priority="12">
      <formula>I$9&lt;8/24</formula>
    </cfRule>
  </conditionalFormatting>
  <conditionalFormatting sqref="J51:J52">
    <cfRule type="expression" dxfId="2104" priority="5">
      <formula>J$9&gt;=20/24</formula>
    </cfRule>
    <cfRule type="expression" dxfId="2103" priority="6">
      <formula>AND(J$9&gt;=14/24,J$9&lt;20/24)</formula>
    </cfRule>
    <cfRule type="expression" dxfId="2102" priority="7">
      <formula>AND(J$9&gt;=8/24,J$9&lt;14/24)</formula>
    </cfRule>
    <cfRule type="expression" dxfId="2101" priority="8">
      <formula>J$9&lt;8/24</formula>
    </cfRule>
  </conditionalFormatting>
  <conditionalFormatting sqref="J53:J58">
    <cfRule type="expression" dxfId="2100" priority="1">
      <formula>J$9&gt;=20/24</formula>
    </cfRule>
    <cfRule type="expression" dxfId="2099" priority="2">
      <formula>AND(J$9&gt;=14/24,J$9&lt;20/24)</formula>
    </cfRule>
    <cfRule type="expression" dxfId="2098" priority="3">
      <formula>AND(J$9&gt;=8/24,J$9&lt;14/24)</formula>
    </cfRule>
    <cfRule type="expression" dxfId="2097" priority="4">
      <formula>J$9&lt;8/24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C9" sqref="C9:D3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22</v>
      </c>
      <c r="D4" s="324">
        <f ca="1">IFERROR(DATE(2021,5,14)+C4,"")</f>
        <v>44352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219.1</v>
      </c>
      <c r="C5" s="32">
        <f t="shared" ref="C5:AF5" si="0">C59</f>
        <v>221.8</v>
      </c>
      <c r="D5" s="32">
        <f t="shared" si="0"/>
        <v>215.93</v>
      </c>
      <c r="E5" s="32">
        <f t="shared" si="0"/>
        <v>203.5</v>
      </c>
      <c r="F5" s="32">
        <f t="shared" si="0"/>
        <v>206.6</v>
      </c>
      <c r="G5" s="32">
        <f t="shared" si="0"/>
        <v>208</v>
      </c>
      <c r="H5" s="32">
        <f t="shared" si="0"/>
        <v>208.5</v>
      </c>
      <c r="I5" s="32">
        <f t="shared" si="0"/>
        <v>237.41</v>
      </c>
      <c r="J5" s="32">
        <f t="shared" si="0"/>
        <v>256</v>
      </c>
      <c r="K5" s="32">
        <f t="shared" si="0"/>
        <v>246</v>
      </c>
      <c r="L5" s="32">
        <f t="shared" si="0"/>
        <v>256.52999999999997</v>
      </c>
      <c r="M5" s="32">
        <f t="shared" si="0"/>
        <v>309.14</v>
      </c>
      <c r="N5" s="32">
        <f t="shared" si="0"/>
        <v>283.70999999999998</v>
      </c>
      <c r="O5" s="32">
        <f t="shared" si="0"/>
        <v>270.10000000000002</v>
      </c>
      <c r="P5" s="32">
        <f t="shared" si="0"/>
        <v>286.89999999999998</v>
      </c>
      <c r="Q5" s="32">
        <f t="shared" si="0"/>
        <v>277.11</v>
      </c>
      <c r="R5" s="32">
        <f t="shared" si="0"/>
        <v>281.89999999999998</v>
      </c>
      <c r="S5" s="32">
        <f t="shared" si="0"/>
        <v>277</v>
      </c>
      <c r="T5" s="32">
        <f t="shared" si="0"/>
        <v>265.5</v>
      </c>
      <c r="U5" s="32">
        <f t="shared" si="0"/>
        <v>239</v>
      </c>
      <c r="V5" s="32">
        <f t="shared" si="0"/>
        <v>245</v>
      </c>
      <c r="W5" s="32">
        <f t="shared" si="0"/>
        <v>248.47</v>
      </c>
      <c r="X5" s="32">
        <f t="shared" si="0"/>
        <v>261.32</v>
      </c>
      <c r="Y5" s="32">
        <f t="shared" si="0"/>
        <v>326.89</v>
      </c>
      <c r="Z5" s="32">
        <f t="shared" si="0"/>
        <v>404.3</v>
      </c>
      <c r="AA5" s="32">
        <f t="shared" si="0"/>
        <v>411</v>
      </c>
      <c r="AB5" s="32">
        <f t="shared" si="0"/>
        <v>405.6</v>
      </c>
      <c r="AC5" s="32">
        <f t="shared" si="0"/>
        <v>410.5</v>
      </c>
      <c r="AD5" s="32">
        <f t="shared" si="0"/>
        <v>296</v>
      </c>
      <c r="AE5" s="32">
        <f t="shared" si="0"/>
        <v>253</v>
      </c>
      <c r="AF5" s="32">
        <f t="shared" si="0"/>
        <v>241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1104MW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Load=939</v>
      </c>
      <c r="B7" s="36">
        <f t="shared" ref="B7:AF7" si="1">B65</f>
        <v>1067.1400000000001</v>
      </c>
      <c r="C7" s="36">
        <f t="shared" si="1"/>
        <v>1057.1400000000001</v>
      </c>
      <c r="D7" s="36">
        <f t="shared" si="1"/>
        <v>1053.97</v>
      </c>
      <c r="E7" s="36">
        <f t="shared" si="1"/>
        <v>1044.04</v>
      </c>
      <c r="F7" s="36">
        <f t="shared" si="1"/>
        <v>1031.04</v>
      </c>
      <c r="G7" s="36">
        <f t="shared" si="1"/>
        <v>994.1400000000001</v>
      </c>
      <c r="H7" s="36">
        <f t="shared" si="1"/>
        <v>995.34</v>
      </c>
      <c r="I7" s="36">
        <f t="shared" si="1"/>
        <v>990.35</v>
      </c>
      <c r="J7" s="36">
        <f t="shared" si="1"/>
        <v>999.33999999999992</v>
      </c>
      <c r="K7" s="36">
        <f t="shared" si="1"/>
        <v>1041.94</v>
      </c>
      <c r="L7" s="36">
        <f>L65</f>
        <v>1052.0700000000002</v>
      </c>
      <c r="M7" s="36">
        <f t="shared" si="1"/>
        <v>1104.28</v>
      </c>
      <c r="N7" s="36">
        <f t="shared" si="1"/>
        <v>1076.1500000000001</v>
      </c>
      <c r="O7" s="36">
        <f t="shared" si="1"/>
        <v>1041.04</v>
      </c>
      <c r="P7" s="36">
        <f t="shared" si="1"/>
        <v>1072.27</v>
      </c>
      <c r="Q7" s="36">
        <f t="shared" si="1"/>
        <v>1065.05</v>
      </c>
      <c r="R7" s="36">
        <f t="shared" si="1"/>
        <v>1083.04</v>
      </c>
      <c r="S7" s="36">
        <f t="shared" si="1"/>
        <v>1037.6400000000001</v>
      </c>
      <c r="T7" s="36">
        <f t="shared" si="1"/>
        <v>986.24</v>
      </c>
      <c r="U7" s="36">
        <f t="shared" si="1"/>
        <v>1011.04</v>
      </c>
      <c r="V7" s="36">
        <f t="shared" si="1"/>
        <v>957.83999999999992</v>
      </c>
      <c r="W7" s="36">
        <f t="shared" si="1"/>
        <v>939.11</v>
      </c>
      <c r="X7" s="36">
        <f t="shared" si="1"/>
        <v>948.46</v>
      </c>
      <c r="Y7" s="36">
        <f t="shared" si="1"/>
        <v>1055.6300000000001</v>
      </c>
      <c r="Z7" s="36">
        <f t="shared" si="1"/>
        <v>1175.54</v>
      </c>
      <c r="AA7" s="36">
        <f t="shared" si="1"/>
        <v>1206.6400000000001</v>
      </c>
      <c r="AB7" s="36">
        <f t="shared" si="1"/>
        <v>1205.8399999999999</v>
      </c>
      <c r="AC7" s="36">
        <f t="shared" si="1"/>
        <v>1187.54</v>
      </c>
      <c r="AD7" s="36">
        <f t="shared" si="1"/>
        <v>1104.54</v>
      </c>
      <c r="AE7" s="36">
        <f t="shared" si="1"/>
        <v>1053.94</v>
      </c>
      <c r="AF7" s="36">
        <f t="shared" si="1"/>
        <v>1047.24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46.4</v>
      </c>
      <c r="C11" s="48">
        <v>45.9</v>
      </c>
      <c r="D11" s="48">
        <v>42.9</v>
      </c>
      <c r="E11" s="48">
        <v>44.1</v>
      </c>
      <c r="F11" s="48">
        <v>44.5</v>
      </c>
      <c r="G11" s="48">
        <v>43.2</v>
      </c>
      <c r="H11" s="48">
        <v>44.4</v>
      </c>
      <c r="I11" s="48">
        <v>43.2</v>
      </c>
      <c r="J11" s="48">
        <v>42.4</v>
      </c>
      <c r="K11" s="48">
        <v>42.4</v>
      </c>
      <c r="L11" s="49">
        <v>43.2</v>
      </c>
      <c r="M11" s="49">
        <v>43.2</v>
      </c>
      <c r="N11" s="49">
        <v>42.3</v>
      </c>
      <c r="O11" s="49">
        <v>40.4</v>
      </c>
      <c r="P11" s="49">
        <v>39.229999999999997</v>
      </c>
      <c r="Q11" s="49">
        <v>39.299999999999997</v>
      </c>
      <c r="R11" s="50">
        <v>38.9</v>
      </c>
      <c r="S11" s="50">
        <v>38.700000000000003</v>
      </c>
      <c r="T11" s="50">
        <v>38.200000000000003</v>
      </c>
      <c r="U11" s="50">
        <v>36.299999999999997</v>
      </c>
      <c r="V11" s="50">
        <v>37</v>
      </c>
      <c r="W11" s="50">
        <v>38.700000000000003</v>
      </c>
      <c r="X11" s="50">
        <v>34.799999999999997</v>
      </c>
      <c r="Y11" s="50">
        <v>38</v>
      </c>
      <c r="Z11" s="50">
        <v>39.1</v>
      </c>
      <c r="AA11" s="50">
        <v>38</v>
      </c>
      <c r="AB11" s="50">
        <v>38</v>
      </c>
      <c r="AC11" s="50">
        <v>37.299999999999997</v>
      </c>
      <c r="AD11" s="50">
        <v>36</v>
      </c>
      <c r="AE11" s="50">
        <v>35.4</v>
      </c>
      <c r="AF11" s="50">
        <v>33.6</v>
      </c>
      <c r="AG11" s="51">
        <v>60</v>
      </c>
      <c r="AH11" s="52">
        <f>MAX(B11:AF11)</f>
        <v>46.4</v>
      </c>
      <c r="AI11" s="53">
        <f>MIN(B11:AF11)</f>
        <v>33.6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50.2</v>
      </c>
      <c r="C12" s="56">
        <v>50.5</v>
      </c>
      <c r="D12" s="56">
        <v>50.2</v>
      </c>
      <c r="E12" s="56">
        <v>50.3</v>
      </c>
      <c r="F12" s="56">
        <v>50.5</v>
      </c>
      <c r="G12" s="56">
        <v>50.4</v>
      </c>
      <c r="H12" s="56">
        <v>50.2</v>
      </c>
      <c r="I12" s="56">
        <v>50.4</v>
      </c>
      <c r="J12" s="56">
        <v>50.4</v>
      </c>
      <c r="K12" s="56">
        <v>50.4</v>
      </c>
      <c r="L12" s="49">
        <v>50.5</v>
      </c>
      <c r="M12" s="49">
        <v>50.5</v>
      </c>
      <c r="N12" s="49">
        <v>50.5</v>
      </c>
      <c r="O12" s="49">
        <v>50.5</v>
      </c>
      <c r="P12" s="49">
        <v>50.5</v>
      </c>
      <c r="Q12" s="49">
        <v>50.5</v>
      </c>
      <c r="R12" s="49">
        <v>50.6</v>
      </c>
      <c r="S12" s="49">
        <v>50.6</v>
      </c>
      <c r="T12" s="49">
        <v>50.6</v>
      </c>
      <c r="U12" s="49">
        <v>50.5</v>
      </c>
      <c r="V12" s="49">
        <v>22.6</v>
      </c>
      <c r="W12" s="49">
        <v>22.6</v>
      </c>
      <c r="X12" s="49">
        <v>22.6</v>
      </c>
      <c r="Y12" s="49">
        <v>22.6</v>
      </c>
      <c r="Z12" s="49">
        <v>50.5</v>
      </c>
      <c r="AA12" s="49">
        <v>50.5</v>
      </c>
      <c r="AB12" s="49">
        <v>50.5</v>
      </c>
      <c r="AC12" s="49">
        <v>50.8</v>
      </c>
      <c r="AD12" s="49">
        <v>50.6</v>
      </c>
      <c r="AE12" s="49">
        <v>50.6</v>
      </c>
      <c r="AF12" s="49">
        <v>50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22.6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43.7</v>
      </c>
      <c r="C13" s="56">
        <v>43.2</v>
      </c>
      <c r="D13" s="56">
        <v>41.5</v>
      </c>
      <c r="E13" s="56">
        <v>41.8</v>
      </c>
      <c r="F13" s="56">
        <v>41.8</v>
      </c>
      <c r="G13" s="56">
        <v>40.6</v>
      </c>
      <c r="H13" s="56">
        <v>40.700000000000003</v>
      </c>
      <c r="I13" s="56">
        <v>40.799999999999997</v>
      </c>
      <c r="J13" s="56">
        <v>40.700000000000003</v>
      </c>
      <c r="K13" s="56">
        <v>40.700000000000003</v>
      </c>
      <c r="L13" s="49">
        <v>40.700000000000003</v>
      </c>
      <c r="M13" s="49">
        <v>39.799999999999997</v>
      </c>
      <c r="N13" s="49">
        <v>39.5</v>
      </c>
      <c r="O13" s="49">
        <v>39.200000000000003</v>
      </c>
      <c r="P13" s="49">
        <v>39.200000000000003</v>
      </c>
      <c r="Q13" s="49">
        <v>37.9</v>
      </c>
      <c r="R13" s="49">
        <v>38</v>
      </c>
      <c r="S13" s="49">
        <v>39.1</v>
      </c>
      <c r="T13" s="49">
        <v>38.5</v>
      </c>
      <c r="U13" s="49">
        <v>39.700000000000003</v>
      </c>
      <c r="V13" s="49">
        <v>39.700000000000003</v>
      </c>
      <c r="W13" s="49">
        <v>39.700000000000003</v>
      </c>
      <c r="X13" s="49">
        <v>39.700000000000003</v>
      </c>
      <c r="Y13" s="49">
        <v>39.700000000000003</v>
      </c>
      <c r="Z13" s="49">
        <v>42.8</v>
      </c>
      <c r="AA13" s="49">
        <v>39.700000000000003</v>
      </c>
      <c r="AB13" s="49">
        <v>43.6</v>
      </c>
      <c r="AC13" s="49">
        <v>43.8</v>
      </c>
      <c r="AD13" s="49">
        <v>44.5</v>
      </c>
      <c r="AE13" s="49">
        <v>44.5</v>
      </c>
      <c r="AF13" s="49">
        <v>44.5</v>
      </c>
      <c r="AG13" s="59">
        <v>45</v>
      </c>
      <c r="AH13" s="52">
        <f t="shared" si="2"/>
        <v>44.5</v>
      </c>
      <c r="AI13" s="53">
        <f t="shared" si="3"/>
        <v>37.9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49">
        <v>21</v>
      </c>
      <c r="C14" s="49">
        <v>21</v>
      </c>
      <c r="D14" s="49">
        <v>21</v>
      </c>
      <c r="E14" s="49">
        <v>21</v>
      </c>
      <c r="F14" s="49">
        <v>21</v>
      </c>
      <c r="G14" s="49">
        <v>21</v>
      </c>
      <c r="H14" s="49">
        <v>21</v>
      </c>
      <c r="I14" s="49">
        <v>21</v>
      </c>
      <c r="J14" s="49">
        <v>12</v>
      </c>
      <c r="K14" s="49">
        <v>10</v>
      </c>
      <c r="L14" s="49">
        <v>10</v>
      </c>
      <c r="M14" s="49">
        <v>10</v>
      </c>
      <c r="N14" s="49">
        <v>10</v>
      </c>
      <c r="O14" s="49">
        <v>10</v>
      </c>
      <c r="P14" s="49">
        <v>10</v>
      </c>
      <c r="Q14" s="49">
        <v>16.5</v>
      </c>
      <c r="R14" s="49">
        <v>16.5</v>
      </c>
      <c r="S14" s="49">
        <v>16.5</v>
      </c>
      <c r="T14" s="49">
        <v>16.5</v>
      </c>
      <c r="U14" s="49">
        <v>16.5</v>
      </c>
      <c r="V14" s="49">
        <v>16.5</v>
      </c>
      <c r="W14" s="49">
        <v>16.5</v>
      </c>
      <c r="X14" s="49">
        <v>16.5</v>
      </c>
      <c r="Y14" s="49">
        <v>16.5</v>
      </c>
      <c r="Z14" s="49">
        <v>16.5</v>
      </c>
      <c r="AA14" s="49">
        <v>16.5</v>
      </c>
      <c r="AB14" s="49">
        <v>16.5</v>
      </c>
      <c r="AC14" s="49">
        <v>16.5</v>
      </c>
      <c r="AD14" s="49">
        <v>16.5</v>
      </c>
      <c r="AE14" s="49">
        <v>16.5</v>
      </c>
      <c r="AF14" s="49">
        <v>16.5</v>
      </c>
      <c r="AG14" s="59">
        <v>25</v>
      </c>
      <c r="AH14" s="52">
        <f t="shared" si="2"/>
        <v>21</v>
      </c>
      <c r="AI14" s="53">
        <f t="shared" si="3"/>
        <v>10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49">
        <v>25</v>
      </c>
      <c r="C15" s="49">
        <v>25.1</v>
      </c>
      <c r="D15" s="49">
        <v>25</v>
      </c>
      <c r="E15" s="49">
        <v>25</v>
      </c>
      <c r="F15" s="49">
        <v>24.1</v>
      </c>
      <c r="G15" s="49">
        <v>23.6</v>
      </c>
      <c r="H15" s="49">
        <v>23.1</v>
      </c>
      <c r="I15" s="49">
        <v>23.3</v>
      </c>
      <c r="J15" s="49">
        <v>23.3</v>
      </c>
      <c r="K15" s="49">
        <v>23.3</v>
      </c>
      <c r="L15" s="49">
        <v>23.3</v>
      </c>
      <c r="M15" s="49">
        <v>22.9</v>
      </c>
      <c r="N15" s="49">
        <v>21.8</v>
      </c>
      <c r="O15" s="49">
        <v>22.6</v>
      </c>
      <c r="P15" s="49">
        <v>21.6</v>
      </c>
      <c r="Q15" s="49">
        <v>21.6</v>
      </c>
      <c r="R15" s="49">
        <v>21.7</v>
      </c>
      <c r="S15" s="49">
        <v>17</v>
      </c>
      <c r="T15" s="49">
        <v>25.6</v>
      </c>
      <c r="U15" s="49">
        <v>24.9</v>
      </c>
      <c r="V15" s="49">
        <v>23.7</v>
      </c>
      <c r="W15" s="49">
        <v>23.7</v>
      </c>
      <c r="X15" s="49">
        <v>23.8</v>
      </c>
      <c r="Y15" s="49">
        <v>22.3</v>
      </c>
      <c r="Z15" s="49">
        <v>24.9</v>
      </c>
      <c r="AA15" s="49">
        <v>22.2</v>
      </c>
      <c r="AB15" s="49">
        <v>24.9</v>
      </c>
      <c r="AC15" s="49">
        <v>25</v>
      </c>
      <c r="AD15" s="49">
        <v>25</v>
      </c>
      <c r="AE15" s="49">
        <v>25</v>
      </c>
      <c r="AF15" s="49">
        <v>24.9</v>
      </c>
      <c r="AG15" s="59">
        <v>25</v>
      </c>
      <c r="AH15" s="52">
        <f t="shared" si="2"/>
        <v>25.6</v>
      </c>
      <c r="AI15" s="53">
        <f t="shared" si="3"/>
        <v>17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49">
        <v>6.2</v>
      </c>
      <c r="E16" s="49">
        <v>6.2</v>
      </c>
      <c r="F16" s="49">
        <v>6.2</v>
      </c>
      <c r="G16" s="49">
        <v>6.2</v>
      </c>
      <c r="H16" s="49">
        <v>6.2</v>
      </c>
      <c r="I16" s="49">
        <v>6.2</v>
      </c>
      <c r="J16" s="49">
        <v>6.2</v>
      </c>
      <c r="K16" s="49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</v>
      </c>
      <c r="C17" s="49">
        <v>22</v>
      </c>
      <c r="D17" s="49">
        <v>22.9</v>
      </c>
      <c r="E17" s="49">
        <v>22.8</v>
      </c>
      <c r="F17" s="49">
        <v>22.8</v>
      </c>
      <c r="G17" s="49">
        <v>22.4</v>
      </c>
      <c r="H17" s="49">
        <v>22.6</v>
      </c>
      <c r="I17" s="49">
        <v>22.8</v>
      </c>
      <c r="J17" s="49">
        <v>22.6</v>
      </c>
      <c r="K17" s="49">
        <v>22.6</v>
      </c>
      <c r="L17" s="49">
        <v>22.1</v>
      </c>
      <c r="M17" s="49">
        <v>22.1</v>
      </c>
      <c r="N17" s="49">
        <v>22.1</v>
      </c>
      <c r="O17" s="49">
        <v>22.1</v>
      </c>
      <c r="P17" s="49">
        <v>22.1</v>
      </c>
      <c r="Q17" s="49">
        <v>22.1</v>
      </c>
      <c r="R17" s="49">
        <v>22.7</v>
      </c>
      <c r="S17" s="49">
        <v>22.5</v>
      </c>
      <c r="T17" s="49">
        <v>22.5</v>
      </c>
      <c r="U17" s="49">
        <v>23.5</v>
      </c>
      <c r="V17" s="49">
        <v>22.6</v>
      </c>
      <c r="W17" s="49">
        <v>22.7</v>
      </c>
      <c r="X17" s="49">
        <v>22.6</v>
      </c>
      <c r="Y17" s="49">
        <v>22.7</v>
      </c>
      <c r="Z17" s="49">
        <v>22.7</v>
      </c>
      <c r="AA17" s="49">
        <v>22.6</v>
      </c>
      <c r="AB17" s="49">
        <v>22.6</v>
      </c>
      <c r="AC17" s="49">
        <v>22.6</v>
      </c>
      <c r="AD17" s="49">
        <v>22.6</v>
      </c>
      <c r="AE17" s="49">
        <v>22.6</v>
      </c>
      <c r="AF17" s="49">
        <v>22.6</v>
      </c>
      <c r="AG17" s="59">
        <v>22.1</v>
      </c>
      <c r="AH17" s="52">
        <f t="shared" si="2"/>
        <v>23.5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49">
        <v>5</v>
      </c>
      <c r="D18" s="49">
        <v>5</v>
      </c>
      <c r="E18" s="49">
        <v>5</v>
      </c>
      <c r="F18" s="49">
        <v>5</v>
      </c>
      <c r="G18" s="49">
        <v>5</v>
      </c>
      <c r="H18" s="49">
        <v>5</v>
      </c>
      <c r="I18" s="49">
        <v>5</v>
      </c>
      <c r="J18" s="49">
        <v>5</v>
      </c>
      <c r="K18" s="49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12.4</v>
      </c>
      <c r="C19" s="49">
        <v>12.1</v>
      </c>
      <c r="D19" s="49">
        <v>12</v>
      </c>
      <c r="E19" s="49">
        <v>11.3</v>
      </c>
      <c r="F19" s="49">
        <v>11.3</v>
      </c>
      <c r="G19" s="49">
        <v>11.3</v>
      </c>
      <c r="H19" s="49">
        <v>11.5</v>
      </c>
      <c r="I19" s="49">
        <v>11.5</v>
      </c>
      <c r="J19" s="49">
        <v>11.5</v>
      </c>
      <c r="K19" s="49">
        <v>11.5</v>
      </c>
      <c r="L19" s="49">
        <v>11.5</v>
      </c>
      <c r="M19" s="49">
        <v>11</v>
      </c>
      <c r="N19" s="49">
        <v>10.6</v>
      </c>
      <c r="O19" s="49">
        <v>10</v>
      </c>
      <c r="P19" s="49">
        <v>10.1</v>
      </c>
      <c r="Q19" s="49">
        <v>9.4</v>
      </c>
      <c r="R19" s="49">
        <v>9.4</v>
      </c>
      <c r="S19" s="49">
        <v>9.5</v>
      </c>
      <c r="T19" s="49">
        <v>9.5</v>
      </c>
      <c r="U19" s="49">
        <v>10.8</v>
      </c>
      <c r="V19" s="49">
        <v>12.2</v>
      </c>
      <c r="W19" s="49">
        <v>12.2</v>
      </c>
      <c r="X19" s="49">
        <v>12.3</v>
      </c>
      <c r="Y19" s="49">
        <v>12.7</v>
      </c>
      <c r="Z19" s="49">
        <v>12.6</v>
      </c>
      <c r="AA19" s="49">
        <v>12.7</v>
      </c>
      <c r="AB19" s="49">
        <v>12.7</v>
      </c>
      <c r="AC19" s="49">
        <v>12.7</v>
      </c>
      <c r="AD19" s="49">
        <v>11.8</v>
      </c>
      <c r="AE19" s="49">
        <v>11.8</v>
      </c>
      <c r="AF19" s="49">
        <v>11.8</v>
      </c>
      <c r="AG19" s="59">
        <v>22</v>
      </c>
      <c r="AH19" s="52">
        <f t="shared" si="2"/>
        <v>12.7</v>
      </c>
      <c r="AI19" s="53">
        <f t="shared" si="3"/>
        <v>9.4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8.5</v>
      </c>
      <c r="C20" s="56">
        <v>8.5</v>
      </c>
      <c r="D20" s="56">
        <v>8.5</v>
      </c>
      <c r="E20" s="56">
        <v>8.5</v>
      </c>
      <c r="F20" s="56">
        <v>8.5</v>
      </c>
      <c r="G20" s="56">
        <v>8.5</v>
      </c>
      <c r="H20" s="56">
        <v>8.5</v>
      </c>
      <c r="I20" s="56">
        <v>8.5</v>
      </c>
      <c r="J20" s="56">
        <v>8.5</v>
      </c>
      <c r="K20" s="56">
        <v>8.5</v>
      </c>
      <c r="L20" s="49">
        <v>8.5</v>
      </c>
      <c r="M20" s="49">
        <v>8.5</v>
      </c>
      <c r="N20" s="49">
        <v>8.5</v>
      </c>
      <c r="O20" s="49">
        <v>8.5</v>
      </c>
      <c r="P20" s="49">
        <v>8.5</v>
      </c>
      <c r="Q20" s="49">
        <v>8.5</v>
      </c>
      <c r="R20" s="49">
        <v>8.5</v>
      </c>
      <c r="S20" s="49">
        <v>8.5</v>
      </c>
      <c r="T20" s="49">
        <v>8.5</v>
      </c>
      <c r="U20" s="49">
        <v>8.5</v>
      </c>
      <c r="V20" s="49">
        <v>8.5</v>
      </c>
      <c r="W20" s="49">
        <v>8.5</v>
      </c>
      <c r="X20" s="49">
        <v>8.5</v>
      </c>
      <c r="Y20" s="49">
        <v>8.5</v>
      </c>
      <c r="Z20" s="49">
        <v>8.5</v>
      </c>
      <c r="AA20" s="49">
        <v>8.5</v>
      </c>
      <c r="AB20" s="49">
        <v>8.5</v>
      </c>
      <c r="AC20" s="49">
        <v>8.5</v>
      </c>
      <c r="AD20" s="49">
        <v>8.5</v>
      </c>
      <c r="AE20" s="49">
        <v>8.5</v>
      </c>
      <c r="AF20" s="49">
        <v>8.5</v>
      </c>
      <c r="AG20" s="59">
        <v>22</v>
      </c>
      <c r="AH20" s="52">
        <f t="shared" si="2"/>
        <v>8.5</v>
      </c>
      <c r="AI20" s="53">
        <f t="shared" si="3"/>
        <v>8.5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49">
        <v>5</v>
      </c>
      <c r="S22" s="49">
        <v>5</v>
      </c>
      <c r="T22" s="49">
        <v>5</v>
      </c>
      <c r="U22" s="49">
        <v>5</v>
      </c>
      <c r="V22" s="49">
        <v>5</v>
      </c>
      <c r="W22" s="49">
        <v>5</v>
      </c>
      <c r="X22" s="49">
        <v>5</v>
      </c>
      <c r="Y22" s="49">
        <v>5</v>
      </c>
      <c r="Z22" s="49">
        <v>5</v>
      </c>
      <c r="AA22" s="49">
        <v>5</v>
      </c>
      <c r="AB22" s="49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10.5</v>
      </c>
      <c r="C23" s="56">
        <v>10.5</v>
      </c>
      <c r="D23" s="56">
        <v>10.5</v>
      </c>
      <c r="E23" s="56">
        <v>10.5</v>
      </c>
      <c r="F23" s="56">
        <v>10.5</v>
      </c>
      <c r="G23" s="56">
        <v>10.5</v>
      </c>
      <c r="H23" s="56">
        <v>10.5</v>
      </c>
      <c r="I23" s="56">
        <v>10.5</v>
      </c>
      <c r="J23" s="56">
        <v>10.5</v>
      </c>
      <c r="K23" s="56">
        <v>10.5</v>
      </c>
      <c r="L23" s="56">
        <v>10.5</v>
      </c>
      <c r="M23" s="56">
        <v>10.5</v>
      </c>
      <c r="N23" s="56">
        <v>10.5</v>
      </c>
      <c r="O23" s="56">
        <v>10.5</v>
      </c>
      <c r="P23" s="56">
        <v>10.5</v>
      </c>
      <c r="Q23" s="56">
        <v>10.5</v>
      </c>
      <c r="R23" s="49">
        <v>10.5</v>
      </c>
      <c r="S23" s="49">
        <v>10.5</v>
      </c>
      <c r="T23" s="49">
        <v>10.5</v>
      </c>
      <c r="U23" s="49">
        <v>10.5</v>
      </c>
      <c r="V23" s="49">
        <v>10.5</v>
      </c>
      <c r="W23" s="49">
        <v>10.5</v>
      </c>
      <c r="X23" s="49">
        <v>10.5</v>
      </c>
      <c r="Y23" s="49">
        <v>10.5</v>
      </c>
      <c r="Z23" s="49">
        <v>10.5</v>
      </c>
      <c r="AA23" s="49">
        <v>10.5</v>
      </c>
      <c r="AB23" s="49">
        <v>10.5</v>
      </c>
      <c r="AC23" s="49">
        <v>10.5</v>
      </c>
      <c r="AD23" s="49">
        <v>10.5</v>
      </c>
      <c r="AE23" s="49">
        <v>10.5</v>
      </c>
      <c r="AF23" s="49">
        <v>10.5</v>
      </c>
      <c r="AG23" s="59">
        <v>13</v>
      </c>
      <c r="AH23" s="52">
        <f t="shared" si="2"/>
        <v>10.5</v>
      </c>
      <c r="AI23" s="53">
        <f t="shared" si="3"/>
        <v>10.5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4.4000000000000004</v>
      </c>
      <c r="C24" s="56">
        <v>4.4000000000000004</v>
      </c>
      <c r="D24" s="56">
        <v>4.4000000000000004</v>
      </c>
      <c r="E24" s="56">
        <v>4.4000000000000004</v>
      </c>
      <c r="F24" s="56">
        <v>4.4000000000000004</v>
      </c>
      <c r="G24" s="56">
        <v>4.4000000000000004</v>
      </c>
      <c r="H24" s="56">
        <v>4.4000000000000004</v>
      </c>
      <c r="I24" s="56">
        <v>4.4000000000000004</v>
      </c>
      <c r="J24" s="56">
        <v>4.4000000000000004</v>
      </c>
      <c r="K24" s="56">
        <v>4.4000000000000004</v>
      </c>
      <c r="L24" s="56">
        <v>4.4000000000000004</v>
      </c>
      <c r="M24" s="56">
        <v>4.4000000000000004</v>
      </c>
      <c r="N24" s="56">
        <v>4.4000000000000004</v>
      </c>
      <c r="O24" s="56">
        <v>4.4000000000000004</v>
      </c>
      <c r="P24" s="56">
        <v>4.4000000000000004</v>
      </c>
      <c r="Q24" s="56">
        <v>4.4000000000000004</v>
      </c>
      <c r="R24" s="49">
        <v>4.4000000000000004</v>
      </c>
      <c r="S24" s="49">
        <v>4.4000000000000004</v>
      </c>
      <c r="T24" s="49">
        <v>4.4000000000000004</v>
      </c>
      <c r="U24" s="49">
        <v>4.4000000000000004</v>
      </c>
      <c r="V24" s="49">
        <v>4.4000000000000004</v>
      </c>
      <c r="W24" s="49">
        <v>4.4000000000000004</v>
      </c>
      <c r="X24" s="49">
        <v>4.4000000000000004</v>
      </c>
      <c r="Y24" s="49">
        <v>4.4000000000000004</v>
      </c>
      <c r="Z24" s="49">
        <v>4.4000000000000004</v>
      </c>
      <c r="AA24" s="49">
        <v>4.4000000000000004</v>
      </c>
      <c r="AB24" s="49">
        <v>4.4000000000000004</v>
      </c>
      <c r="AC24" s="49">
        <v>4.4000000000000004</v>
      </c>
      <c r="AD24" s="49">
        <v>4.4000000000000004</v>
      </c>
      <c r="AE24" s="49">
        <v>4.4000000000000004</v>
      </c>
      <c r="AF24" s="49">
        <v>4.4000000000000004</v>
      </c>
      <c r="AG24" s="59">
        <v>12</v>
      </c>
      <c r="AH24" s="52">
        <f t="shared" si="2"/>
        <v>4.4000000000000004</v>
      </c>
      <c r="AI24" s="53">
        <f t="shared" si="3"/>
        <v>4.4000000000000004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49">
        <v>2.2000000000000002</v>
      </c>
      <c r="S25" s="49">
        <v>2.2000000000000002</v>
      </c>
      <c r="T25" s="49">
        <v>2.2000000000000002</v>
      </c>
      <c r="U25" s="49">
        <v>2.2000000000000002</v>
      </c>
      <c r="V25" s="49">
        <v>2.2000000000000002</v>
      </c>
      <c r="W25" s="49">
        <v>2.2000000000000002</v>
      </c>
      <c r="X25" s="49">
        <v>2.2000000000000002</v>
      </c>
      <c r="Y25" s="49">
        <v>2.2000000000000002</v>
      </c>
      <c r="Z25" s="49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150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150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>
        <v>76.3</v>
      </c>
      <c r="C29" s="56">
        <v>78.599999999999994</v>
      </c>
      <c r="D29" s="56">
        <v>84.3</v>
      </c>
      <c r="E29" s="56">
        <v>80.400000000000006</v>
      </c>
      <c r="F29" s="56">
        <v>69.8</v>
      </c>
      <c r="G29" s="56">
        <v>72.400000000000006</v>
      </c>
      <c r="H29" s="56">
        <v>71.3</v>
      </c>
      <c r="I29" s="56">
        <v>76.400000000000006</v>
      </c>
      <c r="J29" s="56">
        <v>73.8</v>
      </c>
      <c r="K29" s="56">
        <v>51</v>
      </c>
      <c r="L29" s="67">
        <v>65.3</v>
      </c>
      <c r="M29" s="67">
        <v>72.599999999999994</v>
      </c>
      <c r="N29" s="67">
        <v>70.099999999999994</v>
      </c>
      <c r="O29" s="67">
        <v>68.8</v>
      </c>
      <c r="P29" s="67">
        <v>68.099999999999994</v>
      </c>
      <c r="Q29" s="67">
        <v>68.099999999999994</v>
      </c>
      <c r="R29" s="67">
        <v>67.7</v>
      </c>
      <c r="S29" s="67">
        <v>62.7</v>
      </c>
      <c r="T29" s="67">
        <v>63.7</v>
      </c>
      <c r="U29" s="67">
        <v>62.7</v>
      </c>
      <c r="V29" s="67">
        <v>64</v>
      </c>
      <c r="W29" s="67">
        <v>63.6</v>
      </c>
      <c r="X29" s="67">
        <v>63.4</v>
      </c>
      <c r="Y29" s="67">
        <v>60.8</v>
      </c>
      <c r="Z29" s="67">
        <v>60.1</v>
      </c>
      <c r="AA29" s="67">
        <v>59.1</v>
      </c>
      <c r="AB29" s="67">
        <v>60</v>
      </c>
      <c r="AC29" s="67">
        <v>62.6</v>
      </c>
      <c r="AD29" s="56">
        <v>67.400000000000006</v>
      </c>
      <c r="AE29" s="56">
        <v>67.400000000000006</v>
      </c>
      <c r="AF29" s="56">
        <v>70.7</v>
      </c>
      <c r="AG29" s="59">
        <v>240</v>
      </c>
      <c r="AH29" s="52">
        <f t="shared" si="2"/>
        <v>84.3</v>
      </c>
      <c r="AI29" s="53">
        <f t="shared" si="3"/>
        <v>51</v>
      </c>
      <c r="AK29" s="54"/>
      <c r="AM29" t="s">
        <v>202</v>
      </c>
    </row>
    <row r="30" spans="1:88" ht="15.75" thickBot="1" x14ac:dyDescent="0.3">
      <c r="A30" s="68" t="s">
        <v>37</v>
      </c>
      <c r="B30" s="69">
        <f>SUM(B11:B28)</f>
        <v>426.5</v>
      </c>
      <c r="C30" s="69">
        <f t="shared" ref="C30:AF30" si="4">SUM(C11:C28)</f>
        <v>425.59999999999997</v>
      </c>
      <c r="D30" s="69">
        <f t="shared" si="4"/>
        <v>421.3</v>
      </c>
      <c r="E30" s="69">
        <f t="shared" si="4"/>
        <v>422.1</v>
      </c>
      <c r="F30" s="69">
        <f t="shared" si="4"/>
        <v>421.8</v>
      </c>
      <c r="G30" s="69">
        <f t="shared" si="4"/>
        <v>418.29999999999995</v>
      </c>
      <c r="H30" s="69">
        <f t="shared" si="4"/>
        <v>419.29999999999995</v>
      </c>
      <c r="I30" s="69">
        <f t="shared" si="4"/>
        <v>418.79999999999995</v>
      </c>
      <c r="J30" s="69">
        <f t="shared" si="4"/>
        <v>408.7</v>
      </c>
      <c r="K30" s="69">
        <f t="shared" si="4"/>
        <v>406.7</v>
      </c>
      <c r="L30" s="69">
        <f t="shared" si="4"/>
        <v>407.1</v>
      </c>
      <c r="M30" s="69">
        <f t="shared" si="4"/>
        <v>405.29999999999995</v>
      </c>
      <c r="N30" s="69">
        <f t="shared" si="4"/>
        <v>402.6</v>
      </c>
      <c r="O30" s="69">
        <f t="shared" si="4"/>
        <v>400.6</v>
      </c>
      <c r="P30" s="69">
        <f t="shared" si="4"/>
        <v>398.53</v>
      </c>
      <c r="Q30" s="69">
        <f t="shared" si="4"/>
        <v>403.09999999999997</v>
      </c>
      <c r="R30" s="69">
        <f t="shared" si="4"/>
        <v>403.59999999999997</v>
      </c>
      <c r="S30" s="69">
        <f t="shared" si="4"/>
        <v>399.7</v>
      </c>
      <c r="T30" s="69">
        <f t="shared" si="4"/>
        <v>407.2</v>
      </c>
      <c r="U30" s="69">
        <f t="shared" si="4"/>
        <v>408</v>
      </c>
      <c r="V30" s="69">
        <f>SUM(V11:V28)</f>
        <v>380.09999999999997</v>
      </c>
      <c r="W30" s="69">
        <f t="shared" si="4"/>
        <v>381.9</v>
      </c>
      <c r="X30" s="69">
        <f t="shared" si="4"/>
        <v>378.1</v>
      </c>
      <c r="Y30" s="69">
        <f t="shared" si="4"/>
        <v>380.29999999999995</v>
      </c>
      <c r="Z30" s="69">
        <f t="shared" si="4"/>
        <v>414.9</v>
      </c>
      <c r="AA30" s="69">
        <f t="shared" si="4"/>
        <v>407.99999999999994</v>
      </c>
      <c r="AB30" s="69">
        <f t="shared" si="4"/>
        <v>414.59999999999997</v>
      </c>
      <c r="AC30" s="69">
        <f t="shared" si="4"/>
        <v>414.49999999999994</v>
      </c>
      <c r="AD30" s="69">
        <f t="shared" si="4"/>
        <v>412.79999999999995</v>
      </c>
      <c r="AE30" s="69">
        <f t="shared" si="4"/>
        <v>412.2</v>
      </c>
      <c r="AF30" s="69">
        <f t="shared" si="4"/>
        <v>409.7</v>
      </c>
      <c r="AG30" s="59">
        <f>SUM(AG11:AG29)</f>
        <v>729.2</v>
      </c>
      <c r="AH30" s="52">
        <f t="shared" si="2"/>
        <v>426.5</v>
      </c>
      <c r="AI30" s="53">
        <f t="shared" si="3"/>
        <v>378.1</v>
      </c>
      <c r="AK30" s="54"/>
    </row>
    <row r="31" spans="1:88" x14ac:dyDescent="0.25">
      <c r="A31" s="55" t="s">
        <v>38</v>
      </c>
      <c r="B31" s="48">
        <v>99.2</v>
      </c>
      <c r="C31" s="48">
        <v>98.9</v>
      </c>
      <c r="D31" s="56">
        <v>98.9</v>
      </c>
      <c r="E31" s="56">
        <v>97</v>
      </c>
      <c r="F31" s="56">
        <v>96.8</v>
      </c>
      <c r="G31" s="56">
        <v>96.8</v>
      </c>
      <c r="H31" s="56">
        <v>96.9</v>
      </c>
      <c r="I31" s="56">
        <v>96.2</v>
      </c>
      <c r="J31" s="56">
        <v>96.8</v>
      </c>
      <c r="K31" s="56">
        <v>96.9</v>
      </c>
      <c r="L31" s="49">
        <v>97</v>
      </c>
      <c r="M31" s="49">
        <v>97</v>
      </c>
      <c r="N31" s="49">
        <v>97</v>
      </c>
      <c r="O31" s="49">
        <v>97</v>
      </c>
      <c r="P31" s="49">
        <v>97</v>
      </c>
      <c r="Q31" s="49">
        <v>97</v>
      </c>
      <c r="R31" s="49">
        <v>97</v>
      </c>
      <c r="S31" s="49">
        <v>96.9</v>
      </c>
      <c r="T31" s="49">
        <v>96.9</v>
      </c>
      <c r="U31" s="49">
        <v>96.9</v>
      </c>
      <c r="V31" s="49">
        <v>96.9</v>
      </c>
      <c r="W31" s="49">
        <v>96.9</v>
      </c>
      <c r="X31" s="49">
        <v>96.9</v>
      </c>
      <c r="Y31" s="49">
        <v>96.9</v>
      </c>
      <c r="Z31" s="49">
        <v>96.9</v>
      </c>
      <c r="AA31" s="48">
        <v>96.8</v>
      </c>
      <c r="AB31" s="48">
        <v>96.8</v>
      </c>
      <c r="AC31" s="48">
        <v>97</v>
      </c>
      <c r="AD31" s="48">
        <v>97</v>
      </c>
      <c r="AE31" s="48">
        <v>97</v>
      </c>
      <c r="AF31" s="48">
        <v>97</v>
      </c>
      <c r="AG31" s="57">
        <v>144</v>
      </c>
      <c r="AH31" s="52">
        <f t="shared" si="2"/>
        <v>99.2</v>
      </c>
      <c r="AI31" s="53">
        <f t="shared" si="3"/>
        <v>96.2</v>
      </c>
      <c r="AK31" s="54"/>
    </row>
    <row r="32" spans="1:88" x14ac:dyDescent="0.25">
      <c r="A32" s="58" t="s">
        <v>39</v>
      </c>
      <c r="B32" s="56">
        <v>70</v>
      </c>
      <c r="C32" s="56">
        <v>70</v>
      </c>
      <c r="D32" s="56">
        <v>70.099999999999994</v>
      </c>
      <c r="E32" s="56">
        <v>70.599999999999994</v>
      </c>
      <c r="F32" s="56">
        <v>70.5</v>
      </c>
      <c r="G32" s="56">
        <v>70.7</v>
      </c>
      <c r="H32" s="56">
        <v>70.8</v>
      </c>
      <c r="I32" s="56">
        <v>71.099999999999994</v>
      </c>
      <c r="J32" s="56">
        <v>70.900000000000006</v>
      </c>
      <c r="K32" s="56">
        <v>70.7</v>
      </c>
      <c r="L32" s="70">
        <v>70.7</v>
      </c>
      <c r="M32" s="70">
        <v>70.7</v>
      </c>
      <c r="N32" s="70">
        <v>70.400000000000006</v>
      </c>
      <c r="O32" s="70">
        <v>50.2</v>
      </c>
      <c r="P32" s="70">
        <v>72.099999999999994</v>
      </c>
      <c r="Q32" s="70">
        <v>70.3</v>
      </c>
      <c r="R32" s="70">
        <v>70</v>
      </c>
      <c r="S32" s="70">
        <v>69.7</v>
      </c>
      <c r="T32" s="70">
        <v>70.2</v>
      </c>
      <c r="U32" s="70">
        <v>71.7</v>
      </c>
      <c r="V32" s="70">
        <v>44</v>
      </c>
      <c r="W32" s="70">
        <v>22</v>
      </c>
      <c r="X32" s="70">
        <v>22</v>
      </c>
      <c r="Y32" s="70">
        <v>44</v>
      </c>
      <c r="Z32" s="70">
        <v>68.7</v>
      </c>
      <c r="AA32" s="56">
        <v>70.599999999999994</v>
      </c>
      <c r="AB32" s="56">
        <v>70.599999999999994</v>
      </c>
      <c r="AC32" s="56">
        <v>70.5</v>
      </c>
      <c r="AD32" s="56">
        <v>70.5</v>
      </c>
      <c r="AE32" s="56">
        <v>70.5</v>
      </c>
      <c r="AF32" s="56">
        <v>70.5</v>
      </c>
      <c r="AG32" s="59">
        <v>70</v>
      </c>
      <c r="AH32" s="52">
        <f t="shared" si="2"/>
        <v>72.099999999999994</v>
      </c>
      <c r="AI32" s="53">
        <f t="shared" si="3"/>
        <v>22</v>
      </c>
      <c r="AK32" s="54"/>
    </row>
    <row r="33" spans="1:41" x14ac:dyDescent="0.25">
      <c r="A33" s="58" t="s">
        <v>40</v>
      </c>
      <c r="B33" s="56">
        <v>62.7</v>
      </c>
      <c r="C33" s="56">
        <v>62.7</v>
      </c>
      <c r="D33" s="56">
        <v>62.3</v>
      </c>
      <c r="E33" s="56">
        <v>62.5</v>
      </c>
      <c r="F33" s="56">
        <v>62.6</v>
      </c>
      <c r="G33" s="56">
        <v>62.1</v>
      </c>
      <c r="H33" s="56">
        <v>62.3</v>
      </c>
      <c r="I33" s="56">
        <v>62.3</v>
      </c>
      <c r="J33" s="56">
        <v>62.6</v>
      </c>
      <c r="K33" s="56">
        <v>62.3</v>
      </c>
      <c r="L33" s="70">
        <v>62.2</v>
      </c>
      <c r="M33" s="70">
        <v>62.3</v>
      </c>
      <c r="N33" s="70">
        <v>62.1</v>
      </c>
      <c r="O33" s="70">
        <v>62.7</v>
      </c>
      <c r="P33" s="70">
        <v>62.5</v>
      </c>
      <c r="Q33" s="70">
        <v>62.9</v>
      </c>
      <c r="R33" s="70">
        <v>62.8</v>
      </c>
      <c r="S33" s="70">
        <v>62.6</v>
      </c>
      <c r="T33" s="70">
        <v>45.4</v>
      </c>
      <c r="U33" s="70">
        <v>44.8</v>
      </c>
      <c r="V33" s="70">
        <v>46.1</v>
      </c>
      <c r="W33" s="70">
        <v>44</v>
      </c>
      <c r="X33" s="70">
        <v>44.2</v>
      </c>
      <c r="Y33" s="70">
        <v>61.6</v>
      </c>
      <c r="Z33" s="70">
        <v>62.9</v>
      </c>
      <c r="AA33" s="56">
        <v>62</v>
      </c>
      <c r="AB33" s="56">
        <v>62</v>
      </c>
      <c r="AC33" s="56">
        <v>62.7</v>
      </c>
      <c r="AD33" s="56">
        <v>62.7</v>
      </c>
      <c r="AE33" s="56">
        <v>62.7</v>
      </c>
      <c r="AF33" s="56">
        <v>62.7</v>
      </c>
      <c r="AG33" s="59">
        <v>69</v>
      </c>
      <c r="AH33" s="52">
        <f t="shared" si="2"/>
        <v>62.9</v>
      </c>
      <c r="AI33" s="53">
        <f t="shared" si="3"/>
        <v>44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28.5</v>
      </c>
      <c r="F34" s="56">
        <v>28.5</v>
      </c>
      <c r="G34" s="56">
        <v>28.5</v>
      </c>
      <c r="H34" s="56">
        <v>28.5</v>
      </c>
      <c r="I34" s="56">
        <v>28.7</v>
      </c>
      <c r="J34" s="56">
        <v>28.5</v>
      </c>
      <c r="K34" s="56">
        <v>28.5</v>
      </c>
      <c r="L34" s="70">
        <v>28.5</v>
      </c>
      <c r="M34" s="70">
        <v>28.2</v>
      </c>
      <c r="N34" s="70">
        <v>28.2</v>
      </c>
      <c r="O34" s="70">
        <v>28.5</v>
      </c>
      <c r="P34" s="70">
        <v>28.5</v>
      </c>
      <c r="Q34" s="70">
        <v>28.5</v>
      </c>
      <c r="R34" s="70">
        <v>27.8</v>
      </c>
      <c r="S34" s="70">
        <v>28.2</v>
      </c>
      <c r="T34" s="70">
        <v>28.5</v>
      </c>
      <c r="U34" s="70">
        <v>28.2</v>
      </c>
      <c r="V34" s="70">
        <v>28.2</v>
      </c>
      <c r="W34" s="70">
        <v>28.2</v>
      </c>
      <c r="X34" s="70">
        <v>28.2</v>
      </c>
      <c r="Y34" s="70">
        <v>28.2</v>
      </c>
      <c r="Z34" s="70">
        <v>28.5</v>
      </c>
      <c r="AA34" s="56">
        <v>28.2</v>
      </c>
      <c r="AB34" s="56">
        <v>28.2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27.8</v>
      </c>
      <c r="AK34" s="54"/>
    </row>
    <row r="35" spans="1:41" x14ac:dyDescent="0.25">
      <c r="A35" s="58" t="s">
        <v>42</v>
      </c>
      <c r="B35" s="56">
        <v>20</v>
      </c>
      <c r="C35" s="56">
        <v>20</v>
      </c>
      <c r="D35" s="56">
        <v>20.9</v>
      </c>
      <c r="E35" s="56">
        <v>30</v>
      </c>
      <c r="F35" s="56">
        <v>30</v>
      </c>
      <c r="G35" s="56">
        <v>20</v>
      </c>
      <c r="H35" s="56">
        <v>20</v>
      </c>
      <c r="I35" s="56">
        <v>20</v>
      </c>
      <c r="J35" s="56">
        <v>20</v>
      </c>
      <c r="K35" s="56">
        <v>20.8</v>
      </c>
      <c r="L35" s="49">
        <v>20</v>
      </c>
      <c r="M35" s="49">
        <v>20.9</v>
      </c>
      <c r="N35" s="49">
        <v>20</v>
      </c>
      <c r="O35" s="49">
        <v>21.2</v>
      </c>
      <c r="P35" s="49">
        <v>25.1</v>
      </c>
      <c r="Q35" s="49">
        <v>30</v>
      </c>
      <c r="R35" s="49">
        <v>29.3</v>
      </c>
      <c r="S35" s="49">
        <v>21.2</v>
      </c>
      <c r="T35" s="49">
        <v>15.1</v>
      </c>
      <c r="U35" s="49">
        <v>15.2</v>
      </c>
      <c r="V35" s="70">
        <v>10.1</v>
      </c>
      <c r="W35" s="70">
        <v>10.1</v>
      </c>
      <c r="X35" s="70">
        <v>10.1</v>
      </c>
      <c r="Y35" s="70">
        <v>10.1</v>
      </c>
      <c r="Z35" s="70">
        <v>20</v>
      </c>
      <c r="AA35" s="56">
        <v>29.5</v>
      </c>
      <c r="AB35" s="56">
        <v>29.5</v>
      </c>
      <c r="AC35" s="56">
        <v>29.5</v>
      </c>
      <c r="AD35" s="56">
        <v>29.5</v>
      </c>
      <c r="AE35" s="56">
        <v>29.5</v>
      </c>
      <c r="AF35" s="56">
        <v>29.5</v>
      </c>
      <c r="AG35" s="59">
        <v>30</v>
      </c>
      <c r="AH35" s="52">
        <f t="shared" si="2"/>
        <v>30</v>
      </c>
      <c r="AI35" s="53">
        <f t="shared" si="3"/>
        <v>10.1</v>
      </c>
      <c r="AK35" s="54"/>
    </row>
    <row r="36" spans="1:41" x14ac:dyDescent="0.25">
      <c r="A36" s="58" t="s">
        <v>43</v>
      </c>
      <c r="B36" s="56">
        <v>16.600000000000001</v>
      </c>
      <c r="C36" s="56">
        <v>16.600000000000001</v>
      </c>
      <c r="D36" s="56">
        <v>16.600000000000001</v>
      </c>
      <c r="E36" s="56">
        <v>16.600000000000001</v>
      </c>
      <c r="F36" s="56">
        <v>16.600000000000001</v>
      </c>
      <c r="G36" s="56">
        <v>16.600000000000001</v>
      </c>
      <c r="H36" s="71">
        <v>16.600000000000001</v>
      </c>
      <c r="I36" s="71">
        <v>16.7</v>
      </c>
      <c r="J36" s="71">
        <v>16.7</v>
      </c>
      <c r="K36" s="71">
        <v>16</v>
      </c>
      <c r="L36" s="49">
        <v>16.600000000000001</v>
      </c>
      <c r="M36" s="49">
        <v>16.7</v>
      </c>
      <c r="N36" s="49">
        <v>16.600000000000001</v>
      </c>
      <c r="O36" s="49">
        <v>16.7</v>
      </c>
      <c r="P36" s="49">
        <v>16.7</v>
      </c>
      <c r="Q36" s="49">
        <v>16.7</v>
      </c>
      <c r="R36" s="49">
        <v>16.7</v>
      </c>
      <c r="S36" s="49">
        <v>16.7</v>
      </c>
      <c r="T36" s="49">
        <v>16.600000000000001</v>
      </c>
      <c r="U36" s="49">
        <v>16.7</v>
      </c>
      <c r="V36" s="49">
        <v>16.8</v>
      </c>
      <c r="W36" s="49">
        <v>16.8</v>
      </c>
      <c r="X36" s="49">
        <v>16.899999999999999</v>
      </c>
      <c r="Y36" s="49">
        <v>16.899999999999999</v>
      </c>
      <c r="Z36" s="49">
        <v>16.8</v>
      </c>
      <c r="AA36" s="56">
        <v>16.8</v>
      </c>
      <c r="AB36" s="56">
        <v>16.8</v>
      </c>
      <c r="AC36" s="56">
        <v>16.8</v>
      </c>
      <c r="AD36" s="56">
        <v>16.8</v>
      </c>
      <c r="AE36" s="56">
        <v>16.8</v>
      </c>
      <c r="AF36" s="56">
        <v>16.8</v>
      </c>
      <c r="AG36" s="59">
        <v>24</v>
      </c>
      <c r="AH36" s="52">
        <f t="shared" si="2"/>
        <v>16.899999999999999</v>
      </c>
      <c r="AI36" s="53">
        <f t="shared" si="3"/>
        <v>16</v>
      </c>
      <c r="AK36" s="54"/>
    </row>
    <row r="37" spans="1:41" x14ac:dyDescent="0.25">
      <c r="A37" s="58" t="s">
        <v>44</v>
      </c>
      <c r="B37" s="56">
        <v>2</v>
      </c>
      <c r="C37" s="56">
        <v>2</v>
      </c>
      <c r="D37" s="56">
        <v>2</v>
      </c>
      <c r="E37" s="56">
        <v>2</v>
      </c>
      <c r="F37" s="56">
        <v>2</v>
      </c>
      <c r="G37" s="56">
        <v>2</v>
      </c>
      <c r="H37" s="56">
        <v>2</v>
      </c>
      <c r="I37" s="56">
        <v>2</v>
      </c>
      <c r="J37" s="56">
        <v>2</v>
      </c>
      <c r="K37" s="56">
        <v>7</v>
      </c>
      <c r="L37" s="49">
        <v>1.8</v>
      </c>
      <c r="M37" s="49">
        <v>1.8</v>
      </c>
      <c r="N37" s="49">
        <v>1.8</v>
      </c>
      <c r="O37" s="49">
        <v>0</v>
      </c>
      <c r="P37" s="49">
        <v>0</v>
      </c>
      <c r="Q37" s="49">
        <v>0</v>
      </c>
      <c r="R37" s="49">
        <v>0</v>
      </c>
      <c r="S37" s="49">
        <v>1.8</v>
      </c>
      <c r="T37" s="49">
        <v>2.1</v>
      </c>
      <c r="U37" s="49">
        <v>2.1</v>
      </c>
      <c r="V37" s="49">
        <v>2.1</v>
      </c>
      <c r="W37" s="49">
        <v>2.1</v>
      </c>
      <c r="X37" s="49">
        <v>2.1</v>
      </c>
      <c r="Y37" s="49">
        <v>2.1</v>
      </c>
      <c r="Z37" s="49">
        <v>2.1</v>
      </c>
      <c r="AA37" s="49">
        <v>2.1</v>
      </c>
      <c r="AB37" s="49">
        <v>2.1</v>
      </c>
      <c r="AC37" s="49">
        <v>2.1</v>
      </c>
      <c r="AD37" s="49">
        <v>2.1</v>
      </c>
      <c r="AE37" s="49">
        <v>2.1</v>
      </c>
      <c r="AF37" s="49">
        <v>2.1</v>
      </c>
      <c r="AG37" s="59">
        <v>15</v>
      </c>
      <c r="AH37" s="52">
        <f t="shared" si="2"/>
        <v>7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13</v>
      </c>
      <c r="M38" s="49">
        <v>13</v>
      </c>
      <c r="N38" s="49">
        <v>13</v>
      </c>
      <c r="O38" s="49">
        <v>13</v>
      </c>
      <c r="P38" s="49">
        <v>13</v>
      </c>
      <c r="Q38" s="49">
        <v>13</v>
      </c>
      <c r="R38" s="49">
        <v>13</v>
      </c>
      <c r="S38" s="49">
        <v>13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49">
        <v>10</v>
      </c>
      <c r="AD38" s="49">
        <v>10</v>
      </c>
      <c r="AE38" s="49">
        <v>10</v>
      </c>
      <c r="AF38" s="49">
        <v>10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10</v>
      </c>
      <c r="C39" s="56">
        <v>10</v>
      </c>
      <c r="D39" s="56">
        <v>10</v>
      </c>
      <c r="E39" s="56">
        <v>10</v>
      </c>
      <c r="F39" s="56">
        <v>10</v>
      </c>
      <c r="G39" s="56">
        <v>10</v>
      </c>
      <c r="H39" s="56">
        <v>10</v>
      </c>
      <c r="I39" s="56">
        <v>10</v>
      </c>
      <c r="J39" s="56">
        <v>10</v>
      </c>
      <c r="K39" s="56">
        <v>10</v>
      </c>
      <c r="L39" s="49">
        <v>10</v>
      </c>
      <c r="M39" s="49">
        <v>12</v>
      </c>
      <c r="N39" s="49">
        <v>12</v>
      </c>
      <c r="O39" s="49">
        <v>12</v>
      </c>
      <c r="P39" s="49">
        <v>12</v>
      </c>
      <c r="Q39" s="49">
        <v>12</v>
      </c>
      <c r="R39" s="49">
        <v>12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49">
        <v>12</v>
      </c>
      <c r="AA39" s="49">
        <v>12</v>
      </c>
      <c r="AB39" s="49">
        <v>12</v>
      </c>
      <c r="AC39" s="49">
        <v>12</v>
      </c>
      <c r="AD39" s="49">
        <v>12</v>
      </c>
      <c r="AE39" s="49">
        <v>12</v>
      </c>
      <c r="AF39" s="49">
        <v>12</v>
      </c>
      <c r="AG39" s="59">
        <v>14</v>
      </c>
      <c r="AH39" s="52">
        <f t="shared" si="2"/>
        <v>12</v>
      </c>
      <c r="AI39" s="53">
        <f t="shared" si="3"/>
        <v>10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8.6</v>
      </c>
      <c r="C40" s="56">
        <v>8.6</v>
      </c>
      <c r="D40" s="56">
        <v>8.6</v>
      </c>
      <c r="E40" s="56">
        <v>8.6</v>
      </c>
      <c r="F40" s="56">
        <v>8.6</v>
      </c>
      <c r="G40" s="56">
        <v>8.6</v>
      </c>
      <c r="H40" s="56">
        <v>8.6</v>
      </c>
      <c r="I40" s="56">
        <v>8.6</v>
      </c>
      <c r="J40" s="56">
        <v>8.6</v>
      </c>
      <c r="K40" s="56">
        <v>8.6</v>
      </c>
      <c r="L40" s="49">
        <v>8.6</v>
      </c>
      <c r="M40" s="49">
        <v>8.8000000000000007</v>
      </c>
      <c r="N40" s="49">
        <v>8.8000000000000007</v>
      </c>
      <c r="O40" s="49">
        <v>8.5</v>
      </c>
      <c r="P40" s="49">
        <v>8.5</v>
      </c>
      <c r="Q40" s="49">
        <v>8.3000000000000007</v>
      </c>
      <c r="R40" s="49">
        <v>8.3000000000000007</v>
      </c>
      <c r="S40" s="49">
        <v>8.1999999999999993</v>
      </c>
      <c r="T40" s="49">
        <v>8.1999999999999993</v>
      </c>
      <c r="U40" s="49">
        <v>7.9</v>
      </c>
      <c r="V40" s="49">
        <v>8</v>
      </c>
      <c r="W40" s="49">
        <v>8.1</v>
      </c>
      <c r="X40" s="49">
        <v>8.1</v>
      </c>
      <c r="Y40" s="49">
        <v>8.1</v>
      </c>
      <c r="Z40" s="49">
        <v>8.1999999999999993</v>
      </c>
      <c r="AA40" s="49">
        <v>8.1</v>
      </c>
      <c r="AB40" s="49">
        <v>8.1</v>
      </c>
      <c r="AC40" s="49">
        <v>8.1</v>
      </c>
      <c r="AD40" s="49">
        <v>8.1</v>
      </c>
      <c r="AE40" s="49">
        <v>8.1</v>
      </c>
      <c r="AF40" s="49">
        <v>8.1</v>
      </c>
      <c r="AG40" s="59">
        <v>10.050000000000001</v>
      </c>
      <c r="AH40" s="52">
        <f t="shared" si="2"/>
        <v>8.8000000000000007</v>
      </c>
      <c r="AI40" s="53">
        <f t="shared" si="3"/>
        <v>7.9</v>
      </c>
      <c r="AK40" s="54"/>
    </row>
    <row r="41" spans="1:41" x14ac:dyDescent="0.25">
      <c r="A41" s="58" t="s">
        <v>48</v>
      </c>
      <c r="B41" s="56">
        <v>2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56">
        <v>5</v>
      </c>
      <c r="M41" s="56">
        <v>5</v>
      </c>
      <c r="N41" s="56">
        <v>5</v>
      </c>
      <c r="O41" s="56">
        <v>5</v>
      </c>
      <c r="P41" s="56">
        <v>5</v>
      </c>
      <c r="Q41" s="56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49">
        <v>5</v>
      </c>
      <c r="AB41" s="49">
        <v>5</v>
      </c>
      <c r="AC41" s="49">
        <v>5</v>
      </c>
      <c r="AD41" s="49">
        <v>5</v>
      </c>
      <c r="AE41" s="49">
        <v>5</v>
      </c>
      <c r="AF41" s="49">
        <v>5</v>
      </c>
      <c r="AG41" s="59">
        <v>6.2</v>
      </c>
      <c r="AH41" s="52">
        <f t="shared" si="2"/>
        <v>5</v>
      </c>
      <c r="AI41" s="53">
        <f t="shared" si="3"/>
        <v>2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333.34000000000003</v>
      </c>
      <c r="C43" s="69">
        <f t="shared" ref="C43:AF43" si="6">SUM(C31:C42)</f>
        <v>336.04000000000008</v>
      </c>
      <c r="D43" s="69">
        <f t="shared" si="6"/>
        <v>336.64000000000004</v>
      </c>
      <c r="E43" s="69">
        <f t="shared" si="6"/>
        <v>344.34000000000009</v>
      </c>
      <c r="F43" s="69">
        <f t="shared" si="6"/>
        <v>344.14000000000004</v>
      </c>
      <c r="G43" s="69">
        <f t="shared" si="6"/>
        <v>333.84000000000009</v>
      </c>
      <c r="H43" s="69">
        <f t="shared" si="6"/>
        <v>334.24000000000007</v>
      </c>
      <c r="I43" s="69">
        <f t="shared" si="6"/>
        <v>334.14000000000004</v>
      </c>
      <c r="J43" s="69">
        <f t="shared" si="6"/>
        <v>334.64</v>
      </c>
      <c r="K43" s="69">
        <f t="shared" si="6"/>
        <v>339.34000000000009</v>
      </c>
      <c r="L43" s="69">
        <f t="shared" si="6"/>
        <v>336.94000000000005</v>
      </c>
      <c r="M43" s="69">
        <f t="shared" si="6"/>
        <v>339.94</v>
      </c>
      <c r="N43" s="69">
        <f t="shared" si="6"/>
        <v>338.44000000000005</v>
      </c>
      <c r="O43" s="69">
        <f t="shared" si="6"/>
        <v>318.33999999999997</v>
      </c>
      <c r="P43" s="69">
        <f t="shared" si="6"/>
        <v>343.94000000000005</v>
      </c>
      <c r="Q43" s="69">
        <f t="shared" si="6"/>
        <v>347.24000000000007</v>
      </c>
      <c r="R43" s="69">
        <f t="shared" si="6"/>
        <v>345.44000000000005</v>
      </c>
      <c r="S43" s="69">
        <f t="shared" si="6"/>
        <v>338.84000000000003</v>
      </c>
      <c r="T43" s="69">
        <f t="shared" si="6"/>
        <v>313.54000000000008</v>
      </c>
      <c r="U43" s="69">
        <f t="shared" si="6"/>
        <v>314.04000000000002</v>
      </c>
      <c r="V43" s="69">
        <f t="shared" si="6"/>
        <v>282.74</v>
      </c>
      <c r="W43" s="69">
        <f t="shared" si="6"/>
        <v>258.74</v>
      </c>
      <c r="X43" s="69">
        <f t="shared" si="6"/>
        <v>259.04000000000002</v>
      </c>
      <c r="Y43" s="69">
        <f t="shared" si="6"/>
        <v>298.44000000000005</v>
      </c>
      <c r="Z43" s="69">
        <f t="shared" si="6"/>
        <v>334.64000000000004</v>
      </c>
      <c r="AA43" s="69">
        <f t="shared" si="6"/>
        <v>344.64000000000004</v>
      </c>
      <c r="AB43" s="69">
        <f t="shared" si="6"/>
        <v>344.64000000000004</v>
      </c>
      <c r="AC43" s="69">
        <f t="shared" si="6"/>
        <v>345.74000000000007</v>
      </c>
      <c r="AD43" s="69">
        <f t="shared" si="6"/>
        <v>345.74000000000007</v>
      </c>
      <c r="AE43" s="69">
        <f t="shared" si="6"/>
        <v>345.74000000000007</v>
      </c>
      <c r="AF43" s="69">
        <f t="shared" si="6"/>
        <v>345.74000000000007</v>
      </c>
      <c r="AG43" s="74">
        <f>SUM(AG31:AG42)</f>
        <v>464.91</v>
      </c>
      <c r="AH43" s="52">
        <f t="shared" si="2"/>
        <v>347.24000000000007</v>
      </c>
      <c r="AI43" s="53">
        <f t="shared" si="3"/>
        <v>258.74</v>
      </c>
      <c r="AK43" s="54"/>
    </row>
    <row r="44" spans="1:41" x14ac:dyDescent="0.25">
      <c r="A44" s="55" t="s">
        <v>51</v>
      </c>
      <c r="B44" s="49">
        <v>53.8</v>
      </c>
      <c r="C44" s="56">
        <v>45</v>
      </c>
      <c r="D44" s="56">
        <v>47.9</v>
      </c>
      <c r="E44" s="56">
        <v>44.7</v>
      </c>
      <c r="F44" s="56">
        <v>30</v>
      </c>
      <c r="G44" s="56">
        <v>19.5</v>
      </c>
      <c r="H44" s="56">
        <v>19.5</v>
      </c>
      <c r="I44" s="56">
        <v>0</v>
      </c>
      <c r="J44" s="56">
        <v>0</v>
      </c>
      <c r="K44" s="56">
        <v>30.3</v>
      </c>
      <c r="L44" s="75">
        <v>29.9</v>
      </c>
      <c r="M44" s="75">
        <v>30.1</v>
      </c>
      <c r="N44" s="75">
        <v>30</v>
      </c>
      <c r="O44" s="75">
        <v>30</v>
      </c>
      <c r="P44" s="49">
        <v>29.8</v>
      </c>
      <c r="Q44" s="49">
        <v>19.600000000000001</v>
      </c>
      <c r="R44" s="49">
        <v>30.3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14.6</v>
      </c>
      <c r="AA44" s="49">
        <v>24</v>
      </c>
      <c r="AB44" s="49">
        <v>24</v>
      </c>
      <c r="AC44" s="49">
        <v>10.4</v>
      </c>
      <c r="AD44" s="49">
        <v>30</v>
      </c>
      <c r="AE44" s="49">
        <v>30</v>
      </c>
      <c r="AF44" s="49">
        <v>29</v>
      </c>
      <c r="AG44" s="57">
        <v>60</v>
      </c>
      <c r="AH44" s="52">
        <f t="shared" si="2"/>
        <v>53.8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25.2</v>
      </c>
      <c r="C45" s="56">
        <v>21</v>
      </c>
      <c r="D45" s="56">
        <v>23.6</v>
      </c>
      <c r="E45" s="56">
        <v>21.5</v>
      </c>
      <c r="F45" s="56">
        <v>20.9</v>
      </c>
      <c r="G45" s="56">
        <v>10.6</v>
      </c>
      <c r="H45" s="56">
        <v>10.1</v>
      </c>
      <c r="I45" s="56">
        <v>0</v>
      </c>
      <c r="J45" s="56">
        <v>0</v>
      </c>
      <c r="K45" s="56">
        <v>14.4</v>
      </c>
      <c r="L45" s="75">
        <v>15.8</v>
      </c>
      <c r="M45" s="75">
        <v>14.5</v>
      </c>
      <c r="N45" s="75">
        <v>15.7</v>
      </c>
      <c r="O45" s="75">
        <v>16.100000000000001</v>
      </c>
      <c r="P45" s="70">
        <v>9.6</v>
      </c>
      <c r="Q45" s="70">
        <v>13.2</v>
      </c>
      <c r="R45" s="49">
        <v>16</v>
      </c>
      <c r="S45" s="49">
        <v>16.2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5.2</v>
      </c>
      <c r="AA45" s="70">
        <v>14</v>
      </c>
      <c r="AB45" s="70">
        <v>12</v>
      </c>
      <c r="AC45" s="70">
        <v>4.7</v>
      </c>
      <c r="AD45" s="70">
        <v>15</v>
      </c>
      <c r="AE45" s="70">
        <v>10</v>
      </c>
      <c r="AF45" s="70">
        <v>16</v>
      </c>
      <c r="AG45" s="59">
        <v>32</v>
      </c>
      <c r="AH45" s="52">
        <f t="shared" si="2"/>
        <v>25.2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9.1999999999999993</v>
      </c>
      <c r="C46" s="71">
        <v>7.7</v>
      </c>
      <c r="D46" s="71">
        <v>8.6</v>
      </c>
      <c r="E46" s="71">
        <v>7.9</v>
      </c>
      <c r="F46" s="71">
        <v>7.6</v>
      </c>
      <c r="G46" s="71">
        <v>3.9</v>
      </c>
      <c r="H46" s="71">
        <v>3.7</v>
      </c>
      <c r="I46" s="71">
        <v>0</v>
      </c>
      <c r="J46" s="71">
        <v>0</v>
      </c>
      <c r="K46" s="71">
        <v>5.2</v>
      </c>
      <c r="L46" s="76">
        <v>5.8</v>
      </c>
      <c r="M46" s="76">
        <v>5.3</v>
      </c>
      <c r="N46" s="76">
        <v>5.7</v>
      </c>
      <c r="O46" s="76">
        <v>5.9</v>
      </c>
      <c r="P46" s="77">
        <v>3.5</v>
      </c>
      <c r="Q46" s="77">
        <v>4.8</v>
      </c>
      <c r="R46" s="49">
        <v>5.8</v>
      </c>
      <c r="S46" s="49">
        <v>5.9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1.9</v>
      </c>
      <c r="AA46" s="77">
        <v>5</v>
      </c>
      <c r="AB46" s="77">
        <v>5</v>
      </c>
      <c r="AC46" s="77">
        <v>1.7</v>
      </c>
      <c r="AD46" s="77">
        <v>5</v>
      </c>
      <c r="AE46" s="77">
        <v>3</v>
      </c>
      <c r="AF46" s="77">
        <v>5.8</v>
      </c>
      <c r="AG46" s="78">
        <v>14</v>
      </c>
      <c r="AH46" s="52">
        <f t="shared" si="2"/>
        <v>9.1999999999999993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88.2</v>
      </c>
      <c r="C47" s="69">
        <f t="shared" ref="C47:AF47" si="7">SUM(C44:C46)</f>
        <v>73.7</v>
      </c>
      <c r="D47" s="69">
        <f t="shared" si="7"/>
        <v>80.099999999999994</v>
      </c>
      <c r="E47" s="69">
        <f t="shared" si="7"/>
        <v>74.100000000000009</v>
      </c>
      <c r="F47" s="69">
        <f t="shared" si="7"/>
        <v>58.5</v>
      </c>
      <c r="G47" s="69">
        <f t="shared" si="7"/>
        <v>34</v>
      </c>
      <c r="H47" s="69">
        <f t="shared" si="7"/>
        <v>33.300000000000004</v>
      </c>
      <c r="I47" s="69">
        <f t="shared" si="7"/>
        <v>0</v>
      </c>
      <c r="J47" s="69">
        <f t="shared" si="7"/>
        <v>0</v>
      </c>
      <c r="K47" s="69">
        <f t="shared" si="7"/>
        <v>49.900000000000006</v>
      </c>
      <c r="L47" s="69">
        <f t="shared" si="7"/>
        <v>51.5</v>
      </c>
      <c r="M47" s="69">
        <f t="shared" si="7"/>
        <v>49.9</v>
      </c>
      <c r="N47" s="69">
        <f t="shared" si="7"/>
        <v>51.400000000000006</v>
      </c>
      <c r="O47" s="69">
        <f t="shared" si="7"/>
        <v>52</v>
      </c>
      <c r="P47" s="69">
        <f t="shared" si="7"/>
        <v>42.9</v>
      </c>
      <c r="Q47" s="69">
        <f t="shared" si="7"/>
        <v>37.599999999999994</v>
      </c>
      <c r="R47" s="69">
        <f t="shared" si="7"/>
        <v>52.099999999999994</v>
      </c>
      <c r="S47" s="69">
        <f t="shared" si="7"/>
        <v>22.1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21.7</v>
      </c>
      <c r="AA47" s="69">
        <f t="shared" si="7"/>
        <v>43</v>
      </c>
      <c r="AB47" s="69">
        <f t="shared" si="7"/>
        <v>41</v>
      </c>
      <c r="AC47" s="69">
        <f t="shared" si="7"/>
        <v>16.8</v>
      </c>
      <c r="AD47" s="69">
        <f t="shared" si="7"/>
        <v>50</v>
      </c>
      <c r="AE47" s="69">
        <f t="shared" si="7"/>
        <v>43</v>
      </c>
      <c r="AF47" s="69">
        <f t="shared" si="7"/>
        <v>50.8</v>
      </c>
      <c r="AG47" s="74">
        <f>SUM(AG44:AG46)</f>
        <v>106</v>
      </c>
      <c r="AH47" s="52">
        <f t="shared" si="2"/>
        <v>88.2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71.3</v>
      </c>
      <c r="C48" s="49">
        <v>68.8</v>
      </c>
      <c r="D48" s="49">
        <v>69.930000000000007</v>
      </c>
      <c r="E48" s="49">
        <v>73.5</v>
      </c>
      <c r="F48" s="49">
        <v>66.599999999999994</v>
      </c>
      <c r="G48" s="49">
        <v>66</v>
      </c>
      <c r="H48" s="49">
        <v>61.5</v>
      </c>
      <c r="I48" s="49">
        <v>65.91</v>
      </c>
      <c r="J48" s="49">
        <v>66</v>
      </c>
      <c r="K48" s="49">
        <v>66</v>
      </c>
      <c r="L48" s="49">
        <v>66.53</v>
      </c>
      <c r="M48" s="49">
        <v>68.14</v>
      </c>
      <c r="N48" s="49">
        <v>62.71</v>
      </c>
      <c r="O48" s="49">
        <v>72.599999999999994</v>
      </c>
      <c r="P48" s="49">
        <v>70.900000000000006</v>
      </c>
      <c r="Q48" s="49">
        <v>64.11</v>
      </c>
      <c r="R48" s="49">
        <v>72.900000000000006</v>
      </c>
      <c r="S48" s="49">
        <v>71</v>
      </c>
      <c r="T48" s="49">
        <v>75.5</v>
      </c>
      <c r="U48" s="49">
        <v>53</v>
      </c>
      <c r="V48" s="49">
        <v>58</v>
      </c>
      <c r="W48" s="49">
        <v>58.47</v>
      </c>
      <c r="X48" s="49">
        <v>61.32</v>
      </c>
      <c r="Y48" s="49">
        <v>62.89</v>
      </c>
      <c r="Z48" s="49">
        <v>65</v>
      </c>
      <c r="AA48" s="49">
        <v>68</v>
      </c>
      <c r="AB48" s="49">
        <v>70.599999999999994</v>
      </c>
      <c r="AC48" s="49">
        <v>71.5</v>
      </c>
      <c r="AD48" s="49">
        <v>68</v>
      </c>
      <c r="AE48" s="49">
        <v>63</v>
      </c>
      <c r="AF48" s="49">
        <v>60</v>
      </c>
      <c r="AG48" s="57"/>
      <c r="AH48" s="52">
        <f t="shared" si="2"/>
        <v>75.5</v>
      </c>
      <c r="AI48" s="53">
        <f t="shared" si="3"/>
        <v>53</v>
      </c>
      <c r="AK48" s="54"/>
    </row>
    <row r="49" spans="1:37" x14ac:dyDescent="0.25">
      <c r="A49" s="58" t="s">
        <v>56</v>
      </c>
      <c r="B49" s="70">
        <v>44.8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39.299999999999997</v>
      </c>
      <c r="AA49" s="70">
        <v>40</v>
      </c>
      <c r="AB49" s="70">
        <v>41</v>
      </c>
      <c r="AC49" s="70">
        <v>40</v>
      </c>
      <c r="AD49" s="70">
        <v>39</v>
      </c>
      <c r="AE49" s="70">
        <v>36</v>
      </c>
      <c r="AF49" s="70">
        <f>75+26</f>
        <v>101</v>
      </c>
      <c r="AG49" s="59"/>
      <c r="AH49" s="52">
        <f t="shared" si="2"/>
        <v>101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82</v>
      </c>
      <c r="C50" s="70">
        <v>132</v>
      </c>
      <c r="D50" s="70">
        <v>125</v>
      </c>
      <c r="E50" s="70">
        <v>130</v>
      </c>
      <c r="F50" s="70">
        <v>140</v>
      </c>
      <c r="G50" s="49">
        <v>142</v>
      </c>
      <c r="H50" s="49">
        <v>147</v>
      </c>
      <c r="I50" s="49">
        <v>171.5</v>
      </c>
      <c r="J50" s="49">
        <v>190</v>
      </c>
      <c r="K50" s="49">
        <v>180</v>
      </c>
      <c r="L50" s="70">
        <v>190</v>
      </c>
      <c r="M50" s="70">
        <v>241</v>
      </c>
      <c r="N50" s="70">
        <v>221</v>
      </c>
      <c r="O50" s="70">
        <v>197.5</v>
      </c>
      <c r="P50" s="70">
        <v>216</v>
      </c>
      <c r="Q50" s="70">
        <v>213</v>
      </c>
      <c r="R50" s="70">
        <v>209</v>
      </c>
      <c r="S50" s="70">
        <v>206</v>
      </c>
      <c r="T50" s="70">
        <v>190</v>
      </c>
      <c r="U50" s="80">
        <v>186</v>
      </c>
      <c r="V50" s="80">
        <v>187</v>
      </c>
      <c r="W50" s="80">
        <v>190</v>
      </c>
      <c r="X50" s="80">
        <v>200</v>
      </c>
      <c r="Y50" s="80">
        <v>264</v>
      </c>
      <c r="Z50" s="80">
        <v>290</v>
      </c>
      <c r="AA50" s="70">
        <v>294</v>
      </c>
      <c r="AB50" s="70">
        <v>285</v>
      </c>
      <c r="AC50" s="70">
        <v>290</v>
      </c>
      <c r="AD50" s="70">
        <v>180</v>
      </c>
      <c r="AE50" s="70">
        <v>145</v>
      </c>
      <c r="AF50" s="70">
        <v>72</v>
      </c>
      <c r="AG50" s="81"/>
      <c r="AH50" s="52">
        <f t="shared" si="2"/>
        <v>294</v>
      </c>
      <c r="AI50" s="53">
        <f t="shared" si="3"/>
        <v>72</v>
      </c>
      <c r="AK50" s="54"/>
    </row>
    <row r="51" spans="1:37" x14ac:dyDescent="0.25">
      <c r="A51" s="58" t="s">
        <v>58</v>
      </c>
      <c r="B51" s="82">
        <v>21</v>
      </c>
      <c r="C51" s="82">
        <v>21</v>
      </c>
      <c r="D51" s="82">
        <v>21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21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49">
        <v>0</v>
      </c>
      <c r="R52" s="70">
        <v>0</v>
      </c>
      <c r="S52" s="70">
        <v>0</v>
      </c>
      <c r="T52" s="70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3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83">
        <v>0</v>
      </c>
      <c r="R53" s="70">
        <v>0</v>
      </c>
      <c r="S53" s="70">
        <v>0</v>
      </c>
      <c r="T53" s="70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10</v>
      </c>
      <c r="AA53" s="83">
        <v>9</v>
      </c>
      <c r="AB53" s="83">
        <v>9</v>
      </c>
      <c r="AC53" s="83">
        <v>9</v>
      </c>
      <c r="AD53" s="83">
        <v>9</v>
      </c>
      <c r="AE53" s="83">
        <v>9</v>
      </c>
      <c r="AF53" s="83">
        <v>8</v>
      </c>
      <c r="AG53" s="81"/>
      <c r="AH53" s="52">
        <f t="shared" si="2"/>
        <v>10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83">
        <v>0</v>
      </c>
      <c r="R54" s="70">
        <v>0</v>
      </c>
      <c r="S54" s="70">
        <v>0</v>
      </c>
      <c r="T54" s="70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49">
        <v>0</v>
      </c>
      <c r="AC54" s="49">
        <v>0</v>
      </c>
      <c r="AD54" s="49">
        <v>0</v>
      </c>
      <c r="AE54" s="49">
        <v>0</v>
      </c>
      <c r="AF54" s="49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82">
        <v>0</v>
      </c>
      <c r="R55" s="70">
        <v>0</v>
      </c>
      <c r="S55" s="70">
        <v>0</v>
      </c>
      <c r="T55" s="70">
        <v>0</v>
      </c>
      <c r="U55" s="49">
        <v>0</v>
      </c>
      <c r="V55" s="49">
        <v>0</v>
      </c>
      <c r="W55" s="49">
        <v>0</v>
      </c>
      <c r="X55" s="49">
        <v>0</v>
      </c>
      <c r="Y55" s="49">
        <v>0</v>
      </c>
      <c r="Z55" s="49">
        <v>0</v>
      </c>
      <c r="AA55" s="49">
        <v>0</v>
      </c>
      <c r="AB55" s="49">
        <v>0</v>
      </c>
      <c r="AC55" s="49">
        <v>0</v>
      </c>
      <c r="AD55" s="49">
        <v>0</v>
      </c>
      <c r="AE55" s="49">
        <v>0</v>
      </c>
      <c r="AF55" s="49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82">
        <v>0</v>
      </c>
      <c r="R56" s="70">
        <v>0</v>
      </c>
      <c r="S56" s="70">
        <v>0</v>
      </c>
      <c r="T56" s="70">
        <v>0</v>
      </c>
      <c r="U56" s="49">
        <v>0</v>
      </c>
      <c r="V56" s="49">
        <v>0</v>
      </c>
      <c r="W56" s="49">
        <v>0</v>
      </c>
      <c r="X56" s="49">
        <v>0</v>
      </c>
      <c r="Y56" s="49">
        <v>0</v>
      </c>
      <c r="Z56" s="49">
        <v>0</v>
      </c>
      <c r="AA56" s="49">
        <v>0</v>
      </c>
      <c r="AB56" s="49">
        <v>0</v>
      </c>
      <c r="AC56" s="49">
        <v>0</v>
      </c>
      <c r="AD56" s="49">
        <v>0</v>
      </c>
      <c r="AE56" s="49">
        <v>0</v>
      </c>
      <c r="AF56" s="49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85">
        <v>0</v>
      </c>
      <c r="R57" s="70">
        <v>0</v>
      </c>
      <c r="S57" s="70">
        <v>0</v>
      </c>
      <c r="T57" s="70">
        <v>0</v>
      </c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49">
        <v>0</v>
      </c>
      <c r="AA57" s="49">
        <v>0</v>
      </c>
      <c r="AB57" s="49">
        <v>0</v>
      </c>
      <c r="AC57" s="49">
        <v>0</v>
      </c>
      <c r="AD57" s="49">
        <v>0</v>
      </c>
      <c r="AE57" s="49">
        <v>0</v>
      </c>
      <c r="AF57" s="49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85">
        <v>0</v>
      </c>
      <c r="R58" s="70">
        <v>0</v>
      </c>
      <c r="S58" s="70">
        <v>0</v>
      </c>
      <c r="T58" s="70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0</v>
      </c>
      <c r="AE58" s="49">
        <v>0</v>
      </c>
      <c r="AF58" s="49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219.1</v>
      </c>
      <c r="C59" s="69">
        <f t="shared" ref="C59:AF59" si="8">SUM(C48:C58)</f>
        <v>221.8</v>
      </c>
      <c r="D59" s="69">
        <f t="shared" si="8"/>
        <v>215.93</v>
      </c>
      <c r="E59" s="69">
        <f t="shared" si="8"/>
        <v>203.5</v>
      </c>
      <c r="F59" s="69">
        <f t="shared" si="8"/>
        <v>206.6</v>
      </c>
      <c r="G59" s="69">
        <f t="shared" si="8"/>
        <v>208</v>
      </c>
      <c r="H59" s="69">
        <f t="shared" si="8"/>
        <v>208.5</v>
      </c>
      <c r="I59" s="69">
        <f t="shared" si="8"/>
        <v>237.41</v>
      </c>
      <c r="J59" s="69">
        <f t="shared" si="8"/>
        <v>256</v>
      </c>
      <c r="K59" s="69">
        <f t="shared" si="8"/>
        <v>246</v>
      </c>
      <c r="L59" s="69">
        <f t="shared" si="8"/>
        <v>256.52999999999997</v>
      </c>
      <c r="M59" s="69">
        <f t="shared" si="8"/>
        <v>309.14</v>
      </c>
      <c r="N59" s="69">
        <f t="shared" si="8"/>
        <v>283.70999999999998</v>
      </c>
      <c r="O59" s="69">
        <f t="shared" si="8"/>
        <v>270.10000000000002</v>
      </c>
      <c r="P59" s="69">
        <f t="shared" si="8"/>
        <v>286.89999999999998</v>
      </c>
      <c r="Q59" s="69">
        <f t="shared" si="8"/>
        <v>277.11</v>
      </c>
      <c r="R59" s="69">
        <f t="shared" si="8"/>
        <v>281.89999999999998</v>
      </c>
      <c r="S59" s="69">
        <f t="shared" si="8"/>
        <v>277</v>
      </c>
      <c r="T59" s="69">
        <f t="shared" si="8"/>
        <v>265.5</v>
      </c>
      <c r="U59" s="69">
        <f t="shared" si="8"/>
        <v>239</v>
      </c>
      <c r="V59" s="69">
        <f t="shared" si="8"/>
        <v>245</v>
      </c>
      <c r="W59" s="69">
        <f t="shared" si="8"/>
        <v>248.47</v>
      </c>
      <c r="X59" s="69">
        <f t="shared" si="8"/>
        <v>261.32</v>
      </c>
      <c r="Y59" s="69">
        <f t="shared" si="8"/>
        <v>326.89</v>
      </c>
      <c r="Z59" s="69">
        <f t="shared" si="8"/>
        <v>404.3</v>
      </c>
      <c r="AA59" s="69">
        <f t="shared" si="8"/>
        <v>411</v>
      </c>
      <c r="AB59" s="69">
        <f t="shared" si="8"/>
        <v>405.6</v>
      </c>
      <c r="AC59" s="69">
        <f t="shared" si="8"/>
        <v>410.5</v>
      </c>
      <c r="AD59" s="69">
        <f t="shared" si="8"/>
        <v>296</v>
      </c>
      <c r="AE59" s="69">
        <f t="shared" si="8"/>
        <v>253</v>
      </c>
      <c r="AF59" s="69">
        <f t="shared" si="8"/>
        <v>241</v>
      </c>
      <c r="AG59" s="74">
        <f>SUM(AG48:AG58)</f>
        <v>0</v>
      </c>
      <c r="AH59" s="52">
        <f t="shared" si="2"/>
        <v>411</v>
      </c>
      <c r="AI59" s="53">
        <f t="shared" si="3"/>
        <v>203.5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>
        <v>50</v>
      </c>
      <c r="V64" s="89">
        <v>50</v>
      </c>
      <c r="W64" s="89">
        <v>50</v>
      </c>
      <c r="X64" s="89">
        <v>50</v>
      </c>
      <c r="Y64" s="89">
        <v>50</v>
      </c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50</v>
      </c>
      <c r="AI64" s="53">
        <f t="shared" si="3"/>
        <v>50</v>
      </c>
    </row>
    <row r="65" spans="1:35" ht="15.75" thickBot="1" x14ac:dyDescent="0.3">
      <c r="A65" s="90" t="s">
        <v>72</v>
      </c>
      <c r="B65" s="91">
        <f>B63+B59+B47+B43+B30+B64</f>
        <v>1067.1400000000001</v>
      </c>
      <c r="C65" s="91">
        <f t="shared" ref="C65:AF65" si="10">C63+C59+C47+C43+C30+C64</f>
        <v>1057.1400000000001</v>
      </c>
      <c r="D65" s="91">
        <f t="shared" si="10"/>
        <v>1053.97</v>
      </c>
      <c r="E65" s="91">
        <f t="shared" si="10"/>
        <v>1044.04</v>
      </c>
      <c r="F65" s="91">
        <f t="shared" si="10"/>
        <v>1031.04</v>
      </c>
      <c r="G65" s="91">
        <f t="shared" si="10"/>
        <v>994.1400000000001</v>
      </c>
      <c r="H65" s="91">
        <f t="shared" si="10"/>
        <v>995.34</v>
      </c>
      <c r="I65" s="91">
        <f t="shared" si="10"/>
        <v>990.35</v>
      </c>
      <c r="J65" s="91">
        <f t="shared" si="10"/>
        <v>999.33999999999992</v>
      </c>
      <c r="K65" s="91">
        <f t="shared" si="10"/>
        <v>1041.94</v>
      </c>
      <c r="L65" s="91">
        <f t="shared" si="10"/>
        <v>1052.0700000000002</v>
      </c>
      <c r="M65" s="91">
        <f t="shared" si="10"/>
        <v>1104.28</v>
      </c>
      <c r="N65" s="91">
        <f t="shared" si="10"/>
        <v>1076.1500000000001</v>
      </c>
      <c r="O65" s="91">
        <f t="shared" si="10"/>
        <v>1041.04</v>
      </c>
      <c r="P65" s="91">
        <f t="shared" si="10"/>
        <v>1072.27</v>
      </c>
      <c r="Q65" s="91">
        <f t="shared" si="10"/>
        <v>1065.05</v>
      </c>
      <c r="R65" s="91">
        <f t="shared" si="10"/>
        <v>1083.04</v>
      </c>
      <c r="S65" s="91">
        <f t="shared" si="10"/>
        <v>1037.6400000000001</v>
      </c>
      <c r="T65" s="91">
        <f t="shared" si="10"/>
        <v>986.24</v>
      </c>
      <c r="U65" s="91">
        <f t="shared" si="10"/>
        <v>1011.04</v>
      </c>
      <c r="V65" s="91">
        <f t="shared" si="10"/>
        <v>957.83999999999992</v>
      </c>
      <c r="W65" s="91">
        <f t="shared" si="10"/>
        <v>939.11</v>
      </c>
      <c r="X65" s="91">
        <f t="shared" si="10"/>
        <v>948.46</v>
      </c>
      <c r="Y65" s="91">
        <f t="shared" si="10"/>
        <v>1055.6300000000001</v>
      </c>
      <c r="Z65" s="91">
        <f t="shared" si="10"/>
        <v>1175.54</v>
      </c>
      <c r="AA65" s="91">
        <f t="shared" si="10"/>
        <v>1206.6400000000001</v>
      </c>
      <c r="AB65" s="91">
        <f t="shared" si="10"/>
        <v>1205.8399999999999</v>
      </c>
      <c r="AC65" s="91">
        <f t="shared" si="10"/>
        <v>1187.54</v>
      </c>
      <c r="AD65" s="91">
        <f t="shared" si="10"/>
        <v>1104.54</v>
      </c>
      <c r="AE65" s="91">
        <f t="shared" si="10"/>
        <v>1053.94</v>
      </c>
      <c r="AF65" s="91">
        <f t="shared" si="10"/>
        <v>1047.24</v>
      </c>
      <c r="AG65" s="74">
        <f>AG63+AG59+AG47+AG43+AG30+AG64</f>
        <v>1355.5100000000002</v>
      </c>
      <c r="AH65" s="52">
        <f t="shared" si="2"/>
        <v>1206.6400000000001</v>
      </c>
      <c r="AI65" s="53">
        <f t="shared" si="3"/>
        <v>939.11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50.01</v>
      </c>
      <c r="C72" s="94">
        <v>50.03</v>
      </c>
      <c r="D72" s="94">
        <v>50.012999999999998</v>
      </c>
      <c r="E72" s="94">
        <v>50.037999999999997</v>
      </c>
      <c r="F72" s="94">
        <v>50.05</v>
      </c>
      <c r="G72" s="94">
        <v>50.04</v>
      </c>
      <c r="H72" s="94">
        <v>50.037999999999997</v>
      </c>
      <c r="I72" s="94">
        <v>50.04</v>
      </c>
      <c r="J72" s="94">
        <v>50.033000000000001</v>
      </c>
      <c r="K72" s="94">
        <v>49.991</v>
      </c>
      <c r="L72" s="94">
        <v>50.033999999999999</v>
      </c>
      <c r="M72" s="94">
        <v>50.061999999999998</v>
      </c>
      <c r="N72" s="94">
        <v>50.040999999999997</v>
      </c>
      <c r="O72" s="94">
        <v>50.073</v>
      </c>
      <c r="P72" s="94">
        <v>49.884999999999998</v>
      </c>
      <c r="Q72" s="95">
        <v>50.031999999999996</v>
      </c>
      <c r="R72" s="94">
        <v>49.96</v>
      </c>
      <c r="S72" s="94">
        <v>50.06</v>
      </c>
      <c r="T72" s="94">
        <v>49.96</v>
      </c>
      <c r="U72" s="94">
        <v>49.93</v>
      </c>
      <c r="V72" s="94">
        <v>50.01</v>
      </c>
      <c r="W72" s="94">
        <v>50.02</v>
      </c>
      <c r="X72" s="94">
        <v>50.03</v>
      </c>
      <c r="Y72" s="94">
        <v>50.04</v>
      </c>
      <c r="Z72" s="94">
        <v>50.04</v>
      </c>
      <c r="AA72" s="94">
        <v>50.021000000000001</v>
      </c>
      <c r="AB72" s="94">
        <v>49.963999999999999</v>
      </c>
      <c r="AC72" s="94">
        <v>49.988</v>
      </c>
      <c r="AD72" s="94">
        <v>50.023000000000003</v>
      </c>
      <c r="AE72" s="94">
        <v>50.023000000000003</v>
      </c>
      <c r="AF72" s="96">
        <v>50.040999999999997</v>
      </c>
      <c r="AG72" s="97"/>
      <c r="AH72" s="52">
        <f t="shared" si="2"/>
        <v>50.073</v>
      </c>
      <c r="AI72" s="53">
        <f t="shared" si="3"/>
        <v>49.884999999999998</v>
      </c>
    </row>
    <row r="73" spans="1:35" x14ac:dyDescent="0.25">
      <c r="A73" s="98" t="s">
        <v>80</v>
      </c>
      <c r="B73" s="100">
        <v>126.6</v>
      </c>
      <c r="C73" s="70">
        <v>127.3</v>
      </c>
      <c r="D73" s="70">
        <v>127.3</v>
      </c>
      <c r="E73" s="70">
        <v>127.8</v>
      </c>
      <c r="F73" s="70">
        <v>128.9</v>
      </c>
      <c r="G73" s="70">
        <v>128</v>
      </c>
      <c r="H73" s="70">
        <v>127.3</v>
      </c>
      <c r="I73" s="70">
        <v>125.4</v>
      </c>
      <c r="J73" s="70">
        <v>124.2</v>
      </c>
      <c r="K73" s="70">
        <v>126.4</v>
      </c>
      <c r="L73" s="70">
        <v>125.8</v>
      </c>
      <c r="M73" s="70">
        <v>125.3</v>
      </c>
      <c r="N73" s="70">
        <v>125.1</v>
      </c>
      <c r="O73" s="70">
        <v>125.8</v>
      </c>
      <c r="P73" s="70">
        <v>125.7</v>
      </c>
      <c r="Q73" s="99">
        <v>126.6</v>
      </c>
      <c r="R73" s="99">
        <v>127</v>
      </c>
      <c r="S73" s="99">
        <v>128.30000000000001</v>
      </c>
      <c r="T73" s="99">
        <v>126.2</v>
      </c>
      <c r="U73" s="99">
        <v>127.9</v>
      </c>
      <c r="V73" s="99">
        <v>125.4</v>
      </c>
      <c r="W73" s="99">
        <v>126</v>
      </c>
      <c r="X73" s="99">
        <v>125.8</v>
      </c>
      <c r="Y73" s="99">
        <v>125.2</v>
      </c>
      <c r="Z73" s="99">
        <v>125.2</v>
      </c>
      <c r="AA73" s="70">
        <v>123.8</v>
      </c>
      <c r="AB73" s="70">
        <v>123.8</v>
      </c>
      <c r="AC73" s="70">
        <v>124</v>
      </c>
      <c r="AD73" s="70">
        <v>124</v>
      </c>
      <c r="AE73" s="100">
        <v>126.8</v>
      </c>
      <c r="AF73" s="100">
        <v>126.8</v>
      </c>
      <c r="AG73" s="101"/>
      <c r="AH73" s="52">
        <f t="shared" si="2"/>
        <v>128.9</v>
      </c>
      <c r="AI73" s="53">
        <f t="shared" si="3"/>
        <v>123.8</v>
      </c>
    </row>
    <row r="74" spans="1:35" x14ac:dyDescent="0.25">
      <c r="A74" s="98" t="s">
        <v>81</v>
      </c>
      <c r="B74" s="100">
        <v>129.9</v>
      </c>
      <c r="C74" s="70">
        <v>130.69999999999999</v>
      </c>
      <c r="D74" s="70">
        <v>130.69999999999999</v>
      </c>
      <c r="E74" s="70">
        <v>130.9</v>
      </c>
      <c r="F74" s="70">
        <v>131.6</v>
      </c>
      <c r="G74" s="70">
        <v>130.30000000000001</v>
      </c>
      <c r="H74" s="70">
        <v>129.5</v>
      </c>
      <c r="I74" s="70">
        <v>128</v>
      </c>
      <c r="J74" s="70">
        <v>126.6</v>
      </c>
      <c r="K74" s="70">
        <v>128</v>
      </c>
      <c r="L74" s="70">
        <v>128</v>
      </c>
      <c r="M74" s="70">
        <v>127.7</v>
      </c>
      <c r="N74" s="70">
        <v>127.6</v>
      </c>
      <c r="O74" s="70">
        <v>128.4</v>
      </c>
      <c r="P74" s="70">
        <v>128.1</v>
      </c>
      <c r="Q74" s="99">
        <v>129.30000000000001</v>
      </c>
      <c r="R74" s="99">
        <v>129.4</v>
      </c>
      <c r="S74" s="99">
        <v>130.6</v>
      </c>
      <c r="T74" s="99">
        <v>128.30000000000001</v>
      </c>
      <c r="U74" s="99">
        <v>129.80000000000001</v>
      </c>
      <c r="V74" s="99">
        <v>127.4</v>
      </c>
      <c r="W74" s="99">
        <v>127.2</v>
      </c>
      <c r="X74" s="99">
        <v>127.3</v>
      </c>
      <c r="Y74" s="99">
        <v>127.3</v>
      </c>
      <c r="Z74" s="99">
        <v>127.3</v>
      </c>
      <c r="AA74" s="70">
        <v>126.3</v>
      </c>
      <c r="AB74" s="70">
        <v>126.3</v>
      </c>
      <c r="AC74" s="70">
        <v>126.2</v>
      </c>
      <c r="AD74" s="70">
        <v>126.2</v>
      </c>
      <c r="AE74" s="100">
        <v>129.69999999999999</v>
      </c>
      <c r="AF74" s="100">
        <v>129.69999999999999</v>
      </c>
      <c r="AG74" s="101"/>
      <c r="AH74" s="52">
        <f t="shared" si="2"/>
        <v>131.6</v>
      </c>
      <c r="AI74" s="53">
        <f t="shared" si="3"/>
        <v>126.2</v>
      </c>
    </row>
    <row r="75" spans="1:35" x14ac:dyDescent="0.25">
      <c r="A75" s="98" t="s">
        <v>82</v>
      </c>
      <c r="B75" s="100">
        <v>128.9</v>
      </c>
      <c r="C75" s="70">
        <v>127.4</v>
      </c>
      <c r="D75" s="70">
        <v>129.9</v>
      </c>
      <c r="E75" s="70">
        <v>128.69999999999999</v>
      </c>
      <c r="F75" s="70">
        <v>130.5</v>
      </c>
      <c r="G75" s="70">
        <v>129.80000000000001</v>
      </c>
      <c r="H75" s="70">
        <v>129.30000000000001</v>
      </c>
      <c r="I75" s="70">
        <v>130.80000000000001</v>
      </c>
      <c r="J75" s="70">
        <v>127.4</v>
      </c>
      <c r="K75" s="70">
        <v>127.8</v>
      </c>
      <c r="L75" s="70">
        <v>128.1</v>
      </c>
      <c r="M75" s="70">
        <v>126.3</v>
      </c>
      <c r="N75" s="70">
        <v>126.8</v>
      </c>
      <c r="O75" s="70">
        <v>127.2</v>
      </c>
      <c r="P75" s="70">
        <v>127</v>
      </c>
      <c r="Q75" s="70">
        <v>125.9</v>
      </c>
      <c r="R75" s="70">
        <v>128.9</v>
      </c>
      <c r="S75" s="70">
        <v>130</v>
      </c>
      <c r="T75" s="99">
        <v>130.5</v>
      </c>
      <c r="U75" s="99">
        <v>130.69999999999999</v>
      </c>
      <c r="V75" s="99">
        <v>131.9</v>
      </c>
      <c r="W75" s="99">
        <v>131.9</v>
      </c>
      <c r="X75" s="99">
        <v>128.30000000000001</v>
      </c>
      <c r="Y75" s="99">
        <v>127</v>
      </c>
      <c r="Z75" s="99">
        <v>127</v>
      </c>
      <c r="AA75" s="70">
        <v>124.7</v>
      </c>
      <c r="AB75" s="70">
        <v>124.7</v>
      </c>
      <c r="AC75" s="70">
        <v>127.1</v>
      </c>
      <c r="AD75" s="70">
        <v>127.1</v>
      </c>
      <c r="AE75" s="100">
        <v>125.9</v>
      </c>
      <c r="AF75" s="100">
        <v>125.9</v>
      </c>
      <c r="AG75" s="101"/>
      <c r="AH75" s="52">
        <f t="shared" si="2"/>
        <v>131.9</v>
      </c>
      <c r="AI75" s="53">
        <f t="shared" si="3"/>
        <v>124.7</v>
      </c>
    </row>
    <row r="76" spans="1:35" x14ac:dyDescent="0.25">
      <c r="A76" s="102" t="s">
        <v>83</v>
      </c>
      <c r="B76" s="100">
        <v>132.4</v>
      </c>
      <c r="C76" s="70">
        <v>131.4</v>
      </c>
      <c r="D76" s="70">
        <v>134.6</v>
      </c>
      <c r="E76" s="70">
        <v>132.19999999999999</v>
      </c>
      <c r="F76" s="70">
        <v>133.4</v>
      </c>
      <c r="G76" s="70">
        <v>132.5</v>
      </c>
      <c r="H76" s="70">
        <v>131.80000000000001</v>
      </c>
      <c r="I76" s="70">
        <v>134.6</v>
      </c>
      <c r="J76" s="70">
        <v>131.19999999999999</v>
      </c>
      <c r="K76" s="70">
        <v>131</v>
      </c>
      <c r="L76" s="70">
        <v>132.4</v>
      </c>
      <c r="M76" s="70">
        <v>129.80000000000001</v>
      </c>
      <c r="N76" s="70">
        <v>130.80000000000001</v>
      </c>
      <c r="O76" s="70">
        <v>130.80000000000001</v>
      </c>
      <c r="P76" s="70">
        <v>130.6</v>
      </c>
      <c r="Q76" s="70">
        <v>129.6</v>
      </c>
      <c r="R76" s="70">
        <v>132.4</v>
      </c>
      <c r="S76" s="70">
        <v>133.6</v>
      </c>
      <c r="T76" s="99">
        <v>134</v>
      </c>
      <c r="U76" s="99">
        <v>135.19999999999999</v>
      </c>
      <c r="V76" s="99">
        <v>130</v>
      </c>
      <c r="W76" s="99">
        <v>131.9</v>
      </c>
      <c r="X76" s="99">
        <v>130.5</v>
      </c>
      <c r="Y76" s="99">
        <v>129.4</v>
      </c>
      <c r="Z76" s="99">
        <v>129.4</v>
      </c>
      <c r="AA76" s="70">
        <v>127.1</v>
      </c>
      <c r="AB76" s="70">
        <v>127.1</v>
      </c>
      <c r="AC76" s="70">
        <v>129.6</v>
      </c>
      <c r="AD76" s="70">
        <v>129.6</v>
      </c>
      <c r="AE76" s="100">
        <v>129.9</v>
      </c>
      <c r="AF76" s="100">
        <v>129.9</v>
      </c>
      <c r="AG76" s="101"/>
      <c r="AH76" s="52">
        <f t="shared" si="2"/>
        <v>135.19999999999999</v>
      </c>
      <c r="AI76" s="53">
        <f t="shared" si="3"/>
        <v>127.1</v>
      </c>
    </row>
    <row r="77" spans="1:35" x14ac:dyDescent="0.25">
      <c r="A77" s="102" t="s">
        <v>84</v>
      </c>
      <c r="B77" s="104">
        <v>132.4</v>
      </c>
      <c r="C77" s="103">
        <v>134.4</v>
      </c>
      <c r="D77" s="103">
        <v>133.4</v>
      </c>
      <c r="E77" s="103">
        <v>134.5</v>
      </c>
      <c r="F77" s="103">
        <v>135.69999999999999</v>
      </c>
      <c r="G77" s="103">
        <v>133.6</v>
      </c>
      <c r="H77" s="103">
        <v>131.30000000000001</v>
      </c>
      <c r="I77" s="103">
        <v>131.1</v>
      </c>
      <c r="J77" s="103">
        <v>129.4</v>
      </c>
      <c r="K77" s="103">
        <v>132</v>
      </c>
      <c r="L77" s="103">
        <v>133.5</v>
      </c>
      <c r="M77" s="103">
        <v>134.30000000000001</v>
      </c>
      <c r="N77" s="103">
        <v>132</v>
      </c>
      <c r="O77" s="103">
        <v>135.30000000000001</v>
      </c>
      <c r="P77" s="103">
        <v>130.19999999999999</v>
      </c>
      <c r="Q77" s="103">
        <v>134.5</v>
      </c>
      <c r="R77" s="103">
        <v>132.30000000000001</v>
      </c>
      <c r="S77" s="103">
        <v>132.80000000000001</v>
      </c>
      <c r="T77" s="99">
        <v>132.19999999999999</v>
      </c>
      <c r="U77" s="99">
        <v>134.5</v>
      </c>
      <c r="V77" s="99">
        <v>134</v>
      </c>
      <c r="W77" s="99">
        <v>134.19999999999999</v>
      </c>
      <c r="X77" s="99">
        <v>132.9</v>
      </c>
      <c r="Y77" s="99">
        <v>133</v>
      </c>
      <c r="Z77" s="99">
        <v>133</v>
      </c>
      <c r="AA77" s="103">
        <v>131.1</v>
      </c>
      <c r="AB77" s="103">
        <v>131.1</v>
      </c>
      <c r="AC77" s="103">
        <v>128.5</v>
      </c>
      <c r="AD77" s="103">
        <v>128.5</v>
      </c>
      <c r="AE77" s="104">
        <v>132.5</v>
      </c>
      <c r="AF77" s="104">
        <v>132.5</v>
      </c>
      <c r="AG77" s="105"/>
      <c r="AH77" s="52">
        <f t="shared" si="2"/>
        <v>135.69999999999999</v>
      </c>
      <c r="AI77" s="53">
        <f t="shared" si="3"/>
        <v>128.5</v>
      </c>
    </row>
    <row r="78" spans="1:35" x14ac:dyDescent="0.25">
      <c r="A78" s="98" t="s">
        <v>85</v>
      </c>
      <c r="B78" s="100">
        <v>129.30000000000001</v>
      </c>
      <c r="C78" s="70">
        <v>131</v>
      </c>
      <c r="D78" s="70">
        <v>129.6</v>
      </c>
      <c r="E78" s="70">
        <v>134.80000000000001</v>
      </c>
      <c r="F78" s="70">
        <v>136.19999999999999</v>
      </c>
      <c r="G78" s="70">
        <v>132.5</v>
      </c>
      <c r="H78" s="70">
        <v>131.6</v>
      </c>
      <c r="I78" s="70">
        <v>130.6</v>
      </c>
      <c r="J78" s="70">
        <v>130.19999999999999</v>
      </c>
      <c r="K78" s="70">
        <v>130</v>
      </c>
      <c r="L78" s="70">
        <v>129.19999999999999</v>
      </c>
      <c r="M78" s="70">
        <v>130.19999999999999</v>
      </c>
      <c r="N78" s="70">
        <v>131.69999999999999</v>
      </c>
      <c r="O78" s="70">
        <v>129.19999999999999</v>
      </c>
      <c r="P78" s="70">
        <v>128</v>
      </c>
      <c r="Q78" s="70">
        <v>131.1</v>
      </c>
      <c r="R78" s="70">
        <v>125.7</v>
      </c>
      <c r="S78" s="70">
        <v>133.1</v>
      </c>
      <c r="T78" s="99">
        <v>132.19999999999999</v>
      </c>
      <c r="U78" s="99">
        <v>132.80000000000001</v>
      </c>
      <c r="V78" s="99">
        <v>130</v>
      </c>
      <c r="W78" s="99">
        <v>130.19999999999999</v>
      </c>
      <c r="X78" s="99">
        <v>130.9</v>
      </c>
      <c r="Y78" s="99">
        <v>129.6</v>
      </c>
      <c r="Z78" s="99">
        <v>129.6</v>
      </c>
      <c r="AA78" s="70">
        <v>125.1</v>
      </c>
      <c r="AB78" s="70">
        <v>125.1</v>
      </c>
      <c r="AC78" s="70">
        <v>120.7</v>
      </c>
      <c r="AD78" s="70">
        <v>120.7</v>
      </c>
      <c r="AE78" s="100">
        <v>129.30000000000001</v>
      </c>
      <c r="AF78" s="100">
        <v>129.30000000000001</v>
      </c>
      <c r="AG78" s="101"/>
      <c r="AH78" s="52">
        <f>MAX(B78:AF78)</f>
        <v>136.19999999999999</v>
      </c>
      <c r="AI78" s="53">
        <f>MIN(B78:AF78)</f>
        <v>120.7</v>
      </c>
    </row>
    <row r="79" spans="1:35" ht="15.75" thickBot="1" x14ac:dyDescent="0.3">
      <c r="A79" s="98" t="s">
        <v>86</v>
      </c>
      <c r="B79" s="107">
        <v>66.5</v>
      </c>
      <c r="C79" s="106">
        <v>66.8</v>
      </c>
      <c r="D79" s="106">
        <v>66.8</v>
      </c>
      <c r="E79" s="106">
        <v>66.900000000000006</v>
      </c>
      <c r="F79" s="106">
        <v>67.3</v>
      </c>
      <c r="G79" s="106">
        <v>66.400000000000006</v>
      </c>
      <c r="H79" s="106">
        <v>65.900000000000006</v>
      </c>
      <c r="I79" s="106">
        <v>65.2</v>
      </c>
      <c r="J79" s="106">
        <v>64.5</v>
      </c>
      <c r="K79" s="106">
        <v>65.3</v>
      </c>
      <c r="L79" s="106">
        <v>65.400000000000006</v>
      </c>
      <c r="M79" s="106">
        <v>65.2</v>
      </c>
      <c r="N79" s="106">
        <v>65.2</v>
      </c>
      <c r="O79" s="106">
        <v>65.8</v>
      </c>
      <c r="P79" s="106">
        <v>65.599999999999994</v>
      </c>
      <c r="Q79" s="106">
        <v>66.099999999999994</v>
      </c>
      <c r="R79" s="106">
        <v>66.2</v>
      </c>
      <c r="S79" s="106">
        <v>66.5</v>
      </c>
      <c r="T79" s="106">
        <v>65.7</v>
      </c>
      <c r="U79" s="106">
        <v>66.8</v>
      </c>
      <c r="V79" s="106">
        <v>66</v>
      </c>
      <c r="W79" s="106">
        <v>65.5</v>
      </c>
      <c r="X79" s="106">
        <v>65.099999999999994</v>
      </c>
      <c r="Y79" s="106">
        <v>64.900000000000006</v>
      </c>
      <c r="Z79" s="106">
        <v>64.900000000000006</v>
      </c>
      <c r="AA79" s="106">
        <v>64.7</v>
      </c>
      <c r="AB79" s="106">
        <v>64.7</v>
      </c>
      <c r="AC79" s="106">
        <v>64.599999999999994</v>
      </c>
      <c r="AD79" s="106">
        <v>64.599999999999994</v>
      </c>
      <c r="AE79" s="107">
        <v>66.599999999999994</v>
      </c>
      <c r="AF79" s="107">
        <v>66.599999999999994</v>
      </c>
      <c r="AG79" s="108"/>
      <c r="AH79" s="52">
        <f>MAX(B79:AF79)</f>
        <v>67.3</v>
      </c>
      <c r="AI79" s="53">
        <f>MIN(B79:AF79)</f>
        <v>64.5</v>
      </c>
    </row>
    <row r="80" spans="1:35" x14ac:dyDescent="0.25">
      <c r="A80" s="109" t="s">
        <v>87</v>
      </c>
      <c r="B80" s="110">
        <f>SUMIF(B48:B57,"&gt;0")</f>
        <v>219.1</v>
      </c>
      <c r="C80" s="110">
        <f t="shared" ref="C80:AF80" si="19">SUMIF(C48:C57,"&gt;0")</f>
        <v>221.8</v>
      </c>
      <c r="D80" s="110">
        <f t="shared" si="19"/>
        <v>215.93</v>
      </c>
      <c r="E80" s="110">
        <f t="shared" si="19"/>
        <v>203.5</v>
      </c>
      <c r="F80" s="110">
        <f t="shared" si="19"/>
        <v>206.6</v>
      </c>
      <c r="G80" s="110">
        <f t="shared" si="19"/>
        <v>208</v>
      </c>
      <c r="H80" s="110">
        <f t="shared" si="19"/>
        <v>208.5</v>
      </c>
      <c r="I80" s="110">
        <f t="shared" si="19"/>
        <v>237.41</v>
      </c>
      <c r="J80" s="110">
        <f t="shared" si="19"/>
        <v>256</v>
      </c>
      <c r="K80" s="110">
        <f t="shared" si="19"/>
        <v>246</v>
      </c>
      <c r="L80" s="110">
        <f t="shared" si="19"/>
        <v>256.52999999999997</v>
      </c>
      <c r="M80" s="110">
        <f t="shared" si="19"/>
        <v>309.14</v>
      </c>
      <c r="N80" s="110">
        <f t="shared" si="19"/>
        <v>283.70999999999998</v>
      </c>
      <c r="O80" s="110">
        <f t="shared" si="19"/>
        <v>270.10000000000002</v>
      </c>
      <c r="P80" s="110">
        <f t="shared" si="19"/>
        <v>286.89999999999998</v>
      </c>
      <c r="Q80" s="110">
        <f t="shared" si="19"/>
        <v>277.11</v>
      </c>
      <c r="R80" s="110">
        <f t="shared" si="19"/>
        <v>281.89999999999998</v>
      </c>
      <c r="S80" s="110">
        <f t="shared" si="19"/>
        <v>277</v>
      </c>
      <c r="T80" s="110">
        <f t="shared" si="19"/>
        <v>265.5</v>
      </c>
      <c r="U80" s="110">
        <f t="shared" si="19"/>
        <v>239</v>
      </c>
      <c r="V80" s="110">
        <f t="shared" si="19"/>
        <v>245</v>
      </c>
      <c r="W80" s="110">
        <f t="shared" si="19"/>
        <v>248.47</v>
      </c>
      <c r="X80" s="110">
        <f t="shared" si="19"/>
        <v>261.32</v>
      </c>
      <c r="Y80" s="110">
        <f t="shared" si="19"/>
        <v>326.89</v>
      </c>
      <c r="Z80" s="110">
        <f t="shared" si="19"/>
        <v>404.3</v>
      </c>
      <c r="AA80" s="110">
        <f t="shared" si="19"/>
        <v>411</v>
      </c>
      <c r="AB80" s="110">
        <f t="shared" si="19"/>
        <v>405.6</v>
      </c>
      <c r="AC80" s="110">
        <f t="shared" si="19"/>
        <v>410.5</v>
      </c>
      <c r="AD80" s="110">
        <f t="shared" si="19"/>
        <v>296</v>
      </c>
      <c r="AE80" s="110">
        <f t="shared" si="19"/>
        <v>253</v>
      </c>
      <c r="AF80" s="110">
        <f t="shared" si="19"/>
        <v>241</v>
      </c>
      <c r="AG80" s="111"/>
      <c r="AH80" s="52">
        <f>MAX(B80:AF80)</f>
        <v>411</v>
      </c>
      <c r="AI80" s="53">
        <f>MIN(B80:AF80)</f>
        <v>203.5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129.81999999999994</v>
      </c>
      <c r="C82" s="115">
        <f t="shared" ref="C82:AF82" si="20">C11+C13+C17+C34+C36+C38+C40+C94+C108+C110+C121+C127+C130+C139+C143+C144+C147+C154+C159+C162+C163+C164+C172+C177+C83+C84+C85+C86+C99</f>
        <v>181.71999999999997</v>
      </c>
      <c r="D82" s="115">
        <f t="shared" si="20"/>
        <v>122.21999999999996</v>
      </c>
      <c r="E82" s="115">
        <f t="shared" si="20"/>
        <v>127.71999999999998</v>
      </c>
      <c r="F82" s="115">
        <f t="shared" si="20"/>
        <v>147.31999999999994</v>
      </c>
      <c r="G82" s="115">
        <f t="shared" si="20"/>
        <v>159.01999999999998</v>
      </c>
      <c r="H82" s="115">
        <f t="shared" si="20"/>
        <v>175.91999999999996</v>
      </c>
      <c r="I82" s="115">
        <f t="shared" si="20"/>
        <v>184.21999999999994</v>
      </c>
      <c r="J82" s="115">
        <f t="shared" si="20"/>
        <v>199.51999999999998</v>
      </c>
      <c r="K82" s="115">
        <f t="shared" si="20"/>
        <v>209.11999999999998</v>
      </c>
      <c r="L82" s="115">
        <f t="shared" si="20"/>
        <v>225.92</v>
      </c>
      <c r="M82" s="115">
        <f t="shared" si="20"/>
        <v>231.52</v>
      </c>
      <c r="N82" s="115">
        <f t="shared" si="20"/>
        <v>221.41999999999996</v>
      </c>
      <c r="O82" s="115">
        <f t="shared" si="20"/>
        <v>194.91999999999996</v>
      </c>
      <c r="P82" s="115">
        <f t="shared" si="20"/>
        <v>189.94999999999996</v>
      </c>
      <c r="Q82" s="115">
        <f t="shared" si="20"/>
        <v>181.31999999999996</v>
      </c>
      <c r="R82" s="115">
        <f t="shared" si="20"/>
        <v>324.02</v>
      </c>
      <c r="S82" s="115">
        <f t="shared" si="20"/>
        <v>293.31999999999994</v>
      </c>
      <c r="T82" s="115">
        <f t="shared" si="20"/>
        <v>320.71999999999997</v>
      </c>
      <c r="U82" s="115">
        <f t="shared" si="20"/>
        <v>215.82000000000002</v>
      </c>
      <c r="V82" s="115">
        <f t="shared" si="20"/>
        <v>233.61999999999998</v>
      </c>
      <c r="W82" s="115">
        <f t="shared" si="20"/>
        <v>234.72</v>
      </c>
      <c r="X82" s="115">
        <f t="shared" si="20"/>
        <v>221.81999999999994</v>
      </c>
      <c r="Y82" s="115">
        <f t="shared" si="20"/>
        <v>247.11999999999998</v>
      </c>
      <c r="Z82" s="115">
        <f t="shared" si="20"/>
        <v>281.02</v>
      </c>
      <c r="AA82" s="115">
        <f t="shared" si="20"/>
        <v>244.02</v>
      </c>
      <c r="AB82" s="115">
        <f t="shared" si="20"/>
        <v>235.71999999999994</v>
      </c>
      <c r="AC82" s="115">
        <f t="shared" si="20"/>
        <v>226.51999999999998</v>
      </c>
      <c r="AD82" s="115">
        <f t="shared" si="20"/>
        <v>191.92</v>
      </c>
      <c r="AE82" s="115">
        <f t="shared" si="20"/>
        <v>154.32</v>
      </c>
      <c r="AF82" s="115">
        <f t="shared" si="20"/>
        <v>138.61999999999998</v>
      </c>
      <c r="AG82" s="116"/>
      <c r="AH82" s="52">
        <f>MAX(B82:AF82)</f>
        <v>324.02</v>
      </c>
      <c r="AI82" s="53">
        <f>MIN(B82:AF82)</f>
        <v>122.21999999999996</v>
      </c>
    </row>
    <row r="83" spans="1:37" x14ac:dyDescent="0.25">
      <c r="A83" s="117" t="s">
        <v>89</v>
      </c>
      <c r="B83" s="119">
        <v>49.3</v>
      </c>
      <c r="C83" s="118">
        <v>36.200000000000003</v>
      </c>
      <c r="D83" s="118">
        <v>50.2</v>
      </c>
      <c r="E83" s="118">
        <v>49.8</v>
      </c>
      <c r="F83" s="118">
        <v>51.5</v>
      </c>
      <c r="G83" s="118">
        <v>54.9</v>
      </c>
      <c r="H83" s="118">
        <v>59.2</v>
      </c>
      <c r="I83" s="118">
        <v>60.5</v>
      </c>
      <c r="J83" s="118">
        <v>53.4</v>
      </c>
      <c r="K83" s="118">
        <v>62.4</v>
      </c>
      <c r="L83" s="118">
        <v>64.3</v>
      </c>
      <c r="M83" s="118">
        <v>53.7</v>
      </c>
      <c r="N83" s="118">
        <v>61.8</v>
      </c>
      <c r="O83" s="118">
        <v>58.6</v>
      </c>
      <c r="P83" s="118">
        <v>53</v>
      </c>
      <c r="Q83" s="118">
        <v>57.3</v>
      </c>
      <c r="R83" s="118">
        <v>52.1</v>
      </c>
      <c r="S83" s="118">
        <v>52.2</v>
      </c>
      <c r="T83" s="118">
        <v>56.9</v>
      </c>
      <c r="U83" s="118">
        <v>50.2</v>
      </c>
      <c r="V83" s="118">
        <v>55</v>
      </c>
      <c r="W83" s="118">
        <v>52.4</v>
      </c>
      <c r="X83" s="118">
        <v>52.8</v>
      </c>
      <c r="Y83" s="118">
        <v>65.5</v>
      </c>
      <c r="Z83" s="94">
        <v>55.5</v>
      </c>
      <c r="AA83" s="94">
        <v>52</v>
      </c>
      <c r="AB83" s="50">
        <v>59</v>
      </c>
      <c r="AC83" s="50">
        <v>55</v>
      </c>
      <c r="AD83" s="50">
        <v>54</v>
      </c>
      <c r="AE83" s="50">
        <v>53</v>
      </c>
      <c r="AF83" s="119">
        <v>52</v>
      </c>
      <c r="AG83" s="120">
        <v>75</v>
      </c>
      <c r="AH83" s="52">
        <f>IF(ABS(MAX(B83:AF83))&gt;ABS(MIN(B83:AF83)),MAX(B83:AF83),MIN(B83:AF83))</f>
        <v>65.5</v>
      </c>
      <c r="AI83" s="121">
        <f>INDEX($B$9:$AF$9,1,MATCH(AH83,B83:AF83,0))</f>
        <v>0.79166666666666663</v>
      </c>
    </row>
    <row r="84" spans="1:37" x14ac:dyDescent="0.25">
      <c r="A84" s="122" t="s">
        <v>90</v>
      </c>
      <c r="B84" s="123">
        <f>-23.8-34.2</f>
        <v>-58</v>
      </c>
      <c r="C84" s="83">
        <f>-19.8+28.1</f>
        <v>8.3000000000000007</v>
      </c>
      <c r="D84" s="83">
        <v>-60</v>
      </c>
      <c r="E84" s="83">
        <v>-56.2</v>
      </c>
      <c r="F84" s="83">
        <v>-45</v>
      </c>
      <c r="G84" s="83">
        <v>-39</v>
      </c>
      <c r="H84" s="83">
        <v>-37</v>
      </c>
      <c r="I84" s="83">
        <v>-23.4</v>
      </c>
      <c r="J84" s="83">
        <v>-12.2</v>
      </c>
      <c r="K84" s="83">
        <v>-25</v>
      </c>
      <c r="L84" s="83">
        <v>-20</v>
      </c>
      <c r="M84" s="83">
        <v>-8.9</v>
      </c>
      <c r="N84" s="83">
        <v>-18.899999999999999</v>
      </c>
      <c r="O84" s="83">
        <v>-24</v>
      </c>
      <c r="P84" s="83">
        <v>-25</v>
      </c>
      <c r="Q84" s="83">
        <v>-29</v>
      </c>
      <c r="R84" s="83">
        <v>28.6</v>
      </c>
      <c r="S84" s="83">
        <f>-3.6-9.2</f>
        <v>-12.799999999999999</v>
      </c>
      <c r="T84" s="83">
        <f>7.6+8.8</f>
        <v>16.399999999999999</v>
      </c>
      <c r="U84" s="83">
        <v>13.9</v>
      </c>
      <c r="V84" s="83">
        <v>2.6</v>
      </c>
      <c r="W84" s="83">
        <v>3</v>
      </c>
      <c r="X84" s="83">
        <v>-2.8</v>
      </c>
      <c r="Y84" s="83">
        <v>-3</v>
      </c>
      <c r="Z84" s="70">
        <v>4.5</v>
      </c>
      <c r="AA84" s="70">
        <v>-3</v>
      </c>
      <c r="AB84" s="70">
        <v>-13</v>
      </c>
      <c r="AC84" s="70">
        <v>-9</v>
      </c>
      <c r="AD84" s="70">
        <v>-25</v>
      </c>
      <c r="AE84" s="70">
        <v>-35</v>
      </c>
      <c r="AF84" s="123">
        <v>-48</v>
      </c>
      <c r="AG84" s="120">
        <v>240</v>
      </c>
      <c r="AH84" s="52">
        <f>IF(ABS(MAX(B84:AF84))&gt;ABS(MIN(B84:AF84)),MAX(B84:AF84),MIN(B84:AF84))</f>
        <v>-60</v>
      </c>
      <c r="AI84" s="121">
        <f>INDEX($B$9:$AF$9,1,MATCH(AH84,B84:AF84,0))</f>
        <v>0.125</v>
      </c>
    </row>
    <row r="85" spans="1:37" x14ac:dyDescent="0.25">
      <c r="A85" s="122" t="s">
        <v>91</v>
      </c>
      <c r="B85" s="123">
        <v>23.8</v>
      </c>
      <c r="C85" s="83">
        <v>24</v>
      </c>
      <c r="D85" s="83">
        <v>20.5</v>
      </c>
      <c r="E85" s="83">
        <v>19</v>
      </c>
      <c r="F85" s="83">
        <v>15.2</v>
      </c>
      <c r="G85" s="83">
        <v>13.5</v>
      </c>
      <c r="H85" s="83">
        <v>14.3</v>
      </c>
      <c r="I85" s="83">
        <v>6.7</v>
      </c>
      <c r="J85" s="83">
        <v>8.8000000000000007</v>
      </c>
      <c r="K85" s="83">
        <v>22.9</v>
      </c>
      <c r="L85" s="83">
        <v>23.8</v>
      </c>
      <c r="M85" s="83">
        <v>25.2</v>
      </c>
      <c r="N85" s="83">
        <v>22.5</v>
      </c>
      <c r="O85" s="83">
        <v>21.4</v>
      </c>
      <c r="P85" s="83">
        <v>22.7</v>
      </c>
      <c r="Q85" s="83">
        <v>14.9</v>
      </c>
      <c r="R85" s="83">
        <v>19.8</v>
      </c>
      <c r="S85" s="83">
        <v>7.5</v>
      </c>
      <c r="T85" s="83">
        <f>9.7</f>
        <v>9.6999999999999993</v>
      </c>
      <c r="U85" s="83">
        <v>11.7</v>
      </c>
      <c r="V85" s="83">
        <v>13.3</v>
      </c>
      <c r="W85" s="83">
        <v>13.5</v>
      </c>
      <c r="X85" s="83">
        <v>14.1</v>
      </c>
      <c r="Y85" s="83">
        <v>14.4</v>
      </c>
      <c r="Z85" s="70">
        <v>32.200000000000003</v>
      </c>
      <c r="AA85" s="70">
        <v>28.2</v>
      </c>
      <c r="AB85" s="70">
        <v>24</v>
      </c>
      <c r="AC85" s="70">
        <v>17</v>
      </c>
      <c r="AD85" s="70">
        <v>13</v>
      </c>
      <c r="AE85" s="70">
        <v>9</v>
      </c>
      <c r="AF85" s="123">
        <v>14.6</v>
      </c>
      <c r="AG85" s="120">
        <v>60</v>
      </c>
      <c r="AH85" s="52">
        <f>IF(ABS(MAX(B85:AF85))&gt;ABS(MIN(B85:AF85)),MAX(B85:AF85),MIN(B85:AF85))</f>
        <v>32.200000000000003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>
        <v>-92.3</v>
      </c>
      <c r="C86" s="85">
        <v>-92.8</v>
      </c>
      <c r="D86" s="85">
        <v>-90.7</v>
      </c>
      <c r="E86" s="85">
        <v>-88.3</v>
      </c>
      <c r="F86" s="85">
        <v>-78.2</v>
      </c>
      <c r="G86" s="85">
        <v>-71.3</v>
      </c>
      <c r="H86" s="85">
        <v>-63</v>
      </c>
      <c r="I86" s="85">
        <v>-58.8</v>
      </c>
      <c r="J86" s="85">
        <v>-48.4</v>
      </c>
      <c r="K86" s="85">
        <v>-48.4</v>
      </c>
      <c r="L86" s="85">
        <v>-43.3</v>
      </c>
      <c r="M86" s="85">
        <v>-38.700000000000003</v>
      </c>
      <c r="N86" s="85">
        <v>-42.9</v>
      </c>
      <c r="O86" s="85">
        <v>-57.9</v>
      </c>
      <c r="P86" s="85">
        <v>-56.4</v>
      </c>
      <c r="Q86" s="85">
        <v>-56.1</v>
      </c>
      <c r="R86" s="85">
        <v>29.7</v>
      </c>
      <c r="S86" s="85">
        <v>51.6</v>
      </c>
      <c r="T86" s="85">
        <v>46.8</v>
      </c>
      <c r="U86" s="85">
        <v>-50.7</v>
      </c>
      <c r="V86" s="85">
        <v>-28</v>
      </c>
      <c r="W86" s="85">
        <v>-26.8</v>
      </c>
      <c r="X86" s="85">
        <v>-31</v>
      </c>
      <c r="Y86" s="85">
        <v>-21.8</v>
      </c>
      <c r="Z86" s="70">
        <v>-7.7</v>
      </c>
      <c r="AA86" s="70">
        <v>-25</v>
      </c>
      <c r="AB86" s="125">
        <v>-30</v>
      </c>
      <c r="AC86" s="125">
        <v>-32</v>
      </c>
      <c r="AD86" s="125">
        <v>-45</v>
      </c>
      <c r="AE86" s="125">
        <v>-67</v>
      </c>
      <c r="AF86" s="126">
        <v>-72.5</v>
      </c>
      <c r="AG86" s="127">
        <v>120</v>
      </c>
      <c r="AH86" s="52">
        <f>IF(ABS(MAX(B86:AF86))&gt;ABS(MIN(B86:AF86)),MAX(B86:AF86),MIN(B86:AF86))</f>
        <v>-92.8</v>
      </c>
      <c r="AI86" s="121">
        <f>INDEX($B$9:$AF$9,1,MATCH(AH86,B86:AF86,0))</f>
        <v>8.3333333333333301E-2</v>
      </c>
    </row>
    <row r="87" spans="1:37" ht="15.75" thickBot="1" x14ac:dyDescent="0.3">
      <c r="A87" s="124" t="s">
        <v>93</v>
      </c>
      <c r="B87" s="126">
        <v>16.8</v>
      </c>
      <c r="C87" s="85">
        <v>33.799999999999997</v>
      </c>
      <c r="D87" s="85">
        <v>16.8</v>
      </c>
      <c r="E87" s="85">
        <v>21.2</v>
      </c>
      <c r="F87" s="85">
        <v>27.4</v>
      </c>
      <c r="G87" s="85">
        <v>33.700000000000003</v>
      </c>
      <c r="H87" s="85">
        <v>27.7</v>
      </c>
      <c r="I87" s="85">
        <v>46.5</v>
      </c>
      <c r="J87" s="85">
        <v>63.1</v>
      </c>
      <c r="K87" s="85">
        <v>27.6</v>
      </c>
      <c r="L87" s="85">
        <v>29.6</v>
      </c>
      <c r="M87" s="85">
        <v>54.1</v>
      </c>
      <c r="N87" s="85">
        <v>40.1</v>
      </c>
      <c r="O87" s="85">
        <v>28.4</v>
      </c>
      <c r="P87" s="85">
        <v>41.2</v>
      </c>
      <c r="Q87" s="85">
        <v>32.6</v>
      </c>
      <c r="R87" s="85">
        <v>28.6</v>
      </c>
      <c r="S87" s="85">
        <v>48.1</v>
      </c>
      <c r="T87" s="85">
        <v>51.2</v>
      </c>
      <c r="U87" s="85">
        <v>38.1</v>
      </c>
      <c r="V87" s="85">
        <v>42.9</v>
      </c>
      <c r="W87" s="85">
        <v>43.5</v>
      </c>
      <c r="X87" s="85">
        <v>44.9</v>
      </c>
      <c r="Y87" s="85">
        <v>44.6</v>
      </c>
      <c r="Z87" s="85">
        <v>49.4</v>
      </c>
      <c r="AA87" s="85">
        <v>59</v>
      </c>
      <c r="AB87" s="125">
        <v>44</v>
      </c>
      <c r="AC87" s="125">
        <v>65</v>
      </c>
      <c r="AD87" s="125">
        <v>60</v>
      </c>
      <c r="AE87" s="125">
        <v>47</v>
      </c>
      <c r="AF87" s="126">
        <v>36</v>
      </c>
      <c r="AG87" s="127"/>
      <c r="AH87" s="52">
        <f>IF(ABS(MAX(B87:AF87))&gt;ABS(MIN(B87:AF87)),MAX(B87:AF87),MIN(B87:AF87))</f>
        <v>65</v>
      </c>
      <c r="AI87" s="121">
        <f>INDEX($B$9:$AF$9,1,MATCH(AH87,B87:AF87,0))</f>
        <v>0.875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1104.28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22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22)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22)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1067.1400000000001</v>
      </c>
      <c r="U193" s="173">
        <f t="shared" si="37"/>
        <v>1057.1400000000001</v>
      </c>
      <c r="V193" s="173">
        <f t="shared" si="37"/>
        <v>1053.97</v>
      </c>
      <c r="W193" s="173">
        <f t="shared" si="37"/>
        <v>1044.04</v>
      </c>
      <c r="X193" s="173">
        <f t="shared" si="37"/>
        <v>1031.04</v>
      </c>
      <c r="Y193" s="173">
        <f t="shared" si="37"/>
        <v>994.1400000000001</v>
      </c>
      <c r="Z193" s="173">
        <f t="shared" si="37"/>
        <v>995.34</v>
      </c>
      <c r="AA193" s="173">
        <f t="shared" si="37"/>
        <v>990.35</v>
      </c>
      <c r="AB193" s="173">
        <f t="shared" si="37"/>
        <v>999.33999999999992</v>
      </c>
      <c r="AC193" s="173">
        <f t="shared" si="37"/>
        <v>1041.94</v>
      </c>
      <c r="AD193" s="173">
        <f t="shared" si="37"/>
        <v>1052.0700000000002</v>
      </c>
      <c r="AE193" s="173">
        <f t="shared" si="37"/>
        <v>1104.28</v>
      </c>
      <c r="AF193" s="173">
        <f t="shared" si="37"/>
        <v>1076.1500000000001</v>
      </c>
      <c r="AG193" s="173">
        <f t="shared" si="37"/>
        <v>1041.04</v>
      </c>
      <c r="AH193" s="173">
        <f t="shared" si="37"/>
        <v>1072.27</v>
      </c>
      <c r="AI193" s="173">
        <f t="shared" si="37"/>
        <v>1065.05</v>
      </c>
      <c r="AJ193" s="173">
        <f t="shared" si="37"/>
        <v>1083.04</v>
      </c>
      <c r="AK193" s="173">
        <f t="shared" si="37"/>
        <v>1037.6400000000001</v>
      </c>
      <c r="AL193" s="173">
        <f t="shared" si="37"/>
        <v>986.24</v>
      </c>
      <c r="AM193" s="173">
        <f t="shared" si="37"/>
        <v>1011.04</v>
      </c>
      <c r="AN193" s="173">
        <f t="shared" si="37"/>
        <v>957.83999999999992</v>
      </c>
      <c r="AO193" s="173">
        <f t="shared" si="37"/>
        <v>939.11</v>
      </c>
      <c r="AP193" s="173">
        <f t="shared" si="37"/>
        <v>948.46</v>
      </c>
      <c r="AQ193" s="173">
        <f t="shared" si="37"/>
        <v>1055.6300000000001</v>
      </c>
      <c r="AR193" s="173">
        <f t="shared" si="37"/>
        <v>1175.54</v>
      </c>
      <c r="AS193" s="173">
        <f t="shared" si="37"/>
        <v>1206.6400000000001</v>
      </c>
      <c r="AT193" s="173">
        <f t="shared" si="37"/>
        <v>1205.8399999999999</v>
      </c>
      <c r="AU193" s="173">
        <f t="shared" si="37"/>
        <v>1187.54</v>
      </c>
      <c r="AV193" s="173">
        <f t="shared" si="37"/>
        <v>1104.54</v>
      </c>
      <c r="AW193" s="173">
        <f t="shared" si="37"/>
        <v>1053.94</v>
      </c>
      <c r="AX193" s="173">
        <f t="shared" si="37"/>
        <v>1047.24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096" priority="170">
      <formula>S$9&gt;=20/24</formula>
    </cfRule>
    <cfRule type="expression" dxfId="2095" priority="171">
      <formula>AND(S$9&gt;=14/24,S$9&lt;20/24)</formula>
    </cfRule>
    <cfRule type="expression" dxfId="2094" priority="172">
      <formula>AND(S$9&gt;=8/24,S$9&lt;14/24)</formula>
    </cfRule>
    <cfRule type="expression" dxfId="2093" priority="173">
      <formula>S$9&lt;8/24</formula>
    </cfRule>
  </conditionalFormatting>
  <conditionalFormatting sqref="B8:AF10 AA70:AF70 C70:Q70 L31:Q31 C47:AF47 C71:AF71 C72:Q72 C173:AF179 M36 N35:Q36 L29:Q29 M37:Q39 L34:Q34 L49:T50 V35:W35 R11:T11 C59:AF69 C48:K52 L51:Q58 L32:Z33 S34:Z34 X34:Z35 C73:Z79 U11:AF12 L44:AF46 AA48:AF51 AA72:AF79">
    <cfRule type="expression" dxfId="2092" priority="166">
      <formula>B$9&gt;=20/24</formula>
    </cfRule>
    <cfRule type="expression" dxfId="2091" priority="167">
      <formula>AND(B$9&gt;=14/24,B$9&lt;20/24)</formula>
    </cfRule>
    <cfRule type="expression" dxfId="2090" priority="168">
      <formula>AND(B$9&gt;=8/24,B$9&lt;14/24)</formula>
    </cfRule>
    <cfRule type="expression" dxfId="2089" priority="169">
      <formula>B$9&lt;8/24</formula>
    </cfRule>
  </conditionalFormatting>
  <conditionalFormatting sqref="B171:AF171">
    <cfRule type="expression" dxfId="2088" priority="162">
      <formula>B$9&gt;=20/24</formula>
    </cfRule>
    <cfRule type="expression" dxfId="2087" priority="163">
      <formula>AND(B$9&gt;=14/24,B$9&lt;20/24)</formula>
    </cfRule>
    <cfRule type="expression" dxfId="2086" priority="164">
      <formula>AND(B$9&gt;=8/24,B$9&lt;14/24)</formula>
    </cfRule>
    <cfRule type="expression" dxfId="2085" priority="165">
      <formula>B$9&lt;8/24</formula>
    </cfRule>
  </conditionalFormatting>
  <conditionalFormatting sqref="AL4:AL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084" priority="157">
      <formula>L$9&gt;=20/24</formula>
    </cfRule>
    <cfRule type="expression" dxfId="2083" priority="158">
      <formula>AND(L$9&gt;=14/24,L$9&lt;20/24)</formula>
    </cfRule>
    <cfRule type="expression" dxfId="2082" priority="159">
      <formula>AND(L$9&gt;=8/24,L$9&lt;14/24)</formula>
    </cfRule>
    <cfRule type="expression" dxfId="2081" priority="160">
      <formula>L$9&lt;8/24</formula>
    </cfRule>
  </conditionalFormatting>
  <conditionalFormatting sqref="L35:M35">
    <cfRule type="expression" dxfId="2080" priority="153">
      <formula>L$9&gt;=20/24</formula>
    </cfRule>
    <cfRule type="expression" dxfId="2079" priority="154">
      <formula>AND(L$9&gt;=14/24,L$9&lt;20/24)</formula>
    </cfRule>
    <cfRule type="expression" dxfId="2078" priority="155">
      <formula>AND(L$9&gt;=8/24,L$9&lt;14/24)</formula>
    </cfRule>
    <cfRule type="expression" dxfId="2077" priority="156">
      <formula>L$9&lt;8/24</formula>
    </cfRule>
  </conditionalFormatting>
  <conditionalFormatting sqref="U13:AF13">
    <cfRule type="expression" dxfId="2076" priority="149">
      <formula>U$9&gt;=20/24</formula>
    </cfRule>
    <cfRule type="expression" dxfId="2075" priority="150">
      <formula>AND(U$9&gt;=14/24,U$9&lt;20/24)</formula>
    </cfRule>
    <cfRule type="expression" dxfId="2074" priority="151">
      <formula>AND(U$9&gt;=8/24,U$9&lt;14/24)</formula>
    </cfRule>
    <cfRule type="expression" dxfId="2073" priority="152">
      <formula>U$9&lt;8/24</formula>
    </cfRule>
  </conditionalFormatting>
  <conditionalFormatting sqref="R31:Z31">
    <cfRule type="expression" dxfId="2072" priority="145">
      <formula>R$9&gt;=20/24</formula>
    </cfRule>
    <cfRule type="expression" dxfId="2071" priority="146">
      <formula>AND(R$9&gt;=14/24,R$9&lt;20/24)</formula>
    </cfRule>
    <cfRule type="expression" dxfId="2070" priority="147">
      <formula>AND(R$9&gt;=8/24,R$9&lt;14/24)</formula>
    </cfRule>
    <cfRule type="expression" dxfId="2069" priority="148">
      <formula>R$9&lt;8/24</formula>
    </cfRule>
  </conditionalFormatting>
  <conditionalFormatting sqref="R48:Z48">
    <cfRule type="expression" dxfId="2068" priority="141">
      <formula>R$9&gt;=20/24</formula>
    </cfRule>
    <cfRule type="expression" dxfId="2067" priority="142">
      <formula>AND(R$9&gt;=14/24,R$9&lt;20/24)</formula>
    </cfRule>
    <cfRule type="expression" dxfId="2066" priority="143">
      <formula>AND(R$9&gt;=8/24,R$9&lt;14/24)</formula>
    </cfRule>
    <cfRule type="expression" dxfId="2065" priority="144">
      <formula>R$9&lt;8/24</formula>
    </cfRule>
  </conditionalFormatting>
  <conditionalFormatting sqref="R70:Z70">
    <cfRule type="expression" dxfId="2064" priority="137">
      <formula>R$9&gt;=20/24</formula>
    </cfRule>
    <cfRule type="expression" dxfId="2063" priority="138">
      <formula>AND(R$9&gt;=14/24,R$9&lt;20/24)</formula>
    </cfRule>
    <cfRule type="expression" dxfId="2062" priority="139">
      <formula>AND(R$9&gt;=8/24,R$9&lt;14/24)</formula>
    </cfRule>
    <cfRule type="expression" dxfId="2061" priority="140">
      <formula>R$9&lt;8/24</formula>
    </cfRule>
  </conditionalFormatting>
  <conditionalFormatting sqref="R72:Z72">
    <cfRule type="expression" dxfId="2060" priority="133">
      <formula>R$9&gt;=20/24</formula>
    </cfRule>
    <cfRule type="expression" dxfId="2059" priority="134">
      <formula>AND(R$9&gt;=14/24,R$9&lt;20/24)</formula>
    </cfRule>
    <cfRule type="expression" dxfId="2058" priority="135">
      <formula>AND(R$9&gt;=8/24,R$9&lt;14/24)</formula>
    </cfRule>
    <cfRule type="expression" dxfId="2057" priority="136">
      <formula>R$9&lt;8/24</formula>
    </cfRule>
  </conditionalFormatting>
  <conditionalFormatting sqref="L11:Q27 R22:AF26">
    <cfRule type="expression" dxfId="2056" priority="129">
      <formula>L$9&gt;=20/24</formula>
    </cfRule>
    <cfRule type="expression" dxfId="2055" priority="130">
      <formula>AND(L$9&gt;=14/24,L$9&lt;20/24)</formula>
    </cfRule>
    <cfRule type="expression" dxfId="2054" priority="131">
      <formula>AND(L$9&gt;=8/24,L$9&lt;14/24)</formula>
    </cfRule>
    <cfRule type="expression" dxfId="2053" priority="132">
      <formula>L$9&lt;8/24</formula>
    </cfRule>
  </conditionalFormatting>
  <conditionalFormatting sqref="L40:Q40">
    <cfRule type="expression" dxfId="2052" priority="125">
      <formula>L$9&gt;=20/24</formula>
    </cfRule>
    <cfRule type="expression" dxfId="2051" priority="126">
      <formula>AND(L$9&gt;=14/24,L$9&lt;20/24)</formula>
    </cfRule>
    <cfRule type="expression" dxfId="2050" priority="127">
      <formula>AND(L$9&gt;=8/24,L$9&lt;14/24)</formula>
    </cfRule>
    <cfRule type="expression" dxfId="2049" priority="128">
      <formula>L$9&lt;8/24</formula>
    </cfRule>
  </conditionalFormatting>
  <conditionalFormatting sqref="R12:T27 S16:Z16 S20:Z27 U14:AF27">
    <cfRule type="expression" dxfId="2048" priority="109">
      <formula>R$9&gt;=20/24</formula>
    </cfRule>
    <cfRule type="expression" dxfId="2047" priority="110">
      <formula>AND(R$9&gt;=14/24,R$9&lt;20/24)</formula>
    </cfRule>
    <cfRule type="expression" dxfId="2046" priority="111">
      <formula>AND(R$9&gt;=8/24,R$9&lt;14/24)</formula>
    </cfRule>
    <cfRule type="expression" dxfId="2045" priority="112">
      <formula>R$9&lt;8/24</formula>
    </cfRule>
  </conditionalFormatting>
  <conditionalFormatting sqref="L36:L39 M38:Q38">
    <cfRule type="expression" dxfId="2044" priority="117">
      <formula>L$9&gt;=20/24</formula>
    </cfRule>
    <cfRule type="expression" dxfId="2043" priority="118">
      <formula>AND(L$9&gt;=14/24,L$9&lt;20/24)</formula>
    </cfRule>
    <cfRule type="expression" dxfId="2042" priority="119">
      <formula>AND(L$9&gt;=8/24,L$9&lt;14/24)</formula>
    </cfRule>
    <cfRule type="expression" dxfId="2041" priority="120">
      <formula>L$9&lt;8/24</formula>
    </cfRule>
  </conditionalFormatting>
  <conditionalFormatting sqref="R29:AD29">
    <cfRule type="expression" dxfId="2040" priority="113">
      <formula>R$9&gt;=20/24</formula>
    </cfRule>
    <cfRule type="expression" dxfId="2039" priority="114">
      <formula>AND(R$9&gt;=14/24,R$9&lt;20/24)</formula>
    </cfRule>
    <cfRule type="expression" dxfId="2038" priority="115">
      <formula>AND(R$9&gt;=8/24,R$9&lt;14/24)</formula>
    </cfRule>
    <cfRule type="expression" dxfId="2037" priority="116">
      <formula>R$9&lt;8/24</formula>
    </cfRule>
  </conditionalFormatting>
  <conditionalFormatting sqref="R34:R39 S35:U39 V36:Z39 AA37:AF39">
    <cfRule type="expression" dxfId="2036" priority="105">
      <formula>R$9&gt;=20/24</formula>
    </cfRule>
    <cfRule type="expression" dxfId="2035" priority="106">
      <formula>AND(R$9&gt;=14/24,R$9&lt;20/24)</formula>
    </cfRule>
    <cfRule type="expression" dxfId="2034" priority="107">
      <formula>AND(R$9&gt;=8/24,R$9&lt;14/24)</formula>
    </cfRule>
    <cfRule type="expression" dxfId="2033" priority="108">
      <formula>R$9&lt;8/24</formula>
    </cfRule>
  </conditionalFormatting>
  <conditionalFormatting sqref="R40:AF40">
    <cfRule type="expression" dxfId="2032" priority="101">
      <formula>R$9&gt;=20/24</formula>
    </cfRule>
    <cfRule type="expression" dxfId="2031" priority="102">
      <formula>AND(R$9&gt;=14/24,R$9&lt;20/24)</formula>
    </cfRule>
    <cfRule type="expression" dxfId="2030" priority="103">
      <formula>AND(R$9&gt;=8/24,R$9&lt;14/24)</formula>
    </cfRule>
    <cfRule type="expression" dxfId="2029" priority="104">
      <formula>R$9&lt;8/24</formula>
    </cfRule>
  </conditionalFormatting>
  <conditionalFormatting sqref="R41:AF41">
    <cfRule type="expression" dxfId="2028" priority="97">
      <formula>R$9&gt;=20/24</formula>
    </cfRule>
    <cfRule type="expression" dxfId="2027" priority="98">
      <formula>AND(R$9&gt;=14/24,R$9&lt;20/24)</formula>
    </cfRule>
    <cfRule type="expression" dxfId="2026" priority="99">
      <formula>AND(R$9&gt;=8/24,R$9&lt;14/24)</formula>
    </cfRule>
    <cfRule type="expression" dxfId="2025" priority="100">
      <formula>R$9&lt;8/24</formula>
    </cfRule>
  </conditionalFormatting>
  <conditionalFormatting sqref="R51:Z58 AA52:AF58">
    <cfRule type="expression" dxfId="2024" priority="93">
      <formula>R$9&gt;=20/24</formula>
    </cfRule>
    <cfRule type="expression" dxfId="2023" priority="94">
      <formula>AND(R$9&gt;=14/24,R$9&lt;20/24)</formula>
    </cfRule>
    <cfRule type="expression" dxfId="2022" priority="95">
      <formula>AND(R$9&gt;=8/24,R$9&lt;14/24)</formula>
    </cfRule>
    <cfRule type="expression" dxfId="2021" priority="96">
      <formula>R$9&lt;8/24</formula>
    </cfRule>
  </conditionalFormatting>
  <conditionalFormatting sqref="AB83:AF86">
    <cfRule type="expression" dxfId="2020" priority="89">
      <formula>AB$9&gt;=20/24</formula>
    </cfRule>
    <cfRule type="expression" dxfId="2019" priority="90">
      <formula>AND(AB$9&gt;=14/24,AB$9&lt;20/24)</formula>
    </cfRule>
    <cfRule type="expression" dxfId="2018" priority="91">
      <formula>AND(AB$9&gt;=8/24,AB$9&lt;14/24)</formula>
    </cfRule>
    <cfRule type="expression" dxfId="2017" priority="92">
      <formula>AB$9&lt;8/24</formula>
    </cfRule>
  </conditionalFormatting>
  <conditionalFormatting sqref="C53:K58">
    <cfRule type="expression" dxfId="2016" priority="85">
      <formula>C$9&gt;=20/24</formula>
    </cfRule>
    <cfRule type="expression" dxfId="2015" priority="86">
      <formula>AND(C$9&gt;=14/24,C$9&lt;20/24)</formula>
    </cfRule>
    <cfRule type="expression" dxfId="2014" priority="87">
      <formula>AND(C$9&gt;=8/24,C$9&lt;14/24)</formula>
    </cfRule>
    <cfRule type="expression" dxfId="2013" priority="88">
      <formula>C$9&lt;8/24</formula>
    </cfRule>
  </conditionalFormatting>
  <conditionalFormatting sqref="C83:K86">
    <cfRule type="expression" dxfId="2012" priority="81">
      <formula>C$9&gt;=20/24</formula>
    </cfRule>
    <cfRule type="expression" dxfId="2011" priority="82">
      <formula>AND(C$9&gt;=14/24,C$9&lt;20/24)</formula>
    </cfRule>
    <cfRule type="expression" dxfId="2010" priority="83">
      <formula>AND(C$9&gt;=8/24,C$9&lt;14/24)</formula>
    </cfRule>
    <cfRule type="expression" dxfId="2009" priority="84">
      <formula>C$9&lt;8/24</formula>
    </cfRule>
  </conditionalFormatting>
  <conditionalFormatting sqref="L83:Q86">
    <cfRule type="expression" dxfId="2008" priority="77">
      <formula>L$9&gt;=20/24</formula>
    </cfRule>
    <cfRule type="expression" dxfId="2007" priority="78">
      <formula>AND(L$9&gt;=14/24,L$9&lt;20/24)</formula>
    </cfRule>
    <cfRule type="expression" dxfId="2006" priority="79">
      <formula>AND(L$9&gt;=8/24,L$9&lt;14/24)</formula>
    </cfRule>
    <cfRule type="expression" dxfId="2005" priority="80">
      <formula>L$9&lt;8/24</formula>
    </cfRule>
  </conditionalFormatting>
  <conditionalFormatting sqref="R83:Y86">
    <cfRule type="expression" dxfId="2004" priority="73">
      <formula>R$9&gt;=20/24</formula>
    </cfRule>
    <cfRule type="expression" dxfId="2003" priority="74">
      <formula>AND(R$9&gt;=14/24,R$9&lt;20/24)</formula>
    </cfRule>
    <cfRule type="expression" dxfId="2002" priority="75">
      <formula>AND(R$9&gt;=8/24,R$9&lt;14/24)</formula>
    </cfRule>
    <cfRule type="expression" dxfId="2001" priority="76">
      <formula>R$9&lt;8/24</formula>
    </cfRule>
  </conditionalFormatting>
  <conditionalFormatting sqref="AG42 H36:AA36 D31:AA35 L37:AF40 R41:AF41 C28:AF30 AB31:AF36 C42:AF47 L11:AF27">
    <cfRule type="expression" dxfId="2000" priority="72">
      <formula>C11&gt;$AG11</formula>
    </cfRule>
  </conditionalFormatting>
  <conditionalFormatting sqref="T192:AX192">
    <cfRule type="expression" dxfId="1999" priority="68">
      <formula>T$9&gt;=20/24</formula>
    </cfRule>
    <cfRule type="expression" dxfId="1998" priority="69">
      <formula>AND(T$9&gt;=14/24,T$9&lt;20/24)</formula>
    </cfRule>
    <cfRule type="expression" dxfId="1997" priority="70">
      <formula>AND(T$9&gt;=8/24,T$9&lt;14/24)</formula>
    </cfRule>
    <cfRule type="expression" dxfId="1996" priority="71">
      <formula>T$9&lt;8/24</formula>
    </cfRule>
  </conditionalFormatting>
  <conditionalFormatting sqref="A11:A86 A88:A180">
    <cfRule type="expression" dxfId="1995" priority="67">
      <formula>$AH11=0</formula>
    </cfRule>
  </conditionalFormatting>
  <conditionalFormatting sqref="AB87:AF87">
    <cfRule type="expression" dxfId="1994" priority="63">
      <formula>AB$9&gt;=20/24</formula>
    </cfRule>
    <cfRule type="expression" dxfId="1993" priority="64">
      <formula>AND(AB$9&gt;=14/24,AB$9&lt;20/24)</formula>
    </cfRule>
    <cfRule type="expression" dxfId="1992" priority="65">
      <formula>AND(AB$9&gt;=8/24,AB$9&lt;14/24)</formula>
    </cfRule>
    <cfRule type="expression" dxfId="1991" priority="66">
      <formula>AB$9&lt;8/24</formula>
    </cfRule>
  </conditionalFormatting>
  <conditionalFormatting sqref="C87:K87">
    <cfRule type="expression" dxfId="1990" priority="59">
      <formula>C$9&gt;=20/24</formula>
    </cfRule>
    <cfRule type="expression" dxfId="1989" priority="60">
      <formula>AND(C$9&gt;=14/24,C$9&lt;20/24)</formula>
    </cfRule>
    <cfRule type="expression" dxfId="1988" priority="61">
      <formula>AND(C$9&gt;=8/24,C$9&lt;14/24)</formula>
    </cfRule>
    <cfRule type="expression" dxfId="1987" priority="62">
      <formula>C$9&lt;8/24</formula>
    </cfRule>
  </conditionalFormatting>
  <conditionalFormatting sqref="L87:Q87">
    <cfRule type="expression" dxfId="1986" priority="55">
      <formula>L$9&gt;=20/24</formula>
    </cfRule>
    <cfRule type="expression" dxfId="1985" priority="56">
      <formula>AND(L$9&gt;=14/24,L$9&lt;20/24)</formula>
    </cfRule>
    <cfRule type="expression" dxfId="1984" priority="57">
      <formula>AND(L$9&gt;=8/24,L$9&lt;14/24)</formula>
    </cfRule>
    <cfRule type="expression" dxfId="1983" priority="58">
      <formula>L$9&lt;8/24</formula>
    </cfRule>
  </conditionalFormatting>
  <conditionalFormatting sqref="R87:Z87">
    <cfRule type="expression" dxfId="1982" priority="51">
      <formula>R$9&gt;=20/24</formula>
    </cfRule>
    <cfRule type="expression" dxfId="1981" priority="52">
      <formula>AND(R$9&gt;=14/24,R$9&lt;20/24)</formula>
    </cfRule>
    <cfRule type="expression" dxfId="1980" priority="53">
      <formula>AND(R$9&gt;=8/24,R$9&lt;14/24)</formula>
    </cfRule>
    <cfRule type="expression" dxfId="1979" priority="54">
      <formula>R$9&lt;8/24</formula>
    </cfRule>
  </conditionalFormatting>
  <conditionalFormatting sqref="A87">
    <cfRule type="expression" dxfId="1978" priority="50">
      <formula>$AH87=0</formula>
    </cfRule>
  </conditionalFormatting>
  <conditionalFormatting sqref="C28:AF28">
    <cfRule type="expression" dxfId="1977" priority="46">
      <formula>C$9&gt;=20/24</formula>
    </cfRule>
    <cfRule type="expression" dxfId="1976" priority="47">
      <formula>AND(C$9&gt;=14/24,C$9&lt;20/24)</formula>
    </cfRule>
    <cfRule type="expression" dxfId="1975" priority="48">
      <formula>AND(C$9&gt;=8/24,C$9&lt;14/24)</formula>
    </cfRule>
    <cfRule type="expression" dxfId="1974" priority="49">
      <formula>C$9&lt;8/24</formula>
    </cfRule>
  </conditionalFormatting>
  <conditionalFormatting sqref="R28:AA28">
    <cfRule type="expression" dxfId="1973" priority="42">
      <formula>R$9&gt;=20/24</formula>
    </cfRule>
    <cfRule type="expression" dxfId="1972" priority="43">
      <formula>AND(R$9&gt;=14/24,R$9&lt;20/24)</formula>
    </cfRule>
    <cfRule type="expression" dxfId="1971" priority="44">
      <formula>AND(R$9&gt;=8/24,R$9&lt;14/24)</formula>
    </cfRule>
    <cfRule type="expression" dxfId="1970" priority="45">
      <formula>R$9&lt;8/24</formula>
    </cfRule>
  </conditionalFormatting>
  <conditionalFormatting sqref="B59:B79 B44:B51">
    <cfRule type="expression" dxfId="1969" priority="38">
      <formula>B$9&gt;=20/24</formula>
    </cfRule>
    <cfRule type="expression" dxfId="1968" priority="39">
      <formula>AND(B$9&gt;=14/24,B$9&lt;20/24)</formula>
    </cfRule>
    <cfRule type="expression" dxfId="1967" priority="40">
      <formula>AND(B$9&gt;=8/24,B$9&lt;14/24)</formula>
    </cfRule>
    <cfRule type="expression" dxfId="1966" priority="41">
      <formula>B$9&lt;8/24</formula>
    </cfRule>
  </conditionalFormatting>
  <conditionalFormatting sqref="B14:K27">
    <cfRule type="expression" dxfId="1965" priority="34">
      <formula>B$9&gt;=20/24</formula>
    </cfRule>
    <cfRule type="expression" dxfId="1964" priority="35">
      <formula>AND(B$9&gt;=14/24,B$9&lt;20/24)</formula>
    </cfRule>
    <cfRule type="expression" dxfId="1963" priority="36">
      <formula>AND(B$9&gt;=8/24,B$9&lt;14/24)</formula>
    </cfRule>
    <cfRule type="expression" dxfId="1962" priority="37">
      <formula>B$9&lt;8/24</formula>
    </cfRule>
  </conditionalFormatting>
  <conditionalFormatting sqref="B14:K27">
    <cfRule type="expression" dxfId="1961" priority="30">
      <formula>B$9&gt;=20/24</formula>
    </cfRule>
    <cfRule type="expression" dxfId="1960" priority="31">
      <formula>AND(B$9&gt;=14/24,B$9&lt;20/24)</formula>
    </cfRule>
    <cfRule type="expression" dxfId="1959" priority="32">
      <formula>AND(B$9&gt;=8/24,B$9&lt;14/24)</formula>
    </cfRule>
    <cfRule type="expression" dxfId="1958" priority="33">
      <formula>B$9&lt;8/24</formula>
    </cfRule>
  </conditionalFormatting>
  <conditionalFormatting sqref="B52:B58">
    <cfRule type="expression" dxfId="1957" priority="26">
      <formula>B$9&gt;=20/24</formula>
    </cfRule>
    <cfRule type="expression" dxfId="1956" priority="27">
      <formula>AND(B$9&gt;=14/24,B$9&lt;20/24)</formula>
    </cfRule>
    <cfRule type="expression" dxfId="1955" priority="28">
      <formula>AND(B$9&gt;=8/24,B$9&lt;14/24)</formula>
    </cfRule>
    <cfRule type="expression" dxfId="1954" priority="29">
      <formula>B$9&lt;8/24</formula>
    </cfRule>
  </conditionalFormatting>
  <conditionalFormatting sqref="B83:B86">
    <cfRule type="expression" dxfId="1953" priority="22">
      <formula>B$9&gt;=20/24</formula>
    </cfRule>
    <cfRule type="expression" dxfId="1952" priority="23">
      <formula>AND(B$9&gt;=14/24,B$9&lt;20/24)</formula>
    </cfRule>
    <cfRule type="expression" dxfId="1951" priority="24">
      <formula>AND(B$9&gt;=8/24,B$9&lt;14/24)</formula>
    </cfRule>
    <cfRule type="expression" dxfId="1950" priority="25">
      <formula>B$9&lt;8/24</formula>
    </cfRule>
  </conditionalFormatting>
  <conditionalFormatting sqref="B11:B47 C31:C41 D36:G40 H37:K40 C11:K27 D41:Q41">
    <cfRule type="expression" dxfId="1949" priority="21">
      <formula>B11&gt;$AG11</formula>
    </cfRule>
  </conditionalFormatting>
  <conditionalFormatting sqref="B87">
    <cfRule type="expression" dxfId="1948" priority="17">
      <formula>B$9&gt;=20/24</formula>
    </cfRule>
    <cfRule type="expression" dxfId="1947" priority="18">
      <formula>AND(B$9&gt;=14/24,B$9&lt;20/24)</formula>
    </cfRule>
    <cfRule type="expression" dxfId="1946" priority="19">
      <formula>AND(B$9&gt;=8/24,B$9&lt;14/24)</formula>
    </cfRule>
    <cfRule type="expression" dxfId="1945" priority="20">
      <formula>B$9&lt;8/24</formula>
    </cfRule>
  </conditionalFormatting>
  <conditionalFormatting sqref="B28">
    <cfRule type="expression" dxfId="1944" priority="13">
      <formula>B$9&gt;=20/24</formula>
    </cfRule>
    <cfRule type="expression" dxfId="1943" priority="14">
      <formula>AND(B$9&gt;=14/24,B$9&lt;20/24)</formula>
    </cfRule>
    <cfRule type="expression" dxfId="1942" priority="15">
      <formula>AND(B$9&gt;=8/24,B$9&lt;14/24)</formula>
    </cfRule>
    <cfRule type="expression" dxfId="1941" priority="16">
      <formula>B$9&lt;8/24</formula>
    </cfRule>
  </conditionalFormatting>
  <conditionalFormatting sqref="Z83:Z86">
    <cfRule type="expression" dxfId="1940" priority="9">
      <formula>Z$9&gt;=20/24</formula>
    </cfRule>
    <cfRule type="expression" dxfId="1939" priority="10">
      <formula>AND(Z$9&gt;=14/24,Z$9&lt;20/24)</formula>
    </cfRule>
    <cfRule type="expression" dxfId="1938" priority="11">
      <formula>AND(Z$9&gt;=8/24,Z$9&lt;14/24)</formula>
    </cfRule>
    <cfRule type="expression" dxfId="1937" priority="12">
      <formula>Z$9&lt;8/24</formula>
    </cfRule>
  </conditionalFormatting>
  <conditionalFormatting sqref="AA87">
    <cfRule type="expression" dxfId="1936" priority="5">
      <formula>AA$9&gt;=20/24</formula>
    </cfRule>
    <cfRule type="expression" dxfId="1935" priority="6">
      <formula>AND(AA$9&gt;=14/24,AA$9&lt;20/24)</formula>
    </cfRule>
    <cfRule type="expression" dxfId="1934" priority="7">
      <formula>AND(AA$9&gt;=8/24,AA$9&lt;14/24)</formula>
    </cfRule>
    <cfRule type="expression" dxfId="1933" priority="8">
      <formula>AA$9&lt;8/24</formula>
    </cfRule>
  </conditionalFormatting>
  <conditionalFormatting sqref="AA83:AA86">
    <cfRule type="expression" dxfId="1932" priority="1">
      <formula>AA$9&gt;=20/24</formula>
    </cfRule>
    <cfRule type="expression" dxfId="1931" priority="2">
      <formula>AND(AA$9&gt;=14/24,AA$9&lt;20/24)</formula>
    </cfRule>
    <cfRule type="expression" dxfId="1930" priority="3">
      <formula>AND(AA$9&gt;=8/24,AA$9&lt;14/24)</formula>
    </cfRule>
    <cfRule type="expression" dxfId="1929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8" activePane="bottomRight" state="frozen"/>
      <selection activeCell="AF88" sqref="AF88"/>
      <selection pane="topRight" activeCell="AF88" sqref="AF88"/>
      <selection pane="bottomLeft" activeCell="AF88" sqref="AF88"/>
      <selection pane="bottomRight" activeCell="X50" sqref="X5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23</v>
      </c>
      <c r="D4" s="324">
        <f ca="1">IFERROR(DATE(2021,5,14)+C4,"")</f>
        <v>44353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193.5</v>
      </c>
      <c r="C5" s="32">
        <f t="shared" ref="C5:AF5" si="0">C59</f>
        <v>209</v>
      </c>
      <c r="D5" s="32">
        <f t="shared" si="0"/>
        <v>237</v>
      </c>
      <c r="E5" s="32">
        <f t="shared" si="0"/>
        <v>235.6</v>
      </c>
      <c r="F5" s="32">
        <f t="shared" si="0"/>
        <v>219.72</v>
      </c>
      <c r="G5" s="32">
        <f t="shared" si="0"/>
        <v>185</v>
      </c>
      <c r="H5" s="32">
        <f t="shared" si="0"/>
        <v>196.1</v>
      </c>
      <c r="I5" s="32">
        <f t="shared" si="0"/>
        <v>200.65</v>
      </c>
      <c r="J5" s="32">
        <f t="shared" si="0"/>
        <v>229.3</v>
      </c>
      <c r="K5" s="32">
        <f t="shared" si="0"/>
        <v>248</v>
      </c>
      <c r="L5" s="32">
        <f t="shared" si="0"/>
        <v>271.44</v>
      </c>
      <c r="M5" s="32">
        <f t="shared" si="0"/>
        <v>366.2</v>
      </c>
      <c r="N5" s="32">
        <f t="shared" si="0"/>
        <v>394.2</v>
      </c>
      <c r="O5" s="32">
        <f t="shared" si="0"/>
        <v>351</v>
      </c>
      <c r="P5" s="32">
        <f t="shared" si="0"/>
        <v>372.5</v>
      </c>
      <c r="Q5" s="32">
        <f t="shared" si="0"/>
        <v>350.1</v>
      </c>
      <c r="R5" s="32">
        <f t="shared" si="0"/>
        <v>329.3</v>
      </c>
      <c r="S5" s="32">
        <f t="shared" si="0"/>
        <v>403.7</v>
      </c>
      <c r="T5" s="32">
        <f t="shared" si="0"/>
        <v>343.35</v>
      </c>
      <c r="U5" s="32">
        <f t="shared" si="0"/>
        <v>299.56</v>
      </c>
      <c r="V5" s="32">
        <f t="shared" si="0"/>
        <v>321.52</v>
      </c>
      <c r="W5" s="32">
        <f t="shared" si="0"/>
        <v>294.17</v>
      </c>
      <c r="X5" s="32">
        <f t="shared" si="0"/>
        <v>325.90000000000003</v>
      </c>
      <c r="Y5" s="32">
        <f t="shared" si="0"/>
        <v>279.86</v>
      </c>
      <c r="Z5" s="32">
        <f t="shared" si="0"/>
        <v>384.07</v>
      </c>
      <c r="AA5" s="32">
        <f t="shared" si="0"/>
        <v>379.37</v>
      </c>
      <c r="AB5" s="32">
        <f t="shared" si="0"/>
        <v>354.9</v>
      </c>
      <c r="AC5" s="32">
        <f t="shared" si="0"/>
        <v>388.1</v>
      </c>
      <c r="AD5" s="32">
        <f t="shared" si="0"/>
        <v>295.78999999999996</v>
      </c>
      <c r="AE5" s="32">
        <f t="shared" si="0"/>
        <v>278.8</v>
      </c>
      <c r="AF5" s="32">
        <f t="shared" si="0"/>
        <v>251.47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1110MW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Load=919</v>
      </c>
      <c r="B7" s="36">
        <f t="shared" ref="B7:AF7" si="1">B65</f>
        <v>1034.94</v>
      </c>
      <c r="C7" s="36">
        <f t="shared" si="1"/>
        <v>1025.1400000000001</v>
      </c>
      <c r="D7" s="36">
        <f t="shared" si="1"/>
        <v>980.04</v>
      </c>
      <c r="E7" s="36">
        <f t="shared" si="1"/>
        <v>974.04</v>
      </c>
      <c r="F7" s="36">
        <f t="shared" si="1"/>
        <v>949.96</v>
      </c>
      <c r="G7" s="36">
        <f t="shared" si="1"/>
        <v>919.44</v>
      </c>
      <c r="H7" s="36">
        <f t="shared" si="1"/>
        <v>930.54</v>
      </c>
      <c r="I7" s="36">
        <f t="shared" si="1"/>
        <v>950.99</v>
      </c>
      <c r="J7" s="36">
        <f t="shared" si="1"/>
        <v>977.3900000000001</v>
      </c>
      <c r="K7" s="36">
        <f t="shared" si="1"/>
        <v>1036.19</v>
      </c>
      <c r="L7" s="36">
        <f>L65</f>
        <v>1067.3799999999999</v>
      </c>
      <c r="M7" s="36">
        <f t="shared" si="1"/>
        <v>1110.1399999999999</v>
      </c>
      <c r="N7" s="36">
        <f t="shared" si="1"/>
        <v>1160.8400000000001</v>
      </c>
      <c r="O7" s="36">
        <f t="shared" si="1"/>
        <v>1145.74</v>
      </c>
      <c r="P7" s="36">
        <f t="shared" si="1"/>
        <v>1166.9399999999998</v>
      </c>
      <c r="Q7" s="36">
        <f t="shared" si="1"/>
        <v>1134.3400000000001</v>
      </c>
      <c r="R7" s="36">
        <f t="shared" si="1"/>
        <v>1108.8399999999999</v>
      </c>
      <c r="S7" s="36">
        <f t="shared" si="1"/>
        <v>1160.3400000000001</v>
      </c>
      <c r="T7" s="36">
        <f t="shared" si="1"/>
        <v>1110.3899999999999</v>
      </c>
      <c r="U7" s="36">
        <f t="shared" si="1"/>
        <v>1011.2</v>
      </c>
      <c r="V7" s="36">
        <f t="shared" si="1"/>
        <v>1018.96</v>
      </c>
      <c r="W7" s="36">
        <f t="shared" si="1"/>
        <v>1010.01</v>
      </c>
      <c r="X7" s="36">
        <f t="shared" si="1"/>
        <v>1053.44</v>
      </c>
      <c r="Y7" s="36">
        <f t="shared" si="1"/>
        <v>1038.8000000000002</v>
      </c>
      <c r="Z7" s="36">
        <f t="shared" si="1"/>
        <v>1194.51</v>
      </c>
      <c r="AA7" s="36">
        <f t="shared" si="1"/>
        <v>1203.0100000000002</v>
      </c>
      <c r="AB7" s="36">
        <f t="shared" si="1"/>
        <v>1226.3400000000001</v>
      </c>
      <c r="AC7" s="36">
        <f t="shared" si="1"/>
        <v>1170.94</v>
      </c>
      <c r="AD7" s="36">
        <f t="shared" si="1"/>
        <v>1087.53</v>
      </c>
      <c r="AE7" s="36">
        <f t="shared" si="1"/>
        <v>1063.3400000000001</v>
      </c>
      <c r="AF7" s="36">
        <f t="shared" si="1"/>
        <v>1046.0100000000002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35</v>
      </c>
      <c r="C11" s="48">
        <v>34</v>
      </c>
      <c r="D11" s="48">
        <v>34</v>
      </c>
      <c r="E11" s="48">
        <v>33.299999999999997</v>
      </c>
      <c r="F11" s="48">
        <v>35.1</v>
      </c>
      <c r="G11" s="48">
        <v>35.1</v>
      </c>
      <c r="H11" s="48">
        <v>36.299999999999997</v>
      </c>
      <c r="I11" s="48">
        <v>36.299999999999997</v>
      </c>
      <c r="J11" s="48">
        <v>36.1</v>
      </c>
      <c r="K11" s="48">
        <v>36.1</v>
      </c>
      <c r="L11" s="49">
        <v>36.700000000000003</v>
      </c>
      <c r="M11" s="49">
        <v>36.700000000000003</v>
      </c>
      <c r="N11" s="49">
        <v>37.4</v>
      </c>
      <c r="O11" s="49">
        <v>36.9</v>
      </c>
      <c r="P11" s="49">
        <v>37.1</v>
      </c>
      <c r="Q11" s="49">
        <v>38</v>
      </c>
      <c r="R11" s="50">
        <v>37.299999999999997</v>
      </c>
      <c r="S11" s="50">
        <v>37.1</v>
      </c>
      <c r="T11" s="50">
        <v>36.1</v>
      </c>
      <c r="U11" s="50">
        <v>36</v>
      </c>
      <c r="V11" s="50">
        <v>35.9</v>
      </c>
      <c r="W11" s="50">
        <v>35.700000000000003</v>
      </c>
      <c r="X11" s="50">
        <v>32.799999999999997</v>
      </c>
      <c r="Y11" s="50">
        <v>33.700000000000003</v>
      </c>
      <c r="Z11" s="50">
        <v>37</v>
      </c>
      <c r="AA11" s="50">
        <v>35.799999999999997</v>
      </c>
      <c r="AB11" s="50">
        <v>34.799999999999997</v>
      </c>
      <c r="AC11" s="50">
        <v>35.9</v>
      </c>
      <c r="AD11" s="50">
        <v>35.1</v>
      </c>
      <c r="AE11" s="50">
        <v>34.200000000000003</v>
      </c>
      <c r="AF11" s="50">
        <v>32.799999999999997</v>
      </c>
      <c r="AG11" s="51">
        <v>60</v>
      </c>
      <c r="AH11" s="52">
        <f>MAX(B11:AF11)</f>
        <v>38</v>
      </c>
      <c r="AI11" s="53">
        <f>MIN(B11:AF11)</f>
        <v>32.799999999999997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50.5</v>
      </c>
      <c r="C12" s="56">
        <v>50.4</v>
      </c>
      <c r="D12" s="56">
        <v>50.4</v>
      </c>
      <c r="E12" s="56">
        <v>50.3</v>
      </c>
      <c r="F12" s="56">
        <v>50.6</v>
      </c>
      <c r="G12" s="56">
        <v>50.6</v>
      </c>
      <c r="H12" s="56">
        <v>50.4</v>
      </c>
      <c r="I12" s="56">
        <v>50.4</v>
      </c>
      <c r="J12" s="56">
        <v>50.3</v>
      </c>
      <c r="K12" s="56">
        <v>50.3</v>
      </c>
      <c r="L12" s="49">
        <v>50.5</v>
      </c>
      <c r="M12" s="49">
        <v>50.5</v>
      </c>
      <c r="N12" s="49">
        <v>50.4</v>
      </c>
      <c r="O12" s="49">
        <v>50.3</v>
      </c>
      <c r="P12" s="49">
        <v>50.6</v>
      </c>
      <c r="Q12" s="49">
        <v>50.4</v>
      </c>
      <c r="R12" s="49">
        <v>50.3</v>
      </c>
      <c r="S12" s="49">
        <v>50.5</v>
      </c>
      <c r="T12" s="49">
        <v>50.4</v>
      </c>
      <c r="U12" s="49">
        <v>50.7</v>
      </c>
      <c r="V12" s="49">
        <v>50.3</v>
      </c>
      <c r="W12" s="49">
        <v>50.5</v>
      </c>
      <c r="X12" s="49">
        <v>50.6</v>
      </c>
      <c r="Y12" s="49">
        <v>50.6</v>
      </c>
      <c r="Z12" s="49">
        <v>50.7</v>
      </c>
      <c r="AA12" s="49">
        <v>50.3</v>
      </c>
      <c r="AB12" s="49">
        <v>50.5</v>
      </c>
      <c r="AC12" s="49">
        <v>50.5</v>
      </c>
      <c r="AD12" s="49">
        <v>50.3</v>
      </c>
      <c r="AE12" s="49">
        <v>50.5</v>
      </c>
      <c r="AF12" s="49">
        <v>50.5</v>
      </c>
      <c r="AG12" s="57">
        <v>50</v>
      </c>
      <c r="AH12" s="52">
        <f t="shared" ref="AH12:AH77" si="2">MAX(B12:AF12)</f>
        <v>50.7</v>
      </c>
      <c r="AI12" s="53">
        <f t="shared" ref="AI12:AI77" si="3">MIN(B12:AF12)</f>
        <v>50.3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43.5</v>
      </c>
      <c r="C13" s="56">
        <v>43.3</v>
      </c>
      <c r="D13" s="56">
        <v>43</v>
      </c>
      <c r="E13" s="56">
        <v>42.2</v>
      </c>
      <c r="F13" s="56">
        <v>42.1</v>
      </c>
      <c r="G13" s="56">
        <v>42.1</v>
      </c>
      <c r="H13" s="56">
        <v>41.7</v>
      </c>
      <c r="I13" s="56">
        <v>41.7</v>
      </c>
      <c r="J13" s="56">
        <v>41.7</v>
      </c>
      <c r="K13" s="56">
        <v>41.7</v>
      </c>
      <c r="L13" s="49">
        <v>41.3</v>
      </c>
      <c r="M13" s="49">
        <v>41.3</v>
      </c>
      <c r="N13" s="49">
        <v>40.6</v>
      </c>
      <c r="O13" s="49">
        <v>39.6</v>
      </c>
      <c r="P13" s="49">
        <v>39.5</v>
      </c>
      <c r="Q13" s="49">
        <v>38.700000000000003</v>
      </c>
      <c r="R13" s="49">
        <v>38.1</v>
      </c>
      <c r="S13" s="49">
        <v>38.200000000000003</v>
      </c>
      <c r="T13" s="49">
        <v>39.5</v>
      </c>
      <c r="U13" s="49">
        <v>41</v>
      </c>
      <c r="V13" s="49">
        <v>41.8</v>
      </c>
      <c r="W13" s="49">
        <v>41.1</v>
      </c>
      <c r="X13" s="49">
        <v>41.1</v>
      </c>
      <c r="Y13" s="49">
        <v>42.3</v>
      </c>
      <c r="Z13" s="49">
        <v>42.3</v>
      </c>
      <c r="AA13" s="49">
        <v>43.2</v>
      </c>
      <c r="AB13" s="49">
        <v>43.5</v>
      </c>
      <c r="AC13" s="49">
        <v>43.3</v>
      </c>
      <c r="AD13" s="49">
        <v>45.1</v>
      </c>
      <c r="AE13" s="49">
        <v>44.6</v>
      </c>
      <c r="AF13" s="49">
        <v>44.9</v>
      </c>
      <c r="AG13" s="59">
        <v>45</v>
      </c>
      <c r="AH13" s="52">
        <f t="shared" si="2"/>
        <v>45.1</v>
      </c>
      <c r="AI13" s="53">
        <f t="shared" si="3"/>
        <v>38.1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49">
        <v>17</v>
      </c>
      <c r="C14" s="49">
        <v>17</v>
      </c>
      <c r="D14" s="49">
        <v>17</v>
      </c>
      <c r="E14" s="49">
        <v>17</v>
      </c>
      <c r="F14" s="49">
        <v>17</v>
      </c>
      <c r="G14" s="49">
        <v>17</v>
      </c>
      <c r="H14" s="49">
        <v>17</v>
      </c>
      <c r="I14" s="49">
        <v>17</v>
      </c>
      <c r="J14" s="49">
        <v>17</v>
      </c>
      <c r="K14" s="49">
        <v>17</v>
      </c>
      <c r="L14" s="49">
        <v>17</v>
      </c>
      <c r="M14" s="49">
        <v>17</v>
      </c>
      <c r="N14" s="49">
        <v>17</v>
      </c>
      <c r="O14" s="49">
        <v>17</v>
      </c>
      <c r="P14" s="49">
        <v>17</v>
      </c>
      <c r="Q14" s="49">
        <v>17</v>
      </c>
      <c r="R14" s="49">
        <v>17</v>
      </c>
      <c r="S14" s="49">
        <v>17</v>
      </c>
      <c r="T14" s="49">
        <v>17</v>
      </c>
      <c r="U14" s="49">
        <v>17</v>
      </c>
      <c r="V14" s="49">
        <v>17</v>
      </c>
      <c r="W14" s="49">
        <v>17</v>
      </c>
      <c r="X14" s="49">
        <v>17</v>
      </c>
      <c r="Y14" s="49">
        <v>17</v>
      </c>
      <c r="Z14" s="49">
        <v>17</v>
      </c>
      <c r="AA14" s="49">
        <v>17</v>
      </c>
      <c r="AB14" s="49">
        <v>17</v>
      </c>
      <c r="AC14" s="49">
        <v>17</v>
      </c>
      <c r="AD14" s="49">
        <v>17</v>
      </c>
      <c r="AE14" s="49">
        <v>17</v>
      </c>
      <c r="AF14" s="49">
        <v>17</v>
      </c>
      <c r="AG14" s="59">
        <v>25</v>
      </c>
      <c r="AH14" s="52">
        <f t="shared" si="2"/>
        <v>17</v>
      </c>
      <c r="AI14" s="53">
        <f t="shared" si="3"/>
        <v>17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49">
        <v>24.8</v>
      </c>
      <c r="C15" s="49">
        <v>24.1</v>
      </c>
      <c r="D15" s="49">
        <v>23.1</v>
      </c>
      <c r="E15" s="49">
        <v>23.1</v>
      </c>
      <c r="F15" s="49">
        <v>23.1</v>
      </c>
      <c r="G15" s="49">
        <v>22</v>
      </c>
      <c r="H15" s="49">
        <v>21</v>
      </c>
      <c r="I15" s="49">
        <v>21.1</v>
      </c>
      <c r="J15" s="49">
        <v>21.1</v>
      </c>
      <c r="K15" s="49">
        <v>21.1</v>
      </c>
      <c r="L15" s="49">
        <v>16.7</v>
      </c>
      <c r="M15" s="49">
        <v>16.7</v>
      </c>
      <c r="N15" s="49">
        <v>19.7</v>
      </c>
      <c r="O15" s="49">
        <v>20.399999999999999</v>
      </c>
      <c r="P15" s="49">
        <v>21</v>
      </c>
      <c r="Q15" s="49">
        <v>20.5</v>
      </c>
      <c r="R15" s="49">
        <v>20.399999999999999</v>
      </c>
      <c r="S15" s="49">
        <v>20.8</v>
      </c>
      <c r="T15" s="49">
        <v>20.7</v>
      </c>
      <c r="U15" s="49">
        <v>19.399999999999999</v>
      </c>
      <c r="V15" s="49">
        <v>22.4</v>
      </c>
      <c r="W15" s="49">
        <v>22.5</v>
      </c>
      <c r="X15" s="49">
        <v>24.7</v>
      </c>
      <c r="Y15" s="49">
        <v>24.7</v>
      </c>
      <c r="Z15" s="49">
        <v>24.8</v>
      </c>
      <c r="AA15" s="49">
        <v>24.9</v>
      </c>
      <c r="AB15" s="49">
        <v>24.9</v>
      </c>
      <c r="AC15" s="49">
        <v>25</v>
      </c>
      <c r="AD15" s="49">
        <v>24.9</v>
      </c>
      <c r="AE15" s="49">
        <v>24.9</v>
      </c>
      <c r="AF15" s="49">
        <v>24.9</v>
      </c>
      <c r="AG15" s="59">
        <v>25</v>
      </c>
      <c r="AH15" s="52">
        <f t="shared" si="2"/>
        <v>25</v>
      </c>
      <c r="AI15" s="53">
        <f t="shared" si="3"/>
        <v>16.7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49">
        <v>6.2</v>
      </c>
      <c r="E16" s="49">
        <v>6.2</v>
      </c>
      <c r="F16" s="49">
        <v>6.2</v>
      </c>
      <c r="G16" s="49">
        <v>6.2</v>
      </c>
      <c r="H16" s="49">
        <v>6.2</v>
      </c>
      <c r="I16" s="49">
        <v>6.2</v>
      </c>
      <c r="J16" s="49">
        <v>6.2</v>
      </c>
      <c r="K16" s="49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22.9</v>
      </c>
      <c r="C17" s="49">
        <v>23</v>
      </c>
      <c r="D17" s="49">
        <v>22.9</v>
      </c>
      <c r="E17" s="49">
        <v>22.7</v>
      </c>
      <c r="F17" s="49">
        <v>22.7</v>
      </c>
      <c r="G17" s="49">
        <v>22.5</v>
      </c>
      <c r="H17" s="49">
        <v>22.7</v>
      </c>
      <c r="I17" s="49">
        <v>22.6</v>
      </c>
      <c r="J17" s="49">
        <v>22.9</v>
      </c>
      <c r="K17" s="49">
        <v>22.9</v>
      </c>
      <c r="L17" s="49">
        <v>22.6</v>
      </c>
      <c r="M17" s="49">
        <v>22.6</v>
      </c>
      <c r="N17" s="49">
        <v>22.3</v>
      </c>
      <c r="O17" s="49">
        <v>22.5</v>
      </c>
      <c r="P17" s="49">
        <v>22.9</v>
      </c>
      <c r="Q17" s="49">
        <v>22</v>
      </c>
      <c r="R17" s="49">
        <v>22.8</v>
      </c>
      <c r="S17" s="49">
        <v>22.8</v>
      </c>
      <c r="T17" s="49">
        <v>22.7</v>
      </c>
      <c r="U17" s="49">
        <v>22.4</v>
      </c>
      <c r="V17" s="49">
        <v>22.6</v>
      </c>
      <c r="W17" s="49">
        <v>22.6</v>
      </c>
      <c r="X17" s="49">
        <v>22.9</v>
      </c>
      <c r="Y17" s="49">
        <v>22.8</v>
      </c>
      <c r="Z17" s="49">
        <v>22.6</v>
      </c>
      <c r="AA17" s="49">
        <v>22.6</v>
      </c>
      <c r="AB17" s="49">
        <v>22.8</v>
      </c>
      <c r="AC17" s="49">
        <v>22.9</v>
      </c>
      <c r="AD17" s="49">
        <v>22.9</v>
      </c>
      <c r="AE17" s="49">
        <v>22.9</v>
      </c>
      <c r="AF17" s="49">
        <v>23</v>
      </c>
      <c r="AG17" s="59">
        <v>22.1</v>
      </c>
      <c r="AH17" s="52">
        <f t="shared" si="2"/>
        <v>23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49">
        <v>5</v>
      </c>
      <c r="C18" s="49">
        <v>5</v>
      </c>
      <c r="D18" s="49">
        <v>5</v>
      </c>
      <c r="E18" s="49">
        <v>5</v>
      </c>
      <c r="F18" s="49">
        <v>5</v>
      </c>
      <c r="G18" s="49">
        <v>5</v>
      </c>
      <c r="H18" s="49">
        <v>5</v>
      </c>
      <c r="I18" s="49">
        <v>5</v>
      </c>
      <c r="J18" s="49">
        <v>5</v>
      </c>
      <c r="K18" s="49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11.8</v>
      </c>
      <c r="C19" s="49">
        <v>11</v>
      </c>
      <c r="D19" s="49">
        <v>11.1</v>
      </c>
      <c r="E19" s="49">
        <v>11</v>
      </c>
      <c r="F19" s="49">
        <v>11</v>
      </c>
      <c r="G19" s="49">
        <v>11.1</v>
      </c>
      <c r="H19" s="49">
        <v>11.1</v>
      </c>
      <c r="I19" s="49">
        <v>11.1</v>
      </c>
      <c r="J19" s="49">
        <v>11.55</v>
      </c>
      <c r="K19" s="49">
        <v>11.55</v>
      </c>
      <c r="L19" s="49">
        <v>11.5</v>
      </c>
      <c r="M19" s="49">
        <v>11.5</v>
      </c>
      <c r="N19" s="49">
        <v>10.199999999999999</v>
      </c>
      <c r="O19" s="49">
        <v>9</v>
      </c>
      <c r="P19" s="49">
        <v>8.6999999999999993</v>
      </c>
      <c r="Q19" s="49">
        <v>8.3000000000000007</v>
      </c>
      <c r="R19" s="49">
        <v>8.3000000000000007</v>
      </c>
      <c r="S19" s="49">
        <v>8.3000000000000007</v>
      </c>
      <c r="T19" s="49">
        <v>8.1999999999999993</v>
      </c>
      <c r="U19" s="49">
        <v>8.9</v>
      </c>
      <c r="V19" s="49">
        <v>9.1999999999999993</v>
      </c>
      <c r="W19" s="49">
        <v>10</v>
      </c>
      <c r="X19" s="49">
        <v>10.4</v>
      </c>
      <c r="Y19" s="49">
        <v>11.1</v>
      </c>
      <c r="Z19" s="49">
        <v>11.1</v>
      </c>
      <c r="AA19" s="49">
        <v>11.5</v>
      </c>
      <c r="AB19" s="49">
        <v>12.8</v>
      </c>
      <c r="AC19" s="49">
        <v>12.7</v>
      </c>
      <c r="AD19" s="49">
        <v>12.7</v>
      </c>
      <c r="AE19" s="49">
        <v>11.8</v>
      </c>
      <c r="AF19" s="49">
        <v>11</v>
      </c>
      <c r="AG19" s="59">
        <v>22</v>
      </c>
      <c r="AH19" s="52">
        <f t="shared" si="2"/>
        <v>12.8</v>
      </c>
      <c r="AI19" s="53">
        <f t="shared" si="3"/>
        <v>8.1999999999999993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8.5</v>
      </c>
      <c r="C20" s="56">
        <v>8.5</v>
      </c>
      <c r="D20" s="56">
        <v>8.5</v>
      </c>
      <c r="E20" s="56">
        <v>8.5</v>
      </c>
      <c r="F20" s="56">
        <v>8.5</v>
      </c>
      <c r="G20" s="56">
        <v>8.5</v>
      </c>
      <c r="H20" s="56">
        <v>8.5</v>
      </c>
      <c r="I20" s="56">
        <v>8.5</v>
      </c>
      <c r="J20" s="56">
        <v>8.5</v>
      </c>
      <c r="K20" s="56">
        <v>8.5</v>
      </c>
      <c r="L20" s="49">
        <v>8.5</v>
      </c>
      <c r="M20" s="49">
        <v>8.5</v>
      </c>
      <c r="N20" s="49">
        <v>8.5</v>
      </c>
      <c r="O20" s="49">
        <v>8.5</v>
      </c>
      <c r="P20" s="49">
        <v>8.5</v>
      </c>
      <c r="Q20" s="49">
        <v>8.5</v>
      </c>
      <c r="R20" s="49">
        <v>8.5</v>
      </c>
      <c r="S20" s="49">
        <v>8.5</v>
      </c>
      <c r="T20" s="49">
        <v>8.5</v>
      </c>
      <c r="U20" s="49">
        <v>8.5</v>
      </c>
      <c r="V20" s="49">
        <v>8.5</v>
      </c>
      <c r="W20" s="49">
        <v>8.5</v>
      </c>
      <c r="X20" s="49">
        <v>8.5</v>
      </c>
      <c r="Y20" s="49">
        <v>8.5</v>
      </c>
      <c r="Z20" s="49">
        <v>8.5</v>
      </c>
      <c r="AA20" s="49">
        <v>8.5</v>
      </c>
      <c r="AB20" s="49">
        <v>8.5</v>
      </c>
      <c r="AC20" s="49">
        <v>8.5</v>
      </c>
      <c r="AD20" s="49">
        <v>8.5</v>
      </c>
      <c r="AE20" s="49">
        <v>8.5</v>
      </c>
      <c r="AF20" s="49">
        <v>8.5</v>
      </c>
      <c r="AG20" s="59">
        <v>22</v>
      </c>
      <c r="AH20" s="52">
        <f t="shared" si="2"/>
        <v>8.5</v>
      </c>
      <c r="AI20" s="53">
        <f t="shared" si="3"/>
        <v>8.5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56">
        <v>5</v>
      </c>
      <c r="S22" s="56">
        <v>5</v>
      </c>
      <c r="T22" s="56">
        <v>5</v>
      </c>
      <c r="U22" s="56">
        <v>5</v>
      </c>
      <c r="V22" s="56">
        <v>5</v>
      </c>
      <c r="W22" s="56">
        <v>5</v>
      </c>
      <c r="X22" s="56">
        <v>5</v>
      </c>
      <c r="Y22" s="56">
        <v>5</v>
      </c>
      <c r="Z22" s="56">
        <v>5</v>
      </c>
      <c r="AA22" s="49">
        <v>5</v>
      </c>
      <c r="AB22" s="49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10.5</v>
      </c>
      <c r="C23" s="56">
        <v>10.5</v>
      </c>
      <c r="D23" s="56">
        <v>10.5</v>
      </c>
      <c r="E23" s="56">
        <v>10.5</v>
      </c>
      <c r="F23" s="56">
        <v>10.5</v>
      </c>
      <c r="G23" s="56">
        <v>10.5</v>
      </c>
      <c r="H23" s="56">
        <v>10.5</v>
      </c>
      <c r="I23" s="56">
        <v>10.5</v>
      </c>
      <c r="J23" s="56">
        <v>10.5</v>
      </c>
      <c r="K23" s="56">
        <v>10.5</v>
      </c>
      <c r="L23" s="56">
        <v>10.5</v>
      </c>
      <c r="M23" s="56">
        <v>10.5</v>
      </c>
      <c r="N23" s="56">
        <v>10.5</v>
      </c>
      <c r="O23" s="56">
        <v>10.5</v>
      </c>
      <c r="P23" s="56">
        <v>10.5</v>
      </c>
      <c r="Q23" s="56">
        <v>10.5</v>
      </c>
      <c r="R23" s="56">
        <v>10.5</v>
      </c>
      <c r="S23" s="56">
        <v>10.5</v>
      </c>
      <c r="T23" s="56">
        <v>10.5</v>
      </c>
      <c r="U23" s="56">
        <v>10.5</v>
      </c>
      <c r="V23" s="56">
        <v>10.5</v>
      </c>
      <c r="W23" s="56">
        <v>10.5</v>
      </c>
      <c r="X23" s="56">
        <v>10.5</v>
      </c>
      <c r="Y23" s="56">
        <v>10.5</v>
      </c>
      <c r="Z23" s="56">
        <v>10.5</v>
      </c>
      <c r="AA23" s="49">
        <v>10.5</v>
      </c>
      <c r="AB23" s="49">
        <v>10.5</v>
      </c>
      <c r="AC23" s="49">
        <v>10.5</v>
      </c>
      <c r="AD23" s="49">
        <v>10.5</v>
      </c>
      <c r="AE23" s="49">
        <v>10.5</v>
      </c>
      <c r="AF23" s="49">
        <v>10.5</v>
      </c>
      <c r="AG23" s="59">
        <v>13</v>
      </c>
      <c r="AH23" s="52">
        <f t="shared" si="2"/>
        <v>10.5</v>
      </c>
      <c r="AI23" s="53">
        <f t="shared" si="3"/>
        <v>10.5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4.4000000000000004</v>
      </c>
      <c r="C24" s="56">
        <v>4.4000000000000004</v>
      </c>
      <c r="D24" s="56">
        <v>4.4000000000000004</v>
      </c>
      <c r="E24" s="56">
        <v>4.4000000000000004</v>
      </c>
      <c r="F24" s="56">
        <v>4.4000000000000004</v>
      </c>
      <c r="G24" s="56">
        <v>4.4000000000000004</v>
      </c>
      <c r="H24" s="56">
        <v>4.4000000000000004</v>
      </c>
      <c r="I24" s="56">
        <v>4.4000000000000004</v>
      </c>
      <c r="J24" s="56">
        <v>4.4000000000000004</v>
      </c>
      <c r="K24" s="56">
        <v>4.4000000000000004</v>
      </c>
      <c r="L24" s="56">
        <v>4.4000000000000004</v>
      </c>
      <c r="M24" s="56">
        <v>4.4000000000000004</v>
      </c>
      <c r="N24" s="56">
        <v>4.4000000000000004</v>
      </c>
      <c r="O24" s="56">
        <v>4.4000000000000004</v>
      </c>
      <c r="P24" s="56">
        <v>4.4000000000000004</v>
      </c>
      <c r="Q24" s="56">
        <v>4.4000000000000004</v>
      </c>
      <c r="R24" s="56">
        <v>4.4000000000000004</v>
      </c>
      <c r="S24" s="56">
        <v>4.4000000000000004</v>
      </c>
      <c r="T24" s="56">
        <v>4.4000000000000004</v>
      </c>
      <c r="U24" s="56">
        <v>4.4000000000000004</v>
      </c>
      <c r="V24" s="56">
        <v>4.4000000000000004</v>
      </c>
      <c r="W24" s="56">
        <v>4.4000000000000004</v>
      </c>
      <c r="X24" s="56">
        <v>4.4000000000000004</v>
      </c>
      <c r="Y24" s="56">
        <v>4.4000000000000004</v>
      </c>
      <c r="Z24" s="56">
        <v>4.4000000000000004</v>
      </c>
      <c r="AA24" s="49">
        <v>4.4000000000000004</v>
      </c>
      <c r="AB24" s="49">
        <v>4.4000000000000004</v>
      </c>
      <c r="AC24" s="49">
        <v>4.4000000000000004</v>
      </c>
      <c r="AD24" s="49">
        <v>4.4000000000000004</v>
      </c>
      <c r="AE24" s="49">
        <v>4.4000000000000004</v>
      </c>
      <c r="AF24" s="49">
        <v>4.4000000000000004</v>
      </c>
      <c r="AG24" s="59">
        <v>12</v>
      </c>
      <c r="AH24" s="52">
        <f t="shared" si="2"/>
        <v>4.4000000000000004</v>
      </c>
      <c r="AI24" s="53">
        <f t="shared" si="3"/>
        <v>4.4000000000000004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150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150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>
        <v>70.7</v>
      </c>
      <c r="C29" s="56">
        <v>78.599999999999994</v>
      </c>
      <c r="D29" s="56">
        <v>76.5</v>
      </c>
      <c r="E29" s="56">
        <v>80.400000000000006</v>
      </c>
      <c r="F29" s="56">
        <v>69.8</v>
      </c>
      <c r="G29" s="56">
        <v>76.7</v>
      </c>
      <c r="H29" s="56">
        <v>71.3</v>
      </c>
      <c r="I29" s="56">
        <v>76.400000000000006</v>
      </c>
      <c r="J29" s="56">
        <v>73.8</v>
      </c>
      <c r="K29" s="56">
        <v>51</v>
      </c>
      <c r="L29" s="67">
        <v>81.7</v>
      </c>
      <c r="M29" s="67">
        <v>79</v>
      </c>
      <c r="N29" s="67">
        <v>79.099999999999994</v>
      </c>
      <c r="O29" s="67">
        <v>77.099999999999994</v>
      </c>
      <c r="P29" s="67">
        <v>80.3</v>
      </c>
      <c r="Q29" s="67">
        <v>79.400000000000006</v>
      </c>
      <c r="R29" s="67">
        <v>77.900000000000006</v>
      </c>
      <c r="S29" s="67">
        <v>75.2</v>
      </c>
      <c r="T29" s="67">
        <v>74.8</v>
      </c>
      <c r="U29" s="67">
        <v>79.2</v>
      </c>
      <c r="V29" s="67">
        <v>76.900000000000006</v>
      </c>
      <c r="W29" s="67">
        <v>78</v>
      </c>
      <c r="X29" s="67">
        <v>78.7</v>
      </c>
      <c r="Y29" s="67">
        <v>78.7</v>
      </c>
      <c r="Z29" s="67">
        <v>74.3</v>
      </c>
      <c r="AA29" s="67">
        <v>77.400000000000006</v>
      </c>
      <c r="AB29" s="67">
        <v>78.5</v>
      </c>
      <c r="AC29" s="67">
        <v>78.5</v>
      </c>
      <c r="AD29" s="56">
        <v>81.400000000000006</v>
      </c>
      <c r="AE29" s="56">
        <v>84.7</v>
      </c>
      <c r="AF29" s="56">
        <v>86.4</v>
      </c>
      <c r="AG29" s="59">
        <v>240</v>
      </c>
      <c r="AH29" s="52">
        <f t="shared" si="2"/>
        <v>86.4</v>
      </c>
      <c r="AI29" s="53">
        <f t="shared" si="3"/>
        <v>51</v>
      </c>
      <c r="AK29" s="54"/>
      <c r="AM29" t="s">
        <v>202</v>
      </c>
    </row>
    <row r="30" spans="1:88" ht="15.75" thickBot="1" x14ac:dyDescent="0.3">
      <c r="A30" s="68" t="s">
        <v>37</v>
      </c>
      <c r="B30" s="69">
        <f t="shared" ref="B30:AF30" si="4">SUM(B11:B28)</f>
        <v>411.3</v>
      </c>
      <c r="C30" s="69">
        <f t="shared" si="4"/>
        <v>408.59999999999997</v>
      </c>
      <c r="D30" s="69">
        <f t="shared" si="4"/>
        <v>407.29999999999995</v>
      </c>
      <c r="E30" s="69">
        <f t="shared" si="4"/>
        <v>405.4</v>
      </c>
      <c r="F30" s="69">
        <f t="shared" si="4"/>
        <v>407.4</v>
      </c>
      <c r="G30" s="69">
        <f t="shared" si="4"/>
        <v>406.2</v>
      </c>
      <c r="H30" s="69">
        <f t="shared" si="4"/>
        <v>405.99999999999994</v>
      </c>
      <c r="I30" s="69">
        <f t="shared" si="4"/>
        <v>405.99999999999994</v>
      </c>
      <c r="J30" s="69">
        <f t="shared" si="4"/>
        <v>406.45000000000005</v>
      </c>
      <c r="K30" s="69">
        <f t="shared" si="4"/>
        <v>406.45000000000005</v>
      </c>
      <c r="L30" s="69">
        <f t="shared" si="4"/>
        <v>402.09999999999997</v>
      </c>
      <c r="M30" s="69">
        <f t="shared" si="4"/>
        <v>402.09999999999997</v>
      </c>
      <c r="N30" s="69">
        <f t="shared" si="4"/>
        <v>403.4</v>
      </c>
      <c r="O30" s="69">
        <f t="shared" si="4"/>
        <v>401.5</v>
      </c>
      <c r="P30" s="69">
        <f t="shared" si="4"/>
        <v>402.59999999999997</v>
      </c>
      <c r="Q30" s="69">
        <f t="shared" si="4"/>
        <v>400.70000000000005</v>
      </c>
      <c r="R30" s="69">
        <f t="shared" si="4"/>
        <v>400</v>
      </c>
      <c r="S30" s="69">
        <f t="shared" si="4"/>
        <v>400.5</v>
      </c>
      <c r="T30" s="69">
        <f t="shared" si="4"/>
        <v>400.4</v>
      </c>
      <c r="U30" s="69">
        <f t="shared" si="4"/>
        <v>401.2</v>
      </c>
      <c r="V30" s="69">
        <f>SUM(V11:V28)</f>
        <v>405</v>
      </c>
      <c r="W30" s="69">
        <f t="shared" si="4"/>
        <v>405.2</v>
      </c>
      <c r="X30" s="69">
        <f t="shared" si="4"/>
        <v>405.29999999999995</v>
      </c>
      <c r="Y30" s="69">
        <f t="shared" si="4"/>
        <v>408</v>
      </c>
      <c r="Z30" s="69">
        <f t="shared" si="4"/>
        <v>411.29999999999995</v>
      </c>
      <c r="AA30" s="69">
        <f t="shared" si="4"/>
        <v>411.1</v>
      </c>
      <c r="AB30" s="69">
        <f t="shared" si="4"/>
        <v>412.1</v>
      </c>
      <c r="AC30" s="69">
        <f t="shared" si="4"/>
        <v>413.09999999999997</v>
      </c>
      <c r="AD30" s="69">
        <f t="shared" si="4"/>
        <v>413.79999999999995</v>
      </c>
      <c r="AE30" s="69">
        <f t="shared" si="4"/>
        <v>411.70000000000005</v>
      </c>
      <c r="AF30" s="69">
        <f t="shared" si="4"/>
        <v>409.9</v>
      </c>
      <c r="AG30" s="59">
        <f>SUM(AG11:AG29)</f>
        <v>729.2</v>
      </c>
      <c r="AH30" s="52">
        <f t="shared" si="2"/>
        <v>413.79999999999995</v>
      </c>
      <c r="AI30" s="53">
        <f t="shared" si="3"/>
        <v>400</v>
      </c>
      <c r="AK30" s="54"/>
    </row>
    <row r="31" spans="1:88" x14ac:dyDescent="0.25">
      <c r="A31" s="55" t="s">
        <v>38</v>
      </c>
      <c r="B31" s="48">
        <v>97</v>
      </c>
      <c r="C31" s="48">
        <v>97</v>
      </c>
      <c r="D31" s="56">
        <v>97</v>
      </c>
      <c r="E31" s="56">
        <v>96.9</v>
      </c>
      <c r="F31" s="56">
        <v>96.6</v>
      </c>
      <c r="G31" s="56">
        <v>96.9</v>
      </c>
      <c r="H31" s="56">
        <v>96.8</v>
      </c>
      <c r="I31" s="56">
        <v>96.5</v>
      </c>
      <c r="J31" s="56">
        <v>96.8</v>
      </c>
      <c r="K31" s="56">
        <v>96.8</v>
      </c>
      <c r="L31" s="49">
        <v>96.5</v>
      </c>
      <c r="M31" s="49">
        <v>97</v>
      </c>
      <c r="N31" s="49">
        <v>97.1</v>
      </c>
      <c r="O31" s="49">
        <v>96.9</v>
      </c>
      <c r="P31" s="49">
        <v>97.1</v>
      </c>
      <c r="Q31" s="49">
        <v>97</v>
      </c>
      <c r="R31" s="49">
        <v>97</v>
      </c>
      <c r="S31" s="49">
        <v>96.9</v>
      </c>
      <c r="T31" s="49">
        <v>96.8</v>
      </c>
      <c r="U31" s="49">
        <v>97.8</v>
      </c>
      <c r="V31" s="49">
        <v>96.9</v>
      </c>
      <c r="W31" s="49">
        <v>96.9</v>
      </c>
      <c r="X31" s="49">
        <v>96.9</v>
      </c>
      <c r="Y31" s="49">
        <v>97.3</v>
      </c>
      <c r="Z31" s="49">
        <v>96.8</v>
      </c>
      <c r="AA31" s="48">
        <v>97</v>
      </c>
      <c r="AB31" s="48">
        <v>131.69999999999999</v>
      </c>
      <c r="AC31" s="48">
        <v>96.9</v>
      </c>
      <c r="AD31" s="48">
        <v>96.8</v>
      </c>
      <c r="AE31" s="48">
        <v>96.9</v>
      </c>
      <c r="AF31" s="48">
        <v>96.9</v>
      </c>
      <c r="AG31" s="57">
        <v>144</v>
      </c>
      <c r="AH31" s="52">
        <f t="shared" si="2"/>
        <v>131.69999999999999</v>
      </c>
      <c r="AI31" s="53">
        <f t="shared" si="3"/>
        <v>96.5</v>
      </c>
      <c r="AK31" s="54"/>
    </row>
    <row r="32" spans="1:88" x14ac:dyDescent="0.25">
      <c r="A32" s="58" t="s">
        <v>39</v>
      </c>
      <c r="B32" s="56">
        <v>69.8</v>
      </c>
      <c r="C32" s="56">
        <v>69.8</v>
      </c>
      <c r="D32" s="56">
        <v>70.7</v>
      </c>
      <c r="E32" s="56">
        <v>71</v>
      </c>
      <c r="F32" s="56">
        <v>70.900000000000006</v>
      </c>
      <c r="G32" s="56">
        <v>70.900000000000006</v>
      </c>
      <c r="H32" s="56">
        <v>71.099999999999994</v>
      </c>
      <c r="I32" s="56">
        <v>71.099999999999994</v>
      </c>
      <c r="J32" s="56">
        <v>70.8</v>
      </c>
      <c r="K32" s="56">
        <v>70.8</v>
      </c>
      <c r="L32" s="70">
        <v>69.2</v>
      </c>
      <c r="M32" s="70">
        <v>68.8</v>
      </c>
      <c r="N32" s="70">
        <v>69.099999999999994</v>
      </c>
      <c r="O32" s="70">
        <v>70</v>
      </c>
      <c r="P32" s="70">
        <v>70</v>
      </c>
      <c r="Q32" s="70">
        <v>70.400000000000006</v>
      </c>
      <c r="R32" s="70">
        <v>69.8</v>
      </c>
      <c r="S32" s="70">
        <v>71</v>
      </c>
      <c r="T32" s="70">
        <v>70.5</v>
      </c>
      <c r="U32" s="70">
        <v>70.2</v>
      </c>
      <c r="V32" s="70">
        <v>50</v>
      </c>
      <c r="W32" s="70">
        <v>66.5</v>
      </c>
      <c r="X32" s="70">
        <v>65.599999999999994</v>
      </c>
      <c r="Y32" s="70">
        <v>70.599999999999994</v>
      </c>
      <c r="Z32" s="70">
        <v>71.3</v>
      </c>
      <c r="AA32" s="56">
        <v>71.8</v>
      </c>
      <c r="AB32" s="56">
        <v>72</v>
      </c>
      <c r="AC32" s="56">
        <v>71</v>
      </c>
      <c r="AD32" s="56">
        <v>69.7</v>
      </c>
      <c r="AE32" s="56">
        <v>70.7</v>
      </c>
      <c r="AF32" s="56">
        <v>70.099999999999994</v>
      </c>
      <c r="AG32" s="59">
        <v>70</v>
      </c>
      <c r="AH32" s="52">
        <f t="shared" si="2"/>
        <v>72</v>
      </c>
      <c r="AI32" s="53">
        <f t="shared" si="3"/>
        <v>50</v>
      </c>
      <c r="AK32" s="54"/>
    </row>
    <row r="33" spans="1:41" x14ac:dyDescent="0.25">
      <c r="A33" s="58" t="s">
        <v>40</v>
      </c>
      <c r="B33" s="56">
        <v>62.5</v>
      </c>
      <c r="C33" s="56">
        <v>62.5</v>
      </c>
      <c r="D33" s="56">
        <v>62.9</v>
      </c>
      <c r="E33" s="56">
        <v>62.6</v>
      </c>
      <c r="F33" s="56">
        <v>62.8</v>
      </c>
      <c r="G33" s="56">
        <v>62.8</v>
      </c>
      <c r="H33" s="56">
        <v>62.9</v>
      </c>
      <c r="I33" s="56">
        <v>63</v>
      </c>
      <c r="J33" s="56">
        <v>62.8</v>
      </c>
      <c r="K33" s="56">
        <v>62.8</v>
      </c>
      <c r="L33" s="70">
        <v>61.9</v>
      </c>
      <c r="M33" s="70">
        <v>61.6</v>
      </c>
      <c r="N33" s="70">
        <v>61.9</v>
      </c>
      <c r="O33" s="70">
        <v>63.2</v>
      </c>
      <c r="P33" s="70">
        <v>61.9</v>
      </c>
      <c r="Q33" s="70">
        <v>61.6</v>
      </c>
      <c r="R33" s="70">
        <v>61.2</v>
      </c>
      <c r="S33" s="70">
        <v>63.7</v>
      </c>
      <c r="T33" s="70">
        <v>62.6</v>
      </c>
      <c r="U33" s="70">
        <v>37.700000000000003</v>
      </c>
      <c r="V33" s="70">
        <v>45</v>
      </c>
      <c r="W33" s="70">
        <v>45.8</v>
      </c>
      <c r="X33" s="70">
        <v>53.7</v>
      </c>
      <c r="Y33" s="70">
        <v>62.6</v>
      </c>
      <c r="Z33" s="70">
        <v>61.7</v>
      </c>
      <c r="AA33" s="56">
        <v>62.2</v>
      </c>
      <c r="AB33" s="56">
        <v>62.8</v>
      </c>
      <c r="AC33" s="56">
        <v>62.6</v>
      </c>
      <c r="AD33" s="56">
        <v>63.1</v>
      </c>
      <c r="AE33" s="56">
        <v>62.9</v>
      </c>
      <c r="AF33" s="56">
        <v>62.6</v>
      </c>
      <c r="AG33" s="59">
        <v>69</v>
      </c>
      <c r="AH33" s="52">
        <f t="shared" si="2"/>
        <v>63.7</v>
      </c>
      <c r="AI33" s="53">
        <f t="shared" si="3"/>
        <v>37.700000000000003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28.7</v>
      </c>
      <c r="F34" s="56">
        <v>28.7</v>
      </c>
      <c r="G34" s="56">
        <v>28.5</v>
      </c>
      <c r="H34" s="56">
        <v>28.5</v>
      </c>
      <c r="I34" s="56">
        <v>28.5</v>
      </c>
      <c r="J34" s="56">
        <v>28.2</v>
      </c>
      <c r="K34" s="56">
        <v>28.2</v>
      </c>
      <c r="L34" s="70">
        <v>28.2</v>
      </c>
      <c r="M34" s="70">
        <v>28.2</v>
      </c>
      <c r="N34" s="70">
        <v>28.5</v>
      </c>
      <c r="O34" s="70">
        <v>28.2</v>
      </c>
      <c r="P34" s="70">
        <v>28.2</v>
      </c>
      <c r="Q34" s="70">
        <v>28.2</v>
      </c>
      <c r="R34" s="70">
        <v>28.2</v>
      </c>
      <c r="S34" s="70">
        <v>28.5</v>
      </c>
      <c r="T34" s="70">
        <v>28.2</v>
      </c>
      <c r="U34" s="70">
        <v>28.2</v>
      </c>
      <c r="V34" s="70">
        <v>28.5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28.5</v>
      </c>
      <c r="AF34" s="56">
        <v>28.5</v>
      </c>
      <c r="AG34" s="59">
        <v>60</v>
      </c>
      <c r="AH34" s="52">
        <f t="shared" si="2"/>
        <v>28.7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29</v>
      </c>
      <c r="C35" s="56">
        <v>29</v>
      </c>
      <c r="D35" s="56">
        <v>20.6</v>
      </c>
      <c r="E35" s="56">
        <v>20</v>
      </c>
      <c r="F35" s="56">
        <v>10</v>
      </c>
      <c r="G35" s="56">
        <v>15.1</v>
      </c>
      <c r="H35" s="56">
        <v>15.1</v>
      </c>
      <c r="I35" s="56">
        <v>10</v>
      </c>
      <c r="J35" s="56">
        <v>10.7</v>
      </c>
      <c r="K35" s="56">
        <v>30</v>
      </c>
      <c r="L35" s="49">
        <v>30</v>
      </c>
      <c r="M35" s="49">
        <v>30</v>
      </c>
      <c r="N35" s="49">
        <v>28</v>
      </c>
      <c r="O35" s="49">
        <v>28</v>
      </c>
      <c r="P35" s="49">
        <v>28</v>
      </c>
      <c r="Q35" s="49">
        <v>20.7</v>
      </c>
      <c r="R35" s="49">
        <v>20.9</v>
      </c>
      <c r="S35" s="49">
        <v>20.7</v>
      </c>
      <c r="T35" s="49">
        <v>15</v>
      </c>
      <c r="U35" s="49">
        <v>15.1</v>
      </c>
      <c r="V35" s="70">
        <v>15</v>
      </c>
      <c r="W35" s="70">
        <v>15.1</v>
      </c>
      <c r="X35" s="70">
        <v>19.899999999999999</v>
      </c>
      <c r="Y35" s="70">
        <v>19.600000000000001</v>
      </c>
      <c r="Z35" s="70">
        <v>20</v>
      </c>
      <c r="AA35" s="56">
        <v>30</v>
      </c>
      <c r="AB35" s="56">
        <v>30</v>
      </c>
      <c r="AC35" s="56">
        <v>29.2</v>
      </c>
      <c r="AD35" s="56">
        <v>28.7</v>
      </c>
      <c r="AE35" s="56">
        <v>23</v>
      </c>
      <c r="AF35" s="56">
        <v>20</v>
      </c>
      <c r="AG35" s="59">
        <v>30</v>
      </c>
      <c r="AH35" s="52">
        <f t="shared" si="2"/>
        <v>30</v>
      </c>
      <c r="AI35" s="53">
        <f t="shared" si="3"/>
        <v>10</v>
      </c>
      <c r="AK35" s="54"/>
    </row>
    <row r="36" spans="1:41" x14ac:dyDescent="0.25">
      <c r="A36" s="58" t="s">
        <v>43</v>
      </c>
      <c r="B36" s="56">
        <v>16.8</v>
      </c>
      <c r="C36" s="56">
        <v>16.8</v>
      </c>
      <c r="D36" s="56">
        <v>16.7</v>
      </c>
      <c r="E36" s="56">
        <v>16.7</v>
      </c>
      <c r="F36" s="56">
        <v>16.7</v>
      </c>
      <c r="G36" s="56">
        <v>16.899999999999999</v>
      </c>
      <c r="H36" s="71">
        <v>16.899999999999999</v>
      </c>
      <c r="I36" s="71">
        <v>16.8</v>
      </c>
      <c r="J36" s="71">
        <v>16.899999999999999</v>
      </c>
      <c r="K36" s="71">
        <v>16.899999999999999</v>
      </c>
      <c r="L36" s="49">
        <v>16.899999999999999</v>
      </c>
      <c r="M36" s="49">
        <v>16.899999999999999</v>
      </c>
      <c r="N36" s="49">
        <v>16.8</v>
      </c>
      <c r="O36" s="49">
        <v>16.8</v>
      </c>
      <c r="P36" s="49">
        <v>16.7</v>
      </c>
      <c r="Q36" s="49">
        <v>16.8</v>
      </c>
      <c r="R36" s="49">
        <v>14.2</v>
      </c>
      <c r="S36" s="49">
        <v>16.600000000000001</v>
      </c>
      <c r="T36" s="49">
        <v>11.5</v>
      </c>
      <c r="U36" s="49">
        <v>16.600000000000001</v>
      </c>
      <c r="V36" s="49">
        <v>16.5</v>
      </c>
      <c r="W36" s="49">
        <v>16.600000000000001</v>
      </c>
      <c r="X36" s="49">
        <v>16.5</v>
      </c>
      <c r="Y36" s="49">
        <v>16.5</v>
      </c>
      <c r="Z36" s="49">
        <v>16.7</v>
      </c>
      <c r="AA36" s="56">
        <v>16.5</v>
      </c>
      <c r="AB36" s="56">
        <v>16.5</v>
      </c>
      <c r="AC36" s="56">
        <v>16.5</v>
      </c>
      <c r="AD36" s="56">
        <v>16.5</v>
      </c>
      <c r="AE36" s="56">
        <v>16.5</v>
      </c>
      <c r="AF36" s="56">
        <v>16.5</v>
      </c>
      <c r="AG36" s="59">
        <v>24</v>
      </c>
      <c r="AH36" s="52">
        <f t="shared" si="2"/>
        <v>16.899999999999999</v>
      </c>
      <c r="AI36" s="53">
        <f t="shared" si="3"/>
        <v>11.5</v>
      </c>
      <c r="AK36" s="54"/>
    </row>
    <row r="37" spans="1:41" x14ac:dyDescent="0.25">
      <c r="A37" s="58" t="s">
        <v>44</v>
      </c>
      <c r="B37" s="56">
        <v>2.1</v>
      </c>
      <c r="C37" s="56">
        <v>2</v>
      </c>
      <c r="D37" s="56">
        <v>2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2.2999999999999998</v>
      </c>
      <c r="V37" s="49">
        <v>2.2999999999999998</v>
      </c>
      <c r="W37" s="49">
        <v>2.2999999999999998</v>
      </c>
      <c r="X37" s="49">
        <v>2.2999999999999998</v>
      </c>
      <c r="Y37" s="49">
        <v>2.2999999999999998</v>
      </c>
      <c r="Z37" s="49">
        <v>2.2999999999999998</v>
      </c>
      <c r="AA37" s="49">
        <v>2.2999999999999998</v>
      </c>
      <c r="AB37" s="49">
        <v>2.2999999999999998</v>
      </c>
      <c r="AC37" s="49">
        <v>2.2999999999999998</v>
      </c>
      <c r="AD37" s="49">
        <v>2.2999999999999998</v>
      </c>
      <c r="AE37" s="49">
        <v>2.2999999999999998</v>
      </c>
      <c r="AF37" s="49">
        <v>2.2999999999999998</v>
      </c>
      <c r="AG37" s="59">
        <v>15</v>
      </c>
      <c r="AH37" s="52">
        <f t="shared" si="2"/>
        <v>2.2999999999999998</v>
      </c>
      <c r="AI37" s="53">
        <f t="shared" si="3"/>
        <v>0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49">
        <v>10</v>
      </c>
      <c r="AB38" s="49">
        <v>10</v>
      </c>
      <c r="AC38" s="49">
        <v>10</v>
      </c>
      <c r="AD38" s="49">
        <v>10</v>
      </c>
      <c r="AE38" s="49">
        <v>10</v>
      </c>
      <c r="AF38" s="49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12</v>
      </c>
      <c r="C39" s="56">
        <v>10</v>
      </c>
      <c r="D39" s="56">
        <v>10</v>
      </c>
      <c r="E39" s="56">
        <v>10</v>
      </c>
      <c r="F39" s="56">
        <v>10</v>
      </c>
      <c r="G39" s="56">
        <v>10</v>
      </c>
      <c r="H39" s="56">
        <v>10</v>
      </c>
      <c r="I39" s="56">
        <v>10</v>
      </c>
      <c r="J39" s="56">
        <v>10</v>
      </c>
      <c r="K39" s="56">
        <v>10</v>
      </c>
      <c r="L39" s="49">
        <v>12</v>
      </c>
      <c r="M39" s="49">
        <v>12</v>
      </c>
      <c r="N39" s="49">
        <v>12</v>
      </c>
      <c r="O39" s="49">
        <v>12</v>
      </c>
      <c r="P39" s="49">
        <v>12</v>
      </c>
      <c r="Q39" s="49">
        <v>12</v>
      </c>
      <c r="R39" s="49">
        <v>12</v>
      </c>
      <c r="S39" s="49">
        <v>12</v>
      </c>
      <c r="T39" s="49">
        <v>12</v>
      </c>
      <c r="U39" s="49">
        <v>10</v>
      </c>
      <c r="V39" s="49">
        <v>12</v>
      </c>
      <c r="W39" s="49">
        <v>12</v>
      </c>
      <c r="X39" s="49">
        <v>12</v>
      </c>
      <c r="Y39" s="49">
        <v>12</v>
      </c>
      <c r="Z39" s="49">
        <v>12</v>
      </c>
      <c r="AA39" s="49">
        <v>12</v>
      </c>
      <c r="AB39" s="49">
        <v>12</v>
      </c>
      <c r="AC39" s="49">
        <v>12</v>
      </c>
      <c r="AD39" s="49">
        <v>12</v>
      </c>
      <c r="AE39" s="49">
        <v>12</v>
      </c>
      <c r="AF39" s="49">
        <v>12</v>
      </c>
      <c r="AG39" s="59">
        <v>14</v>
      </c>
      <c r="AH39" s="52">
        <f t="shared" si="2"/>
        <v>12</v>
      </c>
      <c r="AI39" s="53">
        <f t="shared" si="3"/>
        <v>10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8.1</v>
      </c>
      <c r="C40" s="56">
        <v>8.6</v>
      </c>
      <c r="D40" s="56">
        <v>8.6</v>
      </c>
      <c r="E40" s="56">
        <v>8.6</v>
      </c>
      <c r="F40" s="56">
        <v>8.6</v>
      </c>
      <c r="G40" s="56">
        <v>8.6</v>
      </c>
      <c r="H40" s="56">
        <v>8.6</v>
      </c>
      <c r="I40" s="56">
        <v>8.6</v>
      </c>
      <c r="J40" s="56">
        <v>8.6</v>
      </c>
      <c r="K40" s="56">
        <v>8.6</v>
      </c>
      <c r="L40" s="49">
        <v>8.8000000000000007</v>
      </c>
      <c r="M40" s="49">
        <v>8.8000000000000007</v>
      </c>
      <c r="N40" s="49">
        <v>8.8000000000000007</v>
      </c>
      <c r="O40" s="49">
        <v>8.8000000000000007</v>
      </c>
      <c r="P40" s="49">
        <v>8.1999999999999993</v>
      </c>
      <c r="Q40" s="49">
        <v>7</v>
      </c>
      <c r="R40" s="49">
        <v>6.6</v>
      </c>
      <c r="S40" s="49">
        <v>8.1999999999999993</v>
      </c>
      <c r="T40" s="49">
        <v>8.1999999999999993</v>
      </c>
      <c r="U40" s="49">
        <v>7.7</v>
      </c>
      <c r="V40" s="49">
        <v>7.7</v>
      </c>
      <c r="W40" s="49">
        <v>8.4</v>
      </c>
      <c r="X40" s="49">
        <v>8.3000000000000007</v>
      </c>
      <c r="Y40" s="49">
        <v>7.7</v>
      </c>
      <c r="Z40" s="49">
        <v>7.8</v>
      </c>
      <c r="AA40" s="49">
        <v>8.5</v>
      </c>
      <c r="AB40" s="49">
        <v>8.5</v>
      </c>
      <c r="AC40" s="49">
        <v>8.6</v>
      </c>
      <c r="AD40" s="49">
        <v>9.3000000000000007</v>
      </c>
      <c r="AE40" s="49">
        <v>8.9</v>
      </c>
      <c r="AF40" s="49">
        <v>9.1999999999999993</v>
      </c>
      <c r="AG40" s="59">
        <v>10.050000000000001</v>
      </c>
      <c r="AH40" s="52">
        <f t="shared" si="2"/>
        <v>9.3000000000000007</v>
      </c>
      <c r="AI40" s="53">
        <f t="shared" si="3"/>
        <v>6.6</v>
      </c>
      <c r="AK40" s="54"/>
    </row>
    <row r="41" spans="1:41" x14ac:dyDescent="0.2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56">
        <v>5</v>
      </c>
      <c r="M41" s="56">
        <v>5</v>
      </c>
      <c r="N41" s="56">
        <v>5</v>
      </c>
      <c r="O41" s="56">
        <v>5</v>
      </c>
      <c r="P41" s="56">
        <v>5</v>
      </c>
      <c r="Q41" s="56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49">
        <v>5</v>
      </c>
      <c r="AB41" s="49">
        <v>5</v>
      </c>
      <c r="AC41" s="49">
        <v>5</v>
      </c>
      <c r="AD41" s="49">
        <v>5</v>
      </c>
      <c r="AE41" s="49">
        <v>5</v>
      </c>
      <c r="AF41" s="49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73">
        <f t="shared" ref="B42:AF42" si="5">B179</f>
        <v>3.54</v>
      </c>
      <c r="C42" s="73">
        <f t="shared" si="5"/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344.54000000000008</v>
      </c>
      <c r="C43" s="69">
        <f t="shared" si="6"/>
        <v>342.94000000000005</v>
      </c>
      <c r="D43" s="69">
        <f t="shared" si="6"/>
        <v>335.74000000000007</v>
      </c>
      <c r="E43" s="69">
        <f t="shared" si="6"/>
        <v>333.04</v>
      </c>
      <c r="F43" s="69">
        <f t="shared" si="6"/>
        <v>322.84000000000003</v>
      </c>
      <c r="G43" s="69">
        <f t="shared" si="6"/>
        <v>328.24000000000007</v>
      </c>
      <c r="H43" s="69">
        <f t="shared" si="6"/>
        <v>328.44</v>
      </c>
      <c r="I43" s="69">
        <f t="shared" si="6"/>
        <v>323.04000000000008</v>
      </c>
      <c r="J43" s="69">
        <f t="shared" si="6"/>
        <v>323.33999999999997</v>
      </c>
      <c r="K43" s="69">
        <f t="shared" si="6"/>
        <v>342.64</v>
      </c>
      <c r="L43" s="69">
        <f t="shared" si="6"/>
        <v>342.03999999999996</v>
      </c>
      <c r="M43" s="69">
        <f t="shared" si="6"/>
        <v>341.84000000000003</v>
      </c>
      <c r="N43" s="69">
        <f t="shared" si="6"/>
        <v>340.74000000000007</v>
      </c>
      <c r="O43" s="69">
        <f t="shared" si="6"/>
        <v>342.44000000000005</v>
      </c>
      <c r="P43" s="69">
        <f t="shared" si="6"/>
        <v>340.64</v>
      </c>
      <c r="Q43" s="69">
        <f t="shared" si="6"/>
        <v>332.24</v>
      </c>
      <c r="R43" s="69">
        <f t="shared" si="6"/>
        <v>328.44</v>
      </c>
      <c r="S43" s="69">
        <f t="shared" si="6"/>
        <v>336.14000000000004</v>
      </c>
      <c r="T43" s="69">
        <f t="shared" si="6"/>
        <v>323.34000000000003</v>
      </c>
      <c r="U43" s="69">
        <f t="shared" si="6"/>
        <v>304.14</v>
      </c>
      <c r="V43" s="69">
        <f t="shared" si="6"/>
        <v>292.44000000000005</v>
      </c>
      <c r="W43" s="69">
        <f t="shared" si="6"/>
        <v>310.64</v>
      </c>
      <c r="X43" s="69">
        <f t="shared" si="6"/>
        <v>322.24</v>
      </c>
      <c r="Y43" s="69">
        <f t="shared" si="6"/>
        <v>335.64000000000004</v>
      </c>
      <c r="Z43" s="69">
        <f t="shared" si="6"/>
        <v>335.64000000000004</v>
      </c>
      <c r="AA43" s="69">
        <f t="shared" si="6"/>
        <v>347.34000000000003</v>
      </c>
      <c r="AB43" s="69">
        <f t="shared" si="6"/>
        <v>382.84000000000003</v>
      </c>
      <c r="AC43" s="69">
        <f t="shared" si="6"/>
        <v>346.14000000000004</v>
      </c>
      <c r="AD43" s="69">
        <f t="shared" si="6"/>
        <v>345.44000000000005</v>
      </c>
      <c r="AE43" s="69">
        <f t="shared" si="6"/>
        <v>340.24</v>
      </c>
      <c r="AF43" s="69">
        <f t="shared" si="6"/>
        <v>336.64000000000004</v>
      </c>
      <c r="AG43" s="74">
        <f>SUM(AG31:AG42)</f>
        <v>464.91</v>
      </c>
      <c r="AH43" s="52">
        <f t="shared" si="2"/>
        <v>382.84000000000003</v>
      </c>
      <c r="AI43" s="53">
        <f t="shared" si="3"/>
        <v>292.44000000000005</v>
      </c>
      <c r="AK43" s="54"/>
    </row>
    <row r="44" spans="1:41" x14ac:dyDescent="0.25">
      <c r="A44" s="55" t="s">
        <v>51</v>
      </c>
      <c r="B44" s="49">
        <v>55</v>
      </c>
      <c r="C44" s="56">
        <v>40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14.1</v>
      </c>
      <c r="J44" s="56">
        <v>10.199999999999999</v>
      </c>
      <c r="K44" s="56">
        <v>20</v>
      </c>
      <c r="L44" s="75">
        <v>30</v>
      </c>
      <c r="M44" s="75">
        <v>0</v>
      </c>
      <c r="N44" s="75">
        <v>14</v>
      </c>
      <c r="O44" s="75">
        <v>29.6</v>
      </c>
      <c r="P44" s="49">
        <v>29.6</v>
      </c>
      <c r="Q44" s="49">
        <v>29.6</v>
      </c>
      <c r="R44" s="49">
        <v>29.5</v>
      </c>
      <c r="S44" s="49">
        <v>0</v>
      </c>
      <c r="T44" s="49">
        <v>13.8</v>
      </c>
      <c r="U44" s="49">
        <v>0</v>
      </c>
      <c r="V44" s="49">
        <v>0</v>
      </c>
      <c r="W44" s="49">
        <v>0</v>
      </c>
      <c r="X44" s="49">
        <v>0</v>
      </c>
      <c r="Y44" s="49">
        <v>9.4</v>
      </c>
      <c r="Z44" s="49">
        <v>43.4</v>
      </c>
      <c r="AA44" s="49">
        <v>39.700000000000003</v>
      </c>
      <c r="AB44" s="49">
        <v>49.6</v>
      </c>
      <c r="AC44" s="49">
        <v>14.2</v>
      </c>
      <c r="AD44" s="49">
        <v>19.5</v>
      </c>
      <c r="AE44" s="49">
        <v>19.5</v>
      </c>
      <c r="AF44" s="49">
        <v>29.8</v>
      </c>
      <c r="AG44" s="57">
        <v>60</v>
      </c>
      <c r="AH44" s="52">
        <f t="shared" si="2"/>
        <v>55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22.4</v>
      </c>
      <c r="C45" s="56">
        <v>18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5.3</v>
      </c>
      <c r="J45" s="56">
        <v>5.9</v>
      </c>
      <c r="K45" s="56">
        <v>14</v>
      </c>
      <c r="L45" s="75">
        <v>16</v>
      </c>
      <c r="M45" s="75">
        <v>0</v>
      </c>
      <c r="N45" s="75">
        <v>6.2</v>
      </c>
      <c r="O45" s="75">
        <v>15.5</v>
      </c>
      <c r="P45" s="70">
        <v>15.8</v>
      </c>
      <c r="Q45" s="70">
        <v>15.9</v>
      </c>
      <c r="R45" s="49">
        <v>15.8</v>
      </c>
      <c r="S45" s="49">
        <v>0</v>
      </c>
      <c r="T45" s="49">
        <v>7</v>
      </c>
      <c r="U45" s="49">
        <v>4.5999999999999996</v>
      </c>
      <c r="V45" s="49">
        <v>0</v>
      </c>
      <c r="W45" s="49">
        <v>0</v>
      </c>
      <c r="X45" s="49">
        <v>0</v>
      </c>
      <c r="Y45" s="49">
        <v>4.3</v>
      </c>
      <c r="Z45" s="49">
        <v>14.7</v>
      </c>
      <c r="AA45" s="70">
        <v>18.7</v>
      </c>
      <c r="AB45" s="70">
        <v>19.7</v>
      </c>
      <c r="AC45" s="70">
        <v>6.9</v>
      </c>
      <c r="AD45" s="70">
        <v>9.5</v>
      </c>
      <c r="AE45" s="70">
        <v>9.6</v>
      </c>
      <c r="AF45" s="70">
        <v>12.5</v>
      </c>
      <c r="AG45" s="59">
        <v>32</v>
      </c>
      <c r="AH45" s="52">
        <f t="shared" si="2"/>
        <v>22.4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8.1999999999999993</v>
      </c>
      <c r="C46" s="71">
        <v>6.6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1.9</v>
      </c>
      <c r="J46" s="71">
        <v>2.2000000000000002</v>
      </c>
      <c r="K46" s="71">
        <v>5.0999999999999996</v>
      </c>
      <c r="L46" s="76">
        <v>5.8</v>
      </c>
      <c r="M46" s="76">
        <v>0</v>
      </c>
      <c r="N46" s="76">
        <v>2.2999999999999998</v>
      </c>
      <c r="O46" s="76">
        <v>5.7</v>
      </c>
      <c r="P46" s="77">
        <v>5.8</v>
      </c>
      <c r="Q46" s="77">
        <v>5.8</v>
      </c>
      <c r="R46" s="49">
        <v>5.8</v>
      </c>
      <c r="S46" s="49">
        <v>0</v>
      </c>
      <c r="T46" s="49">
        <v>2.5</v>
      </c>
      <c r="U46" s="49">
        <v>1.7</v>
      </c>
      <c r="V46" s="49">
        <v>0</v>
      </c>
      <c r="W46" s="49">
        <v>0</v>
      </c>
      <c r="X46" s="49">
        <v>0</v>
      </c>
      <c r="Y46" s="49">
        <v>1.6</v>
      </c>
      <c r="Z46" s="49">
        <v>5.4</v>
      </c>
      <c r="AA46" s="77">
        <v>6.8</v>
      </c>
      <c r="AB46" s="77">
        <v>7.2</v>
      </c>
      <c r="AC46" s="77">
        <v>2.5</v>
      </c>
      <c r="AD46" s="77">
        <v>3.5</v>
      </c>
      <c r="AE46" s="77">
        <v>3.5</v>
      </c>
      <c r="AF46" s="77">
        <v>5.7</v>
      </c>
      <c r="AG46" s="78">
        <v>14</v>
      </c>
      <c r="AH46" s="52">
        <f t="shared" si="2"/>
        <v>8.1999999999999993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85.600000000000009</v>
      </c>
      <c r="C47" s="69">
        <f t="shared" si="7"/>
        <v>64.599999999999994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21.299999999999997</v>
      </c>
      <c r="J47" s="69">
        <f t="shared" si="7"/>
        <v>18.3</v>
      </c>
      <c r="K47" s="69">
        <f t="shared" si="7"/>
        <v>39.1</v>
      </c>
      <c r="L47" s="69">
        <f t="shared" si="7"/>
        <v>51.8</v>
      </c>
      <c r="M47" s="69">
        <f t="shared" si="7"/>
        <v>0</v>
      </c>
      <c r="N47" s="69">
        <f t="shared" si="7"/>
        <v>22.5</v>
      </c>
      <c r="O47" s="69">
        <f t="shared" si="7"/>
        <v>50.800000000000004</v>
      </c>
      <c r="P47" s="69">
        <f t="shared" si="7"/>
        <v>51.2</v>
      </c>
      <c r="Q47" s="69">
        <f t="shared" si="7"/>
        <v>51.3</v>
      </c>
      <c r="R47" s="69">
        <f t="shared" si="7"/>
        <v>51.099999999999994</v>
      </c>
      <c r="S47" s="69">
        <f t="shared" si="7"/>
        <v>0</v>
      </c>
      <c r="T47" s="69">
        <f t="shared" si="7"/>
        <v>23.3</v>
      </c>
      <c r="U47" s="69">
        <f t="shared" si="7"/>
        <v>6.3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15.299999999999999</v>
      </c>
      <c r="Z47" s="69">
        <f t="shared" si="7"/>
        <v>63.499999999999993</v>
      </c>
      <c r="AA47" s="69">
        <f t="shared" si="7"/>
        <v>65.2</v>
      </c>
      <c r="AB47" s="69">
        <f t="shared" si="7"/>
        <v>76.5</v>
      </c>
      <c r="AC47" s="69">
        <f t="shared" si="7"/>
        <v>23.6</v>
      </c>
      <c r="AD47" s="69">
        <f t="shared" si="7"/>
        <v>32.5</v>
      </c>
      <c r="AE47" s="69">
        <f t="shared" si="7"/>
        <v>32.6</v>
      </c>
      <c r="AF47" s="69">
        <f t="shared" si="7"/>
        <v>48</v>
      </c>
      <c r="AG47" s="74">
        <f>SUM(AG44:AG46)</f>
        <v>106</v>
      </c>
      <c r="AH47" s="52">
        <f t="shared" si="2"/>
        <v>85.600000000000009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58</v>
      </c>
      <c r="C48" s="49">
        <v>59</v>
      </c>
      <c r="D48" s="49">
        <v>63</v>
      </c>
      <c r="E48" s="49">
        <v>64.599999999999994</v>
      </c>
      <c r="F48" s="49">
        <v>54.72</v>
      </c>
      <c r="G48" s="49">
        <v>60</v>
      </c>
      <c r="H48" s="49">
        <v>58.1</v>
      </c>
      <c r="I48" s="49">
        <v>58.65</v>
      </c>
      <c r="J48" s="49">
        <v>59.3</v>
      </c>
      <c r="K48" s="49">
        <v>57</v>
      </c>
      <c r="L48" s="49">
        <v>59.44</v>
      </c>
      <c r="M48" s="49">
        <v>66.2</v>
      </c>
      <c r="N48" s="49">
        <v>74.2</v>
      </c>
      <c r="O48" s="49">
        <v>69</v>
      </c>
      <c r="P48" s="49">
        <v>72.5</v>
      </c>
      <c r="Q48" s="49">
        <v>67.099999999999994</v>
      </c>
      <c r="R48" s="49">
        <v>67.3</v>
      </c>
      <c r="S48" s="49">
        <v>64.3</v>
      </c>
      <c r="T48" s="49">
        <v>66.849999999999994</v>
      </c>
      <c r="U48" s="49">
        <v>59.56</v>
      </c>
      <c r="V48" s="49">
        <v>61.52</v>
      </c>
      <c r="W48" s="49">
        <v>64.17</v>
      </c>
      <c r="X48" s="49">
        <v>57.6</v>
      </c>
      <c r="Y48" s="49">
        <v>55.86</v>
      </c>
      <c r="Z48" s="49">
        <v>65.17</v>
      </c>
      <c r="AA48" s="49">
        <v>74.37</v>
      </c>
      <c r="AB48" s="49">
        <v>73.099999999999994</v>
      </c>
      <c r="AC48" s="49">
        <v>73</v>
      </c>
      <c r="AD48" s="49">
        <v>68.89</v>
      </c>
      <c r="AE48" s="49">
        <v>74</v>
      </c>
      <c r="AF48" s="49">
        <v>73.97</v>
      </c>
      <c r="AG48" s="57"/>
      <c r="AH48" s="52">
        <f t="shared" si="2"/>
        <v>74.37</v>
      </c>
      <c r="AI48" s="53">
        <f t="shared" si="3"/>
        <v>54.72</v>
      </c>
      <c r="AK48" s="54"/>
    </row>
    <row r="49" spans="1:37" x14ac:dyDescent="0.25">
      <c r="A49" s="58" t="s">
        <v>56</v>
      </c>
      <c r="B49" s="70">
        <v>50</v>
      </c>
      <c r="C49" s="70">
        <v>47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37.4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34.4</v>
      </c>
      <c r="AA49" s="70">
        <v>32</v>
      </c>
      <c r="AB49" s="70">
        <v>31.8</v>
      </c>
      <c r="AC49" s="70">
        <v>31.1</v>
      </c>
      <c r="AD49" s="70">
        <v>46.9</v>
      </c>
      <c r="AE49" s="70">
        <v>44.8</v>
      </c>
      <c r="AF49" s="70">
        <v>72.5</v>
      </c>
      <c r="AG49" s="59"/>
      <c r="AH49" s="52">
        <f t="shared" si="2"/>
        <v>72.5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78</v>
      </c>
      <c r="C50" s="70">
        <v>96</v>
      </c>
      <c r="D50" s="70">
        <v>168</v>
      </c>
      <c r="E50" s="70">
        <v>171</v>
      </c>
      <c r="F50" s="70">
        <v>165</v>
      </c>
      <c r="G50" s="49">
        <v>125</v>
      </c>
      <c r="H50" s="49">
        <v>138</v>
      </c>
      <c r="I50" s="49">
        <v>142</v>
      </c>
      <c r="J50" s="49">
        <v>170</v>
      </c>
      <c r="K50" s="49">
        <v>191</v>
      </c>
      <c r="L50" s="70">
        <v>212</v>
      </c>
      <c r="M50" s="70">
        <v>300</v>
      </c>
      <c r="N50" s="70">
        <v>320</v>
      </c>
      <c r="O50" s="70">
        <v>282</v>
      </c>
      <c r="P50" s="70">
        <v>300</v>
      </c>
      <c r="Q50" s="70">
        <v>263</v>
      </c>
      <c r="R50" s="70">
        <v>240</v>
      </c>
      <c r="S50" s="70">
        <v>280</v>
      </c>
      <c r="T50" s="70">
        <v>276.5</v>
      </c>
      <c r="U50" s="80">
        <v>240</v>
      </c>
      <c r="V50" s="80">
        <v>260</v>
      </c>
      <c r="W50" s="80">
        <v>230</v>
      </c>
      <c r="X50" s="80">
        <v>268.3</v>
      </c>
      <c r="Y50" s="80">
        <v>224</v>
      </c>
      <c r="Z50" s="80">
        <v>284.5</v>
      </c>
      <c r="AA50" s="70">
        <v>273</v>
      </c>
      <c r="AB50" s="70">
        <v>250</v>
      </c>
      <c r="AC50" s="70">
        <v>284</v>
      </c>
      <c r="AD50" s="70">
        <v>180</v>
      </c>
      <c r="AE50" s="70">
        <v>160</v>
      </c>
      <c r="AF50" s="70">
        <v>105</v>
      </c>
      <c r="AG50" s="81"/>
      <c r="AH50" s="52">
        <f t="shared" si="2"/>
        <v>320</v>
      </c>
      <c r="AI50" s="53">
        <f t="shared" si="3"/>
        <v>78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82">
        <v>0</v>
      </c>
      <c r="N51" s="82">
        <v>0</v>
      </c>
      <c r="O51" s="82">
        <v>0</v>
      </c>
      <c r="P51" s="70">
        <v>0</v>
      </c>
      <c r="Q51" s="70">
        <v>20</v>
      </c>
      <c r="R51" s="70">
        <v>22</v>
      </c>
      <c r="S51" s="70">
        <v>22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22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70">
        <v>0</v>
      </c>
      <c r="Q52" s="70">
        <v>0</v>
      </c>
      <c r="R52" s="70">
        <v>0</v>
      </c>
      <c r="S52" s="70">
        <v>0</v>
      </c>
      <c r="T52" s="70">
        <v>0</v>
      </c>
      <c r="U52" s="70">
        <v>0</v>
      </c>
      <c r="V52" s="70">
        <v>0</v>
      </c>
      <c r="W52" s="70">
        <v>0</v>
      </c>
      <c r="X52" s="70">
        <v>0</v>
      </c>
      <c r="Y52" s="70">
        <v>0</v>
      </c>
      <c r="Z52" s="70">
        <v>0</v>
      </c>
      <c r="AA52" s="82">
        <v>0</v>
      </c>
      <c r="AB52" s="82">
        <v>0</v>
      </c>
      <c r="AC52" s="82">
        <v>0</v>
      </c>
      <c r="AD52" s="82">
        <v>0</v>
      </c>
      <c r="AE52" s="82">
        <v>0</v>
      </c>
      <c r="AF52" s="82">
        <v>0</v>
      </c>
      <c r="AG52" s="81"/>
      <c r="AH52" s="52">
        <f t="shared" ref="AH52:AH58" si="8">MAX(B52:AF52)</f>
        <v>0</v>
      </c>
      <c r="AI52" s="53">
        <f t="shared" ref="AI52:AI58" si="9">MIN(B52:AF52)</f>
        <v>0</v>
      </c>
      <c r="AK52" s="54"/>
    </row>
    <row r="53" spans="1:37" x14ac:dyDescent="0.25">
      <c r="A53" s="58" t="s">
        <v>60</v>
      </c>
      <c r="B53" s="83">
        <v>7.5</v>
      </c>
      <c r="C53" s="70">
        <v>7</v>
      </c>
      <c r="D53" s="70">
        <v>6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0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1"/>
      <c r="AH53" s="52">
        <f t="shared" si="8"/>
        <v>7.5</v>
      </c>
      <c r="AI53" s="53">
        <f t="shared" si="9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1"/>
      <c r="AH54" s="52">
        <f t="shared" si="8"/>
        <v>0</v>
      </c>
      <c r="AI54" s="53">
        <f t="shared" si="9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8"/>
        <v>0</v>
      </c>
      <c r="AI55" s="53">
        <f t="shared" si="9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8"/>
        <v>0</v>
      </c>
      <c r="AI56" s="53">
        <f t="shared" si="9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2">
        <v>0</v>
      </c>
      <c r="AB57" s="82">
        <v>0</v>
      </c>
      <c r="AC57" s="82">
        <v>0</v>
      </c>
      <c r="AD57" s="82">
        <v>0</v>
      </c>
      <c r="AE57" s="82">
        <v>0</v>
      </c>
      <c r="AF57" s="82">
        <v>0</v>
      </c>
      <c r="AG57" s="86"/>
      <c r="AH57" s="52">
        <f t="shared" si="8"/>
        <v>0</v>
      </c>
      <c r="AI57" s="53">
        <f t="shared" si="9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6"/>
      <c r="AH58" s="52">
        <f t="shared" si="8"/>
        <v>0</v>
      </c>
      <c r="AI58" s="53">
        <f t="shared" si="9"/>
        <v>0</v>
      </c>
      <c r="AK58" s="54"/>
    </row>
    <row r="59" spans="1:37" ht="15.75" thickBot="1" x14ac:dyDescent="0.3">
      <c r="A59" s="68" t="s">
        <v>66</v>
      </c>
      <c r="B59" s="69">
        <f t="shared" ref="B59:AE59" si="10">SUM(B48:B58)</f>
        <v>193.5</v>
      </c>
      <c r="C59" s="69">
        <f t="shared" si="10"/>
        <v>209</v>
      </c>
      <c r="D59" s="69">
        <f t="shared" si="10"/>
        <v>237</v>
      </c>
      <c r="E59" s="69">
        <f t="shared" si="10"/>
        <v>235.6</v>
      </c>
      <c r="F59" s="69">
        <f t="shared" si="10"/>
        <v>219.72</v>
      </c>
      <c r="G59" s="69">
        <f t="shared" si="10"/>
        <v>185</v>
      </c>
      <c r="H59" s="69">
        <f t="shared" si="10"/>
        <v>196.1</v>
      </c>
      <c r="I59" s="69">
        <f t="shared" si="10"/>
        <v>200.65</v>
      </c>
      <c r="J59" s="69">
        <f t="shared" si="10"/>
        <v>229.3</v>
      </c>
      <c r="K59" s="69">
        <f t="shared" si="10"/>
        <v>248</v>
      </c>
      <c r="L59" s="69">
        <f t="shared" si="10"/>
        <v>271.44</v>
      </c>
      <c r="M59" s="69">
        <f t="shared" si="10"/>
        <v>366.2</v>
      </c>
      <c r="N59" s="69">
        <f t="shared" si="10"/>
        <v>394.2</v>
      </c>
      <c r="O59" s="69">
        <f t="shared" si="10"/>
        <v>351</v>
      </c>
      <c r="P59" s="69">
        <f t="shared" si="10"/>
        <v>372.5</v>
      </c>
      <c r="Q59" s="69">
        <f t="shared" si="10"/>
        <v>350.1</v>
      </c>
      <c r="R59" s="69">
        <f t="shared" si="10"/>
        <v>329.3</v>
      </c>
      <c r="S59" s="69">
        <f t="shared" si="10"/>
        <v>403.7</v>
      </c>
      <c r="T59" s="69">
        <f t="shared" si="10"/>
        <v>343.35</v>
      </c>
      <c r="U59" s="69">
        <f t="shared" si="10"/>
        <v>299.56</v>
      </c>
      <c r="V59" s="69">
        <f t="shared" si="10"/>
        <v>321.52</v>
      </c>
      <c r="W59" s="69">
        <f t="shared" si="10"/>
        <v>294.17</v>
      </c>
      <c r="X59" s="69">
        <f t="shared" si="10"/>
        <v>325.90000000000003</v>
      </c>
      <c r="Y59" s="69">
        <f t="shared" si="10"/>
        <v>279.86</v>
      </c>
      <c r="Z59" s="69">
        <f t="shared" si="10"/>
        <v>384.07</v>
      </c>
      <c r="AA59" s="69">
        <f t="shared" si="10"/>
        <v>379.37</v>
      </c>
      <c r="AB59" s="69">
        <f t="shared" si="10"/>
        <v>354.9</v>
      </c>
      <c r="AC59" s="69">
        <f t="shared" si="10"/>
        <v>388.1</v>
      </c>
      <c r="AD59" s="69">
        <f t="shared" si="10"/>
        <v>295.78999999999996</v>
      </c>
      <c r="AE59" s="69">
        <f t="shared" si="10"/>
        <v>278.8</v>
      </c>
      <c r="AF59" s="69">
        <f>SUM(AF48:AF58)</f>
        <v>251.47</v>
      </c>
      <c r="AG59" s="74">
        <f>SUM(AG48:AG58)</f>
        <v>0</v>
      </c>
      <c r="AH59" s="52">
        <f t="shared" si="2"/>
        <v>403.7</v>
      </c>
      <c r="AI59" s="53">
        <f t="shared" si="3"/>
        <v>185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 t="shared" ref="B63:AF63" si="11">SUM(B60:B62)</f>
        <v>0</v>
      </c>
      <c r="C63" s="69">
        <f t="shared" si="11"/>
        <v>0</v>
      </c>
      <c r="D63" s="69">
        <f t="shared" si="11"/>
        <v>0</v>
      </c>
      <c r="E63" s="69">
        <f t="shared" si="11"/>
        <v>0</v>
      </c>
      <c r="F63" s="69">
        <f t="shared" si="11"/>
        <v>0</v>
      </c>
      <c r="G63" s="69">
        <f t="shared" si="11"/>
        <v>0</v>
      </c>
      <c r="H63" s="69">
        <f t="shared" si="11"/>
        <v>0</v>
      </c>
      <c r="I63" s="69">
        <f t="shared" si="11"/>
        <v>0</v>
      </c>
      <c r="J63" s="69">
        <f t="shared" si="11"/>
        <v>0</v>
      </c>
      <c r="K63" s="69">
        <f t="shared" si="11"/>
        <v>0</v>
      </c>
      <c r="L63" s="69">
        <f t="shared" si="11"/>
        <v>0</v>
      </c>
      <c r="M63" s="69">
        <f t="shared" si="11"/>
        <v>0</v>
      </c>
      <c r="N63" s="69">
        <f t="shared" si="11"/>
        <v>0</v>
      </c>
      <c r="O63" s="69">
        <f t="shared" si="11"/>
        <v>0</v>
      </c>
      <c r="P63" s="69">
        <f t="shared" si="11"/>
        <v>0</v>
      </c>
      <c r="Q63" s="69">
        <f t="shared" si="11"/>
        <v>0</v>
      </c>
      <c r="R63" s="69">
        <f t="shared" si="11"/>
        <v>0</v>
      </c>
      <c r="S63" s="69">
        <f t="shared" si="11"/>
        <v>0</v>
      </c>
      <c r="T63" s="69">
        <f t="shared" si="11"/>
        <v>0</v>
      </c>
      <c r="U63" s="69">
        <f t="shared" si="11"/>
        <v>0</v>
      </c>
      <c r="V63" s="69">
        <f t="shared" si="11"/>
        <v>0</v>
      </c>
      <c r="W63" s="69">
        <f t="shared" si="11"/>
        <v>0</v>
      </c>
      <c r="X63" s="69">
        <f t="shared" si="11"/>
        <v>0</v>
      </c>
      <c r="Y63" s="69">
        <f t="shared" si="11"/>
        <v>0</v>
      </c>
      <c r="Z63" s="69">
        <f t="shared" si="11"/>
        <v>0</v>
      </c>
      <c r="AA63" s="69">
        <f t="shared" si="11"/>
        <v>0</v>
      </c>
      <c r="AB63" s="69">
        <f t="shared" si="11"/>
        <v>0</v>
      </c>
      <c r="AC63" s="69">
        <f t="shared" si="11"/>
        <v>0</v>
      </c>
      <c r="AD63" s="69">
        <f t="shared" si="11"/>
        <v>0</v>
      </c>
      <c r="AE63" s="69">
        <f t="shared" si="11"/>
        <v>0</v>
      </c>
      <c r="AF63" s="69">
        <f t="shared" si="11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>
        <v>20</v>
      </c>
      <c r="T64" s="89">
        <v>20</v>
      </c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20</v>
      </c>
      <c r="AI64" s="53">
        <f t="shared" si="3"/>
        <v>20</v>
      </c>
    </row>
    <row r="65" spans="1:35" ht="15.75" thickBot="1" x14ac:dyDescent="0.3">
      <c r="A65" s="90" t="s">
        <v>72</v>
      </c>
      <c r="B65" s="91">
        <f t="shared" ref="B65:AF65" si="12">B63+B59+B47+B43+B30+B64</f>
        <v>1034.94</v>
      </c>
      <c r="C65" s="91">
        <f t="shared" si="12"/>
        <v>1025.1400000000001</v>
      </c>
      <c r="D65" s="91">
        <f t="shared" si="12"/>
        <v>980.04</v>
      </c>
      <c r="E65" s="91">
        <f t="shared" si="12"/>
        <v>974.04</v>
      </c>
      <c r="F65" s="91">
        <f t="shared" si="12"/>
        <v>949.96</v>
      </c>
      <c r="G65" s="91">
        <f t="shared" si="12"/>
        <v>919.44</v>
      </c>
      <c r="H65" s="91">
        <f t="shared" si="12"/>
        <v>930.54</v>
      </c>
      <c r="I65" s="91">
        <f t="shared" si="12"/>
        <v>950.99</v>
      </c>
      <c r="J65" s="91">
        <f t="shared" si="12"/>
        <v>977.3900000000001</v>
      </c>
      <c r="K65" s="91">
        <f t="shared" si="12"/>
        <v>1036.19</v>
      </c>
      <c r="L65" s="91">
        <f t="shared" si="12"/>
        <v>1067.3799999999999</v>
      </c>
      <c r="M65" s="91">
        <f t="shared" si="12"/>
        <v>1110.1399999999999</v>
      </c>
      <c r="N65" s="91">
        <f t="shared" si="12"/>
        <v>1160.8400000000001</v>
      </c>
      <c r="O65" s="91">
        <f t="shared" si="12"/>
        <v>1145.74</v>
      </c>
      <c r="P65" s="91">
        <f t="shared" si="12"/>
        <v>1166.9399999999998</v>
      </c>
      <c r="Q65" s="91">
        <f t="shared" si="12"/>
        <v>1134.3400000000001</v>
      </c>
      <c r="R65" s="91">
        <f t="shared" si="12"/>
        <v>1108.8399999999999</v>
      </c>
      <c r="S65" s="91">
        <f t="shared" si="12"/>
        <v>1160.3400000000001</v>
      </c>
      <c r="T65" s="91">
        <f t="shared" si="12"/>
        <v>1110.3899999999999</v>
      </c>
      <c r="U65" s="91">
        <f t="shared" si="12"/>
        <v>1011.2</v>
      </c>
      <c r="V65" s="91">
        <f t="shared" si="12"/>
        <v>1018.96</v>
      </c>
      <c r="W65" s="91">
        <f t="shared" si="12"/>
        <v>1010.01</v>
      </c>
      <c r="X65" s="91">
        <f t="shared" si="12"/>
        <v>1053.44</v>
      </c>
      <c r="Y65" s="91">
        <f t="shared" si="12"/>
        <v>1038.8000000000002</v>
      </c>
      <c r="Z65" s="91">
        <f t="shared" si="12"/>
        <v>1194.51</v>
      </c>
      <c r="AA65" s="91">
        <f t="shared" si="12"/>
        <v>1203.0100000000002</v>
      </c>
      <c r="AB65" s="91">
        <f t="shared" si="12"/>
        <v>1226.3400000000001</v>
      </c>
      <c r="AC65" s="91">
        <f t="shared" si="12"/>
        <v>1170.94</v>
      </c>
      <c r="AD65" s="91">
        <f t="shared" si="12"/>
        <v>1087.53</v>
      </c>
      <c r="AE65" s="91">
        <f t="shared" si="12"/>
        <v>1063.3400000000001</v>
      </c>
      <c r="AF65" s="91">
        <f t="shared" si="12"/>
        <v>1046.0100000000002</v>
      </c>
      <c r="AG65" s="74">
        <f>AG63+AG59+AG47+AG43+AG30+AG64</f>
        <v>1355.5100000000002</v>
      </c>
      <c r="AH65" s="52">
        <f t="shared" si="2"/>
        <v>1226.3400000000001</v>
      </c>
      <c r="AI65" s="53">
        <f t="shared" si="3"/>
        <v>919.44</v>
      </c>
    </row>
    <row r="66" spans="1:35" x14ac:dyDescent="0.25">
      <c r="A66" s="55" t="s">
        <v>73</v>
      </c>
      <c r="B66" s="82">
        <f t="shared" ref="B66:Q66" si="13">IF(B51&lt;0,B51*-1,0)</f>
        <v>0</v>
      </c>
      <c r="C66" s="82">
        <f t="shared" si="13"/>
        <v>0</v>
      </c>
      <c r="D66" s="82">
        <f t="shared" si="13"/>
        <v>0</v>
      </c>
      <c r="E66" s="82">
        <f t="shared" si="13"/>
        <v>0</v>
      </c>
      <c r="F66" s="82">
        <f t="shared" si="13"/>
        <v>0</v>
      </c>
      <c r="G66" s="82">
        <f t="shared" si="13"/>
        <v>0</v>
      </c>
      <c r="H66" s="82">
        <f t="shared" si="13"/>
        <v>0</v>
      </c>
      <c r="I66" s="82">
        <f t="shared" si="13"/>
        <v>0</v>
      </c>
      <c r="J66" s="82">
        <f t="shared" si="13"/>
        <v>0</v>
      </c>
      <c r="K66" s="82">
        <f t="shared" si="13"/>
        <v>0</v>
      </c>
      <c r="L66" s="82">
        <f t="shared" si="13"/>
        <v>0</v>
      </c>
      <c r="M66" s="82">
        <f t="shared" si="13"/>
        <v>0</v>
      </c>
      <c r="N66" s="82">
        <f t="shared" si="13"/>
        <v>0</v>
      </c>
      <c r="O66" s="82">
        <f t="shared" si="13"/>
        <v>0</v>
      </c>
      <c r="P66" s="82">
        <f t="shared" si="13"/>
        <v>0</v>
      </c>
      <c r="Q66" s="82">
        <f t="shared" si="13"/>
        <v>0</v>
      </c>
      <c r="R66" s="82">
        <f>IF(R51&lt;0,R51*-1,0)</f>
        <v>0</v>
      </c>
      <c r="S66" s="82">
        <f t="shared" ref="S66:AF66" si="14">IF(S51&lt;0,S51*-1,0)</f>
        <v>0</v>
      </c>
      <c r="T66" s="82">
        <f t="shared" si="14"/>
        <v>0</v>
      </c>
      <c r="U66" s="82">
        <f t="shared" si="14"/>
        <v>0</v>
      </c>
      <c r="V66" s="82">
        <f t="shared" si="14"/>
        <v>0</v>
      </c>
      <c r="W66" s="82">
        <f t="shared" si="14"/>
        <v>0</v>
      </c>
      <c r="X66" s="82">
        <f t="shared" si="14"/>
        <v>0</v>
      </c>
      <c r="Y66" s="82">
        <f t="shared" si="14"/>
        <v>0</v>
      </c>
      <c r="Z66" s="82">
        <f t="shared" si="14"/>
        <v>0</v>
      </c>
      <c r="AA66" s="82">
        <f t="shared" si="14"/>
        <v>0</v>
      </c>
      <c r="AB66" s="82">
        <f t="shared" si="14"/>
        <v>0</v>
      </c>
      <c r="AC66" s="82">
        <f t="shared" si="14"/>
        <v>0</v>
      </c>
      <c r="AD66" s="82">
        <f t="shared" si="14"/>
        <v>0</v>
      </c>
      <c r="AE66" s="82">
        <f t="shared" si="14"/>
        <v>0</v>
      </c>
      <c r="AF66" s="82">
        <f t="shared" si="14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5">IF(B49&lt;0,B49*-1,0)</f>
        <v>0</v>
      </c>
      <c r="C67" s="82">
        <f t="shared" si="15"/>
        <v>0</v>
      </c>
      <c r="D67" s="82">
        <f t="shared" si="15"/>
        <v>0</v>
      </c>
      <c r="E67" s="82">
        <f t="shared" si="15"/>
        <v>0</v>
      </c>
      <c r="F67" s="82">
        <f t="shared" si="15"/>
        <v>0</v>
      </c>
      <c r="G67" s="82">
        <f t="shared" si="15"/>
        <v>0</v>
      </c>
      <c r="H67" s="82">
        <f t="shared" si="15"/>
        <v>0</v>
      </c>
      <c r="I67" s="82">
        <f t="shared" si="15"/>
        <v>0</v>
      </c>
      <c r="J67" s="82">
        <f t="shared" si="15"/>
        <v>0</v>
      </c>
      <c r="K67" s="82">
        <f t="shared" si="15"/>
        <v>0</v>
      </c>
      <c r="L67" s="82">
        <f t="shared" si="15"/>
        <v>0</v>
      </c>
      <c r="M67" s="82">
        <f t="shared" si="15"/>
        <v>0</v>
      </c>
      <c r="N67" s="82">
        <f t="shared" si="15"/>
        <v>0</v>
      </c>
      <c r="O67" s="82">
        <f t="shared" si="15"/>
        <v>0</v>
      </c>
      <c r="P67" s="82">
        <f t="shared" si="15"/>
        <v>0</v>
      </c>
      <c r="Q67" s="82">
        <f t="shared" si="15"/>
        <v>0</v>
      </c>
      <c r="R67" s="82">
        <f>IF(R49&lt;0,R49*-1,0)</f>
        <v>0</v>
      </c>
      <c r="S67" s="82">
        <f t="shared" ref="S67:AF67" si="16">IF(S49&lt;0,S49*-1,0)</f>
        <v>0</v>
      </c>
      <c r="T67" s="82">
        <f t="shared" si="16"/>
        <v>0</v>
      </c>
      <c r="U67" s="82">
        <f t="shared" si="16"/>
        <v>0</v>
      </c>
      <c r="V67" s="82">
        <f t="shared" si="16"/>
        <v>0</v>
      </c>
      <c r="W67" s="82">
        <f t="shared" si="16"/>
        <v>0</v>
      </c>
      <c r="X67" s="82">
        <f t="shared" si="16"/>
        <v>0</v>
      </c>
      <c r="Y67" s="82">
        <f t="shared" si="16"/>
        <v>0</v>
      </c>
      <c r="Z67" s="82">
        <f t="shared" si="16"/>
        <v>0</v>
      </c>
      <c r="AA67" s="82">
        <f t="shared" si="16"/>
        <v>0</v>
      </c>
      <c r="AB67" s="82">
        <f t="shared" si="16"/>
        <v>0</v>
      </c>
      <c r="AC67" s="82">
        <f t="shared" si="16"/>
        <v>0</v>
      </c>
      <c r="AD67" s="82">
        <f t="shared" si="16"/>
        <v>0</v>
      </c>
      <c r="AE67" s="82">
        <f t="shared" si="16"/>
        <v>0</v>
      </c>
      <c r="AF67" s="82">
        <f t="shared" si="16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7">IF(B52&lt;0,B52*-1,0)</f>
        <v>0</v>
      </c>
      <c r="C68" s="82">
        <f t="shared" si="17"/>
        <v>0</v>
      </c>
      <c r="D68" s="82">
        <f t="shared" si="17"/>
        <v>0</v>
      </c>
      <c r="E68" s="82">
        <f t="shared" si="17"/>
        <v>0</v>
      </c>
      <c r="F68" s="82">
        <f t="shared" si="17"/>
        <v>0</v>
      </c>
      <c r="G68" s="82">
        <f t="shared" si="17"/>
        <v>0</v>
      </c>
      <c r="H68" s="82">
        <f t="shared" si="17"/>
        <v>0</v>
      </c>
      <c r="I68" s="82">
        <f t="shared" si="17"/>
        <v>0</v>
      </c>
      <c r="J68" s="82">
        <f t="shared" si="17"/>
        <v>0</v>
      </c>
      <c r="K68" s="82">
        <f t="shared" si="17"/>
        <v>0</v>
      </c>
      <c r="L68" s="82">
        <f t="shared" si="17"/>
        <v>0</v>
      </c>
      <c r="M68" s="82">
        <f t="shared" si="17"/>
        <v>0</v>
      </c>
      <c r="N68" s="82">
        <f t="shared" si="17"/>
        <v>0</v>
      </c>
      <c r="O68" s="82">
        <f t="shared" si="17"/>
        <v>0</v>
      </c>
      <c r="P68" s="82">
        <f t="shared" si="17"/>
        <v>0</v>
      </c>
      <c r="Q68" s="82">
        <f t="shared" si="17"/>
        <v>0</v>
      </c>
      <c r="R68" s="82">
        <f>IF(R52&lt;0,R52*-1,0)</f>
        <v>0</v>
      </c>
      <c r="S68" s="82">
        <f t="shared" ref="S68:AE68" si="18">IF(S52&lt;0,S52*-1,0)</f>
        <v>0</v>
      </c>
      <c r="T68" s="82">
        <f t="shared" si="18"/>
        <v>0</v>
      </c>
      <c r="U68" s="82">
        <f t="shared" si="18"/>
        <v>0</v>
      </c>
      <c r="V68" s="82">
        <f t="shared" si="18"/>
        <v>0</v>
      </c>
      <c r="W68" s="82">
        <f t="shared" si="18"/>
        <v>0</v>
      </c>
      <c r="X68" s="82">
        <f t="shared" si="18"/>
        <v>0</v>
      </c>
      <c r="Y68" s="82">
        <f t="shared" si="18"/>
        <v>0</v>
      </c>
      <c r="Z68" s="82">
        <f t="shared" si="18"/>
        <v>0</v>
      </c>
      <c r="AA68" s="82">
        <f>IF(AA52&lt;0,AA52*-1,0)</f>
        <v>0</v>
      </c>
      <c r="AB68" s="82">
        <f t="shared" si="18"/>
        <v>0</v>
      </c>
      <c r="AC68" s="82">
        <f t="shared" si="18"/>
        <v>0</v>
      </c>
      <c r="AD68" s="82">
        <f t="shared" si="18"/>
        <v>0</v>
      </c>
      <c r="AE68" s="82">
        <f t="shared" si="18"/>
        <v>0</v>
      </c>
      <c r="AF68" s="82">
        <f>IF(AF52&lt;0,AF52*-1,0)</f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 t="shared" ref="B69:AF69" si="19">IF(B50&lt;0,B50*-1,0)</f>
        <v>0</v>
      </c>
      <c r="C69" s="82">
        <f t="shared" si="19"/>
        <v>0</v>
      </c>
      <c r="D69" s="82">
        <f t="shared" si="19"/>
        <v>0</v>
      </c>
      <c r="E69" s="82">
        <f t="shared" si="19"/>
        <v>0</v>
      </c>
      <c r="F69" s="82">
        <f t="shared" si="19"/>
        <v>0</v>
      </c>
      <c r="G69" s="82">
        <f t="shared" si="19"/>
        <v>0</v>
      </c>
      <c r="H69" s="82">
        <f t="shared" si="19"/>
        <v>0</v>
      </c>
      <c r="I69" s="82">
        <f t="shared" si="19"/>
        <v>0</v>
      </c>
      <c r="J69" s="82">
        <f t="shared" si="19"/>
        <v>0</v>
      </c>
      <c r="K69" s="82">
        <f t="shared" si="19"/>
        <v>0</v>
      </c>
      <c r="L69" s="82">
        <f t="shared" si="19"/>
        <v>0</v>
      </c>
      <c r="M69" s="82">
        <f t="shared" si="19"/>
        <v>0</v>
      </c>
      <c r="N69" s="82">
        <f t="shared" si="19"/>
        <v>0</v>
      </c>
      <c r="O69" s="82">
        <f t="shared" si="19"/>
        <v>0</v>
      </c>
      <c r="P69" s="82">
        <f t="shared" si="19"/>
        <v>0</v>
      </c>
      <c r="Q69" s="82">
        <f t="shared" si="19"/>
        <v>0</v>
      </c>
      <c r="R69" s="82">
        <f t="shared" si="19"/>
        <v>0</v>
      </c>
      <c r="S69" s="82">
        <f t="shared" si="19"/>
        <v>0</v>
      </c>
      <c r="T69" s="82">
        <f t="shared" si="19"/>
        <v>0</v>
      </c>
      <c r="U69" s="82">
        <f t="shared" si="19"/>
        <v>0</v>
      </c>
      <c r="V69" s="82">
        <f t="shared" si="19"/>
        <v>0</v>
      </c>
      <c r="W69" s="82">
        <f t="shared" si="19"/>
        <v>0</v>
      </c>
      <c r="X69" s="82">
        <f t="shared" si="19"/>
        <v>0</v>
      </c>
      <c r="Y69" s="82">
        <f t="shared" si="19"/>
        <v>0</v>
      </c>
      <c r="Z69" s="82">
        <f t="shared" si="19"/>
        <v>0</v>
      </c>
      <c r="AA69" s="82">
        <f t="shared" si="19"/>
        <v>0</v>
      </c>
      <c r="AB69" s="82">
        <f t="shared" si="19"/>
        <v>0</v>
      </c>
      <c r="AC69" s="82">
        <f t="shared" si="19"/>
        <v>0</v>
      </c>
      <c r="AD69" s="82">
        <f t="shared" si="19"/>
        <v>0</v>
      </c>
      <c r="AE69" s="82">
        <f t="shared" si="19"/>
        <v>0</v>
      </c>
      <c r="AF69" s="82">
        <f t="shared" si="19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 t="shared" ref="B71:AF71" si="20">SUM(B66:B70)</f>
        <v>0</v>
      </c>
      <c r="C71" s="69">
        <f t="shared" si="20"/>
        <v>0</v>
      </c>
      <c r="D71" s="69">
        <f t="shared" si="20"/>
        <v>0</v>
      </c>
      <c r="E71" s="69">
        <f t="shared" si="20"/>
        <v>0</v>
      </c>
      <c r="F71" s="69">
        <f t="shared" si="20"/>
        <v>0</v>
      </c>
      <c r="G71" s="69">
        <f t="shared" si="20"/>
        <v>0</v>
      </c>
      <c r="H71" s="69">
        <f t="shared" si="20"/>
        <v>0</v>
      </c>
      <c r="I71" s="69">
        <f t="shared" si="20"/>
        <v>0</v>
      </c>
      <c r="J71" s="69">
        <f t="shared" si="20"/>
        <v>0</v>
      </c>
      <c r="K71" s="69">
        <f t="shared" si="20"/>
        <v>0</v>
      </c>
      <c r="L71" s="69">
        <f t="shared" si="20"/>
        <v>0</v>
      </c>
      <c r="M71" s="69">
        <f t="shared" si="20"/>
        <v>0</v>
      </c>
      <c r="N71" s="69">
        <f t="shared" si="20"/>
        <v>0</v>
      </c>
      <c r="O71" s="69">
        <f t="shared" si="20"/>
        <v>0</v>
      </c>
      <c r="P71" s="69">
        <f t="shared" si="20"/>
        <v>0</v>
      </c>
      <c r="Q71" s="69">
        <f t="shared" si="20"/>
        <v>0</v>
      </c>
      <c r="R71" s="69">
        <f t="shared" si="20"/>
        <v>0</v>
      </c>
      <c r="S71" s="69">
        <f t="shared" si="20"/>
        <v>0</v>
      </c>
      <c r="T71" s="69">
        <f t="shared" si="20"/>
        <v>0</v>
      </c>
      <c r="U71" s="69">
        <f t="shared" si="20"/>
        <v>0</v>
      </c>
      <c r="V71" s="69">
        <f t="shared" si="20"/>
        <v>0</v>
      </c>
      <c r="W71" s="69">
        <f t="shared" si="20"/>
        <v>0</v>
      </c>
      <c r="X71" s="69">
        <f t="shared" si="20"/>
        <v>0</v>
      </c>
      <c r="Y71" s="69">
        <f t="shared" si="20"/>
        <v>0</v>
      </c>
      <c r="Z71" s="69">
        <f t="shared" si="20"/>
        <v>0</v>
      </c>
      <c r="AA71" s="69">
        <f t="shared" si="20"/>
        <v>0</v>
      </c>
      <c r="AB71" s="69">
        <f t="shared" si="20"/>
        <v>0</v>
      </c>
      <c r="AC71" s="69">
        <f t="shared" si="20"/>
        <v>0</v>
      </c>
      <c r="AD71" s="69">
        <f t="shared" si="20"/>
        <v>0</v>
      </c>
      <c r="AE71" s="69">
        <f t="shared" si="20"/>
        <v>0</v>
      </c>
      <c r="AF71" s="69">
        <f t="shared" si="20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49.987000000000002</v>
      </c>
      <c r="C72" s="94">
        <v>50.027000000000001</v>
      </c>
      <c r="D72" s="94">
        <v>49.966000000000001</v>
      </c>
      <c r="E72" s="94">
        <v>50.046999999999997</v>
      </c>
      <c r="F72" s="94">
        <v>50.024999999999999</v>
      </c>
      <c r="G72" s="94">
        <v>49.993000000000002</v>
      </c>
      <c r="H72" s="94">
        <v>50.024999999999999</v>
      </c>
      <c r="I72" s="94">
        <v>50.003999999999998</v>
      </c>
      <c r="J72" s="94">
        <v>50.012999999999998</v>
      </c>
      <c r="K72" s="94">
        <v>50.033999999999999</v>
      </c>
      <c r="L72" s="94">
        <v>50.052999999999997</v>
      </c>
      <c r="M72" s="94">
        <v>50.1</v>
      </c>
      <c r="N72" s="94">
        <v>50.082999999999998</v>
      </c>
      <c r="O72" s="94">
        <v>49.96</v>
      </c>
      <c r="P72" s="94">
        <v>50.006999999999998</v>
      </c>
      <c r="Q72" s="95">
        <v>49.984000000000002</v>
      </c>
      <c r="R72" s="94">
        <v>50.005000000000003</v>
      </c>
      <c r="S72" s="94">
        <v>49.933999999999997</v>
      </c>
      <c r="T72" s="94">
        <v>49.991</v>
      </c>
      <c r="U72" s="94">
        <v>50.005000000000003</v>
      </c>
      <c r="V72" s="94">
        <v>50.09</v>
      </c>
      <c r="W72" s="94">
        <v>50.027999999999999</v>
      </c>
      <c r="X72" s="94">
        <v>49.99</v>
      </c>
      <c r="Y72" s="94">
        <v>49.987000000000002</v>
      </c>
      <c r="Z72" s="94">
        <v>49.972000000000001</v>
      </c>
      <c r="AA72" s="94">
        <v>49.91</v>
      </c>
      <c r="AB72" s="94">
        <v>49.9</v>
      </c>
      <c r="AC72" s="94">
        <v>49.92</v>
      </c>
      <c r="AD72" s="94">
        <v>50.01</v>
      </c>
      <c r="AE72" s="94">
        <v>49.99</v>
      </c>
      <c r="AF72" s="96">
        <v>50.048000000000002</v>
      </c>
      <c r="AG72" s="97"/>
      <c r="AH72" s="52">
        <f t="shared" si="2"/>
        <v>50.1</v>
      </c>
      <c r="AI72" s="53">
        <f t="shared" si="3"/>
        <v>49.9</v>
      </c>
    </row>
    <row r="73" spans="1:35" x14ac:dyDescent="0.25">
      <c r="A73" s="98" t="s">
        <v>80</v>
      </c>
      <c r="B73" s="100">
        <v>127.6</v>
      </c>
      <c r="C73" s="70">
        <v>128.19999999999999</v>
      </c>
      <c r="D73" s="70">
        <v>125.4</v>
      </c>
      <c r="E73" s="70">
        <v>126.8</v>
      </c>
      <c r="F73" s="70">
        <v>126.7</v>
      </c>
      <c r="G73" s="70">
        <v>125.9</v>
      </c>
      <c r="H73" s="70">
        <v>125.5</v>
      </c>
      <c r="I73" s="70">
        <v>125.9</v>
      </c>
      <c r="J73" s="70">
        <v>125.6</v>
      </c>
      <c r="K73" s="70">
        <v>124.7</v>
      </c>
      <c r="L73" s="70">
        <v>125.4</v>
      </c>
      <c r="M73" s="70">
        <v>124.3</v>
      </c>
      <c r="N73" s="70">
        <v>123.9</v>
      </c>
      <c r="O73" s="70">
        <v>124.8</v>
      </c>
      <c r="P73" s="70">
        <v>124.3</v>
      </c>
      <c r="Q73" s="99">
        <v>125.1</v>
      </c>
      <c r="R73" s="99">
        <v>125.1</v>
      </c>
      <c r="S73" s="99">
        <v>123.5</v>
      </c>
      <c r="T73" s="99">
        <v>124.5</v>
      </c>
      <c r="U73" s="99">
        <v>125.8</v>
      </c>
      <c r="V73" s="99">
        <v>125.3</v>
      </c>
      <c r="W73" s="99">
        <v>126.9</v>
      </c>
      <c r="X73" s="99">
        <v>125.6</v>
      </c>
      <c r="Y73" s="99">
        <v>127</v>
      </c>
      <c r="Z73" s="99">
        <v>125.3</v>
      </c>
      <c r="AA73" s="70">
        <v>126.7</v>
      </c>
      <c r="AB73" s="70">
        <v>126.2</v>
      </c>
      <c r="AC73" s="70">
        <v>124.7</v>
      </c>
      <c r="AD73" s="70">
        <v>125.2</v>
      </c>
      <c r="AE73" s="100">
        <v>125.4</v>
      </c>
      <c r="AF73" s="100">
        <v>125.1</v>
      </c>
      <c r="AG73" s="101"/>
      <c r="AH73" s="52">
        <f t="shared" si="2"/>
        <v>128.19999999999999</v>
      </c>
      <c r="AI73" s="53">
        <f t="shared" si="3"/>
        <v>123.5</v>
      </c>
    </row>
    <row r="74" spans="1:35" x14ac:dyDescent="0.25">
      <c r="A74" s="98" t="s">
        <v>81</v>
      </c>
      <c r="B74" s="100">
        <v>130.5</v>
      </c>
      <c r="C74" s="70">
        <v>131.1</v>
      </c>
      <c r="D74" s="70">
        <v>128.30000000000001</v>
      </c>
      <c r="E74" s="70">
        <v>129.6</v>
      </c>
      <c r="F74" s="70">
        <v>129.19999999999999</v>
      </c>
      <c r="G74" s="70">
        <v>128.19999999999999</v>
      </c>
      <c r="H74" s="70">
        <v>128</v>
      </c>
      <c r="I74" s="70">
        <v>128.19999999999999</v>
      </c>
      <c r="J74" s="70">
        <v>128.1</v>
      </c>
      <c r="K74" s="70">
        <v>127.2</v>
      </c>
      <c r="L74" s="70">
        <v>127.8</v>
      </c>
      <c r="M74" s="70">
        <v>127.8</v>
      </c>
      <c r="N74" s="70">
        <v>127.5</v>
      </c>
      <c r="O74" s="70">
        <v>128.1</v>
      </c>
      <c r="P74" s="70">
        <v>127.8</v>
      </c>
      <c r="Q74" s="99">
        <v>128.5</v>
      </c>
      <c r="R74" s="99">
        <v>128.30000000000001</v>
      </c>
      <c r="S74" s="99">
        <v>127</v>
      </c>
      <c r="T74" s="99">
        <v>127.7</v>
      </c>
      <c r="U74" s="99">
        <v>128.6</v>
      </c>
      <c r="V74" s="99">
        <v>128.30000000000001</v>
      </c>
      <c r="W74" s="99">
        <v>129.80000000000001</v>
      </c>
      <c r="X74" s="99">
        <v>128.30000000000001</v>
      </c>
      <c r="Y74" s="99">
        <v>129.69999999999999</v>
      </c>
      <c r="Z74" s="99">
        <v>127.9</v>
      </c>
      <c r="AA74" s="70">
        <v>129.19999999999999</v>
      </c>
      <c r="AB74" s="70">
        <v>128.9</v>
      </c>
      <c r="AC74" s="70">
        <v>127.6</v>
      </c>
      <c r="AD74" s="70">
        <v>128.5</v>
      </c>
      <c r="AE74" s="100">
        <v>128.80000000000001</v>
      </c>
      <c r="AF74" s="100">
        <v>128.69999999999999</v>
      </c>
      <c r="AG74" s="101"/>
      <c r="AH74" s="52">
        <f t="shared" si="2"/>
        <v>131.1</v>
      </c>
      <c r="AI74" s="53">
        <f t="shared" si="3"/>
        <v>127</v>
      </c>
    </row>
    <row r="75" spans="1:35" x14ac:dyDescent="0.25">
      <c r="A75" s="98" t="s">
        <v>82</v>
      </c>
      <c r="B75" s="100">
        <v>129</v>
      </c>
      <c r="C75" s="70">
        <v>128</v>
      </c>
      <c r="D75" s="70">
        <v>128.19999999999999</v>
      </c>
      <c r="E75" s="70">
        <v>130.6</v>
      </c>
      <c r="F75" s="70">
        <v>131.69999999999999</v>
      </c>
      <c r="G75" s="70">
        <v>130.30000000000001</v>
      </c>
      <c r="H75" s="70">
        <v>129.69999999999999</v>
      </c>
      <c r="I75" s="70">
        <v>127.5</v>
      </c>
      <c r="J75" s="70">
        <v>127.8</v>
      </c>
      <c r="K75" s="70">
        <v>126.4</v>
      </c>
      <c r="L75" s="70">
        <v>127.5</v>
      </c>
      <c r="M75" s="70">
        <v>128.6</v>
      </c>
      <c r="N75" s="70">
        <v>126.2</v>
      </c>
      <c r="O75" s="70">
        <v>127.3</v>
      </c>
      <c r="P75" s="70">
        <v>128.19999999999999</v>
      </c>
      <c r="Q75" s="70">
        <v>128.80000000000001</v>
      </c>
      <c r="R75" s="70">
        <v>123.9</v>
      </c>
      <c r="S75" s="70">
        <v>129.5</v>
      </c>
      <c r="T75" s="99">
        <v>126.9</v>
      </c>
      <c r="U75" s="99">
        <v>129.6</v>
      </c>
      <c r="V75" s="99">
        <v>127.9</v>
      </c>
      <c r="W75" s="99">
        <v>128.19999999999999</v>
      </c>
      <c r="X75" s="99">
        <v>128.5</v>
      </c>
      <c r="Y75" s="99">
        <v>128.30000000000001</v>
      </c>
      <c r="Z75" s="99">
        <v>130.69999999999999</v>
      </c>
      <c r="AA75" s="70">
        <v>128.9</v>
      </c>
      <c r="AB75" s="70">
        <v>130.4</v>
      </c>
      <c r="AC75" s="70">
        <v>128.6</v>
      </c>
      <c r="AD75" s="70">
        <v>129.6</v>
      </c>
      <c r="AE75" s="100">
        <v>128.30000000000001</v>
      </c>
      <c r="AF75" s="100">
        <v>127</v>
      </c>
      <c r="AG75" s="101"/>
      <c r="AH75" s="52">
        <f t="shared" si="2"/>
        <v>131.69999999999999</v>
      </c>
      <c r="AI75" s="53">
        <f t="shared" si="3"/>
        <v>123.9</v>
      </c>
    </row>
    <row r="76" spans="1:35" x14ac:dyDescent="0.25">
      <c r="A76" s="102" t="s">
        <v>83</v>
      </c>
      <c r="B76" s="100">
        <v>132.9</v>
      </c>
      <c r="C76" s="70">
        <v>130.4</v>
      </c>
      <c r="D76" s="70">
        <v>130.6</v>
      </c>
      <c r="E76" s="70">
        <v>133</v>
      </c>
      <c r="F76" s="70">
        <v>134</v>
      </c>
      <c r="G76" s="70">
        <v>132.4</v>
      </c>
      <c r="H76" s="70">
        <v>132</v>
      </c>
      <c r="I76" s="70">
        <v>129.69999999999999</v>
      </c>
      <c r="J76" s="70">
        <v>131.5</v>
      </c>
      <c r="K76" s="70">
        <v>129.69999999999999</v>
      </c>
      <c r="L76" s="70">
        <v>130.69999999999999</v>
      </c>
      <c r="M76" s="70">
        <v>132.6</v>
      </c>
      <c r="N76" s="70">
        <v>130.69999999999999</v>
      </c>
      <c r="O76" s="70">
        <v>132</v>
      </c>
      <c r="P76" s="70">
        <v>133.5</v>
      </c>
      <c r="Q76" s="70">
        <v>134.6</v>
      </c>
      <c r="R76" s="70">
        <v>128.9</v>
      </c>
      <c r="S76" s="70">
        <v>133.19999999999999</v>
      </c>
      <c r="T76" s="99">
        <v>130.9</v>
      </c>
      <c r="U76" s="99">
        <v>134.19999999999999</v>
      </c>
      <c r="V76" s="99">
        <v>132.5</v>
      </c>
      <c r="W76" s="99">
        <v>131.1</v>
      </c>
      <c r="X76" s="99">
        <v>131.9</v>
      </c>
      <c r="Y76" s="99">
        <v>131.69999999999999</v>
      </c>
      <c r="Z76" s="99">
        <v>133.30000000000001</v>
      </c>
      <c r="AA76" s="70">
        <v>132</v>
      </c>
      <c r="AB76" s="70">
        <v>133.9</v>
      </c>
      <c r="AC76" s="70">
        <v>130.6</v>
      </c>
      <c r="AD76" s="70">
        <v>131.6</v>
      </c>
      <c r="AE76" s="100">
        <v>131.6</v>
      </c>
      <c r="AF76" s="100">
        <v>130.30000000000001</v>
      </c>
      <c r="AG76" s="101"/>
      <c r="AH76" s="52">
        <f t="shared" si="2"/>
        <v>134.6</v>
      </c>
      <c r="AI76" s="53">
        <f t="shared" si="3"/>
        <v>128.9</v>
      </c>
    </row>
    <row r="77" spans="1:35" x14ac:dyDescent="0.25">
      <c r="A77" s="102" t="s">
        <v>84</v>
      </c>
      <c r="B77" s="104">
        <v>135.9</v>
      </c>
      <c r="C77" s="103">
        <v>135.4</v>
      </c>
      <c r="D77" s="103">
        <v>133.9</v>
      </c>
      <c r="E77" s="103">
        <v>134.1</v>
      </c>
      <c r="F77" s="103">
        <v>132.4</v>
      </c>
      <c r="G77" s="103">
        <v>135.6</v>
      </c>
      <c r="H77" s="103">
        <v>133.80000000000001</v>
      </c>
      <c r="I77" s="103">
        <v>131.9</v>
      </c>
      <c r="J77" s="103">
        <v>134</v>
      </c>
      <c r="K77" s="103">
        <v>128.30000000000001</v>
      </c>
      <c r="L77" s="103">
        <v>135.5</v>
      </c>
      <c r="M77" s="103">
        <v>131.6</v>
      </c>
      <c r="N77" s="103">
        <v>132.1</v>
      </c>
      <c r="O77" s="103">
        <v>134</v>
      </c>
      <c r="P77" s="103">
        <v>130.80000000000001</v>
      </c>
      <c r="Q77" s="103">
        <v>136.4</v>
      </c>
      <c r="R77" s="103">
        <v>136.30000000000001</v>
      </c>
      <c r="S77" s="103">
        <v>135</v>
      </c>
      <c r="T77" s="99">
        <v>129.19999999999999</v>
      </c>
      <c r="U77" s="99">
        <v>133.6</v>
      </c>
      <c r="V77" s="99">
        <v>131.19999999999999</v>
      </c>
      <c r="W77" s="99">
        <v>135.9</v>
      </c>
      <c r="X77" s="99">
        <v>131.9</v>
      </c>
      <c r="Y77" s="99">
        <v>135.4</v>
      </c>
      <c r="Z77" s="99">
        <v>129.80000000000001</v>
      </c>
      <c r="AA77" s="103">
        <v>134.6</v>
      </c>
      <c r="AB77" s="103">
        <v>131.9</v>
      </c>
      <c r="AC77" s="103">
        <v>130.9</v>
      </c>
      <c r="AD77" s="103">
        <v>131.9</v>
      </c>
      <c r="AE77" s="104">
        <v>131.5</v>
      </c>
      <c r="AF77" s="104">
        <v>130.4</v>
      </c>
      <c r="AG77" s="105"/>
      <c r="AH77" s="52">
        <f t="shared" si="2"/>
        <v>136.4</v>
      </c>
      <c r="AI77" s="53">
        <f t="shared" si="3"/>
        <v>128.30000000000001</v>
      </c>
    </row>
    <row r="78" spans="1:35" x14ac:dyDescent="0.25">
      <c r="A78" s="98" t="s">
        <v>85</v>
      </c>
      <c r="B78" s="100">
        <v>133.5</v>
      </c>
      <c r="C78" s="70">
        <v>134.5</v>
      </c>
      <c r="D78" s="70">
        <v>133.19999999999999</v>
      </c>
      <c r="E78" s="70">
        <v>131.19999999999999</v>
      </c>
      <c r="F78" s="70">
        <v>130.19999999999999</v>
      </c>
      <c r="G78" s="70">
        <v>132.9</v>
      </c>
      <c r="H78" s="70">
        <v>135.6</v>
      </c>
      <c r="I78" s="70">
        <v>125.1</v>
      </c>
      <c r="J78" s="70">
        <v>127.7</v>
      </c>
      <c r="K78" s="70">
        <v>136.80000000000001</v>
      </c>
      <c r="L78" s="70">
        <v>135.80000000000001</v>
      </c>
      <c r="M78" s="70">
        <v>129</v>
      </c>
      <c r="N78" s="70">
        <v>122.5</v>
      </c>
      <c r="O78" s="70">
        <v>128.6</v>
      </c>
      <c r="P78" s="70">
        <v>129.5</v>
      </c>
      <c r="Q78" s="70">
        <v>131.1</v>
      </c>
      <c r="R78" s="70">
        <v>128.69999999999999</v>
      </c>
      <c r="S78" s="70">
        <v>130.1</v>
      </c>
      <c r="T78" s="99">
        <v>128.69999999999999</v>
      </c>
      <c r="U78" s="99">
        <v>132.1</v>
      </c>
      <c r="V78" s="99">
        <v>132.80000000000001</v>
      </c>
      <c r="W78" s="99">
        <v>131.6</v>
      </c>
      <c r="X78" s="99">
        <v>132.6</v>
      </c>
      <c r="Y78" s="99">
        <v>132.9</v>
      </c>
      <c r="Z78" s="99">
        <v>126.3</v>
      </c>
      <c r="AA78" s="70">
        <v>126.2</v>
      </c>
      <c r="AB78" s="70">
        <v>121.6</v>
      </c>
      <c r="AC78" s="70">
        <v>124.3</v>
      </c>
      <c r="AD78" s="70">
        <v>126.1</v>
      </c>
      <c r="AE78" s="100">
        <v>126.5</v>
      </c>
      <c r="AF78" s="100">
        <v>125.7</v>
      </c>
      <c r="AG78" s="101"/>
      <c r="AH78" s="52">
        <f>MAX(B78:AF78)</f>
        <v>136.80000000000001</v>
      </c>
      <c r="AI78" s="53">
        <f>MIN(B78:AF78)</f>
        <v>121.6</v>
      </c>
    </row>
    <row r="79" spans="1:35" ht="15.75" thickBot="1" x14ac:dyDescent="0.3">
      <c r="A79" s="98" t="s">
        <v>86</v>
      </c>
      <c r="B79" s="107">
        <v>66.900000000000006</v>
      </c>
      <c r="C79" s="106">
        <v>67.099999999999994</v>
      </c>
      <c r="D79" s="106">
        <v>65.900000000000006</v>
      </c>
      <c r="E79" s="106">
        <v>66.5</v>
      </c>
      <c r="F79" s="106">
        <v>66.3</v>
      </c>
      <c r="G79" s="106">
        <v>65.599999999999994</v>
      </c>
      <c r="H79" s="106">
        <v>65.400000000000006</v>
      </c>
      <c r="I79" s="106">
        <v>65.5</v>
      </c>
      <c r="J79" s="106">
        <v>65.3</v>
      </c>
      <c r="K79" s="106">
        <v>65.3</v>
      </c>
      <c r="L79" s="106">
        <v>65.2</v>
      </c>
      <c r="M79" s="106">
        <v>65.599999999999994</v>
      </c>
      <c r="N79" s="106">
        <v>65.3</v>
      </c>
      <c r="O79" s="106">
        <v>65.599999999999994</v>
      </c>
      <c r="P79" s="106">
        <v>65.400000000000006</v>
      </c>
      <c r="Q79" s="106">
        <v>65.7</v>
      </c>
      <c r="R79" s="106">
        <v>65.7</v>
      </c>
      <c r="S79" s="106">
        <v>65</v>
      </c>
      <c r="T79" s="106">
        <v>65.5</v>
      </c>
      <c r="U79" s="106">
        <v>65.7</v>
      </c>
      <c r="V79" s="106">
        <v>65.5</v>
      </c>
      <c r="W79" s="106">
        <v>66.400000000000006</v>
      </c>
      <c r="X79" s="106">
        <v>65.599999999999994</v>
      </c>
      <c r="Y79" s="106">
        <v>66.400000000000006</v>
      </c>
      <c r="Z79" s="106">
        <v>65.400000000000006</v>
      </c>
      <c r="AA79" s="106">
        <v>65.099999999999994</v>
      </c>
      <c r="AB79" s="106">
        <v>65.8</v>
      </c>
      <c r="AC79" s="106">
        <v>65.3</v>
      </c>
      <c r="AD79" s="106">
        <v>65.8</v>
      </c>
      <c r="AE79" s="107">
        <v>66</v>
      </c>
      <c r="AF79" s="107">
        <v>66</v>
      </c>
      <c r="AG79" s="108"/>
      <c r="AH79" s="52">
        <f>MAX(B79:AF79)</f>
        <v>67.099999999999994</v>
      </c>
      <c r="AI79" s="53">
        <f>MIN(B79:AF79)</f>
        <v>65</v>
      </c>
    </row>
    <row r="80" spans="1:35" x14ac:dyDescent="0.25">
      <c r="A80" s="109" t="s">
        <v>87</v>
      </c>
      <c r="B80" s="110">
        <f t="shared" ref="B80:AE80" si="21">SUMIF(B48:B57,"&gt;0")</f>
        <v>193.5</v>
      </c>
      <c r="C80" s="110">
        <f t="shared" si="21"/>
        <v>209</v>
      </c>
      <c r="D80" s="110">
        <f t="shared" si="21"/>
        <v>237</v>
      </c>
      <c r="E80" s="110">
        <f t="shared" si="21"/>
        <v>235.6</v>
      </c>
      <c r="F80" s="110">
        <f t="shared" si="21"/>
        <v>219.72</v>
      </c>
      <c r="G80" s="110">
        <f t="shared" si="21"/>
        <v>185</v>
      </c>
      <c r="H80" s="110">
        <f t="shared" si="21"/>
        <v>196.1</v>
      </c>
      <c r="I80" s="110">
        <f t="shared" si="21"/>
        <v>200.65</v>
      </c>
      <c r="J80" s="110">
        <f t="shared" si="21"/>
        <v>229.3</v>
      </c>
      <c r="K80" s="110">
        <f t="shared" si="21"/>
        <v>248</v>
      </c>
      <c r="L80" s="110">
        <f t="shared" si="21"/>
        <v>271.44</v>
      </c>
      <c r="M80" s="110">
        <f t="shared" si="21"/>
        <v>366.2</v>
      </c>
      <c r="N80" s="110">
        <f t="shared" si="21"/>
        <v>394.2</v>
      </c>
      <c r="O80" s="110">
        <f t="shared" si="21"/>
        <v>351</v>
      </c>
      <c r="P80" s="110">
        <f t="shared" si="21"/>
        <v>372.5</v>
      </c>
      <c r="Q80" s="110">
        <f t="shared" si="21"/>
        <v>350.1</v>
      </c>
      <c r="R80" s="110">
        <f t="shared" si="21"/>
        <v>329.3</v>
      </c>
      <c r="S80" s="110">
        <f t="shared" si="21"/>
        <v>403.7</v>
      </c>
      <c r="T80" s="110">
        <f t="shared" si="21"/>
        <v>343.35</v>
      </c>
      <c r="U80" s="110">
        <f t="shared" si="21"/>
        <v>299.56</v>
      </c>
      <c r="V80" s="110">
        <f t="shared" si="21"/>
        <v>321.52</v>
      </c>
      <c r="W80" s="110">
        <f t="shared" si="21"/>
        <v>294.17</v>
      </c>
      <c r="X80" s="110">
        <f t="shared" si="21"/>
        <v>325.90000000000003</v>
      </c>
      <c r="Y80" s="110">
        <f t="shared" si="21"/>
        <v>279.86</v>
      </c>
      <c r="Z80" s="110">
        <f t="shared" si="21"/>
        <v>384.07</v>
      </c>
      <c r="AA80" s="110">
        <f t="shared" si="21"/>
        <v>379.37</v>
      </c>
      <c r="AB80" s="110">
        <f t="shared" si="21"/>
        <v>354.9</v>
      </c>
      <c r="AC80" s="110">
        <f t="shared" si="21"/>
        <v>388.1</v>
      </c>
      <c r="AD80" s="110">
        <f t="shared" si="21"/>
        <v>295.78999999999996</v>
      </c>
      <c r="AE80" s="110">
        <f t="shared" si="21"/>
        <v>278.8</v>
      </c>
      <c r="AF80" s="110">
        <f>SUMIF(AF48:AF57,"&gt;0")</f>
        <v>251.47</v>
      </c>
      <c r="AG80" s="111"/>
      <c r="AH80" s="52">
        <f>MAX(B80:AF80)</f>
        <v>403.7</v>
      </c>
      <c r="AI80" s="53">
        <f>MIN(B80:AF80)</f>
        <v>185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 t="shared" ref="B82:AF82" si="22">B11+B13+B17+B34+B36+B38+B40+B94+B108+B110+B121+B127+B130+B139+B143+B144+B147+B154+B159+B162+B163+B164+B172+B177+B83+B84+B85+B86+B99</f>
        <v>135.11999999999998</v>
      </c>
      <c r="C82" s="115">
        <f t="shared" si="22"/>
        <v>128.82</v>
      </c>
      <c r="D82" s="115">
        <f t="shared" si="22"/>
        <v>125.21999999999997</v>
      </c>
      <c r="E82" s="115">
        <f t="shared" si="22"/>
        <v>129.82</v>
      </c>
      <c r="F82" s="115">
        <f t="shared" si="22"/>
        <v>145.01999999999995</v>
      </c>
      <c r="G82" s="115">
        <f t="shared" si="22"/>
        <v>166.11999999999995</v>
      </c>
      <c r="H82" s="115">
        <f t="shared" si="22"/>
        <v>180.11999999999995</v>
      </c>
      <c r="I82" s="115">
        <f t="shared" si="22"/>
        <v>192.01999999999998</v>
      </c>
      <c r="J82" s="115">
        <f t="shared" si="22"/>
        <v>206.51999999999998</v>
      </c>
      <c r="K82" s="115">
        <f t="shared" si="22"/>
        <v>226.62</v>
      </c>
      <c r="L82" s="115">
        <f t="shared" si="22"/>
        <v>239.42</v>
      </c>
      <c r="M82" s="115">
        <f t="shared" si="22"/>
        <v>247.51999999999998</v>
      </c>
      <c r="N82" s="115">
        <f t="shared" si="22"/>
        <v>241.82000000000002</v>
      </c>
      <c r="O82" s="115">
        <f t="shared" si="22"/>
        <v>231.82</v>
      </c>
      <c r="P82" s="115">
        <f t="shared" si="22"/>
        <v>228.01999999999998</v>
      </c>
      <c r="Q82" s="115">
        <f t="shared" si="22"/>
        <v>224.42</v>
      </c>
      <c r="R82" s="115">
        <f t="shared" si="22"/>
        <v>223.22</v>
      </c>
      <c r="S82" s="115">
        <f t="shared" si="22"/>
        <v>227.62</v>
      </c>
      <c r="T82" s="115">
        <f t="shared" si="22"/>
        <v>225.51999999999995</v>
      </c>
      <c r="U82" s="115">
        <f t="shared" si="22"/>
        <v>214.52</v>
      </c>
      <c r="V82" s="115">
        <f t="shared" si="22"/>
        <v>214.41999999999996</v>
      </c>
      <c r="W82" s="115">
        <f t="shared" si="22"/>
        <v>233.32</v>
      </c>
      <c r="X82" s="115">
        <f t="shared" si="22"/>
        <v>253.52</v>
      </c>
      <c r="Y82" s="115">
        <f t="shared" si="22"/>
        <v>270.61999999999995</v>
      </c>
      <c r="Z82" s="115">
        <f t="shared" si="22"/>
        <v>297.52</v>
      </c>
      <c r="AA82" s="115">
        <f t="shared" si="22"/>
        <v>301.02</v>
      </c>
      <c r="AB82" s="115">
        <f t="shared" si="22"/>
        <v>287.21999999999997</v>
      </c>
      <c r="AC82" s="115">
        <f t="shared" si="22"/>
        <v>260.21999999999997</v>
      </c>
      <c r="AD82" s="115">
        <f t="shared" si="22"/>
        <v>238.51999999999995</v>
      </c>
      <c r="AE82" s="115">
        <f t="shared" si="22"/>
        <v>159.22</v>
      </c>
      <c r="AF82" s="115">
        <f t="shared" si="22"/>
        <v>143.01999999999995</v>
      </c>
      <c r="AG82" s="116"/>
      <c r="AH82" s="52">
        <f>MAX(B82:AF82)</f>
        <v>301.02</v>
      </c>
      <c r="AI82" s="53">
        <f>MIN(B82:AF82)</f>
        <v>125.21999999999997</v>
      </c>
    </row>
    <row r="83" spans="1:37" x14ac:dyDescent="0.25">
      <c r="A83" s="117" t="s">
        <v>89</v>
      </c>
      <c r="B83" s="119">
        <v>52.6</v>
      </c>
      <c r="C83" s="118">
        <v>50.6</v>
      </c>
      <c r="D83" s="118">
        <v>63.9</v>
      </c>
      <c r="E83" s="118">
        <v>58.4</v>
      </c>
      <c r="F83" s="118">
        <v>59.4</v>
      </c>
      <c r="G83" s="118">
        <v>63.9</v>
      </c>
      <c r="H83" s="118">
        <v>65.400000000000006</v>
      </c>
      <c r="I83" s="118">
        <v>61.1</v>
      </c>
      <c r="J83" s="118">
        <v>66.5</v>
      </c>
      <c r="K83" s="118">
        <v>56</v>
      </c>
      <c r="L83" s="118">
        <v>53.9</v>
      </c>
      <c r="M83" s="118">
        <v>45</v>
      </c>
      <c r="N83" s="118">
        <v>46.4</v>
      </c>
      <c r="O83" s="118">
        <v>45.1</v>
      </c>
      <c r="P83" s="118">
        <v>37</v>
      </c>
      <c r="Q83" s="118">
        <v>47.8</v>
      </c>
      <c r="R83" s="118">
        <v>59.8</v>
      </c>
      <c r="S83" s="118">
        <v>49.9</v>
      </c>
      <c r="T83" s="118">
        <v>51.5</v>
      </c>
      <c r="U83" s="118">
        <v>38.4</v>
      </c>
      <c r="V83" s="118">
        <v>37.9</v>
      </c>
      <c r="W83" s="118">
        <v>46.1</v>
      </c>
      <c r="X83" s="118">
        <v>48.4</v>
      </c>
      <c r="Y83" s="118">
        <v>59.6</v>
      </c>
      <c r="Z83" s="94">
        <v>42.2</v>
      </c>
      <c r="AA83" s="94">
        <v>42.1</v>
      </c>
      <c r="AB83" s="50">
        <v>41.6</v>
      </c>
      <c r="AC83" s="50">
        <v>42</v>
      </c>
      <c r="AD83" s="50">
        <v>38.9</v>
      </c>
      <c r="AE83" s="50">
        <v>41.7</v>
      </c>
      <c r="AF83" s="119">
        <v>41.7</v>
      </c>
      <c r="AG83" s="120">
        <v>75</v>
      </c>
      <c r="AH83" s="52">
        <f>IF(ABS(MAX(B83:AF83))&gt;ABS(MIN(B83:AF83)),MAX(B83:AF83),MIN(B83:AF83))</f>
        <v>66.5</v>
      </c>
      <c r="AI83" s="121">
        <f>INDEX($B$9:$AF$9,1,MATCH(AH83,B83:AF83,0))</f>
        <v>0.29166666666666669</v>
      </c>
    </row>
    <row r="84" spans="1:37" x14ac:dyDescent="0.25">
      <c r="A84" s="122" t="s">
        <v>90</v>
      </c>
      <c r="B84" s="123">
        <v>-62</v>
      </c>
      <c r="C84" s="83">
        <v>-57</v>
      </c>
      <c r="D84" s="83">
        <v>-54</v>
      </c>
      <c r="E84" s="83">
        <v>-50</v>
      </c>
      <c r="F84" s="83">
        <v>-44.9</v>
      </c>
      <c r="G84" s="83">
        <v>-40</v>
      </c>
      <c r="H84" s="83">
        <v>-34</v>
      </c>
      <c r="I84" s="83">
        <v>-27</v>
      </c>
      <c r="J84" s="83">
        <v>-24</v>
      </c>
      <c r="K84" s="83">
        <v>-9</v>
      </c>
      <c r="L84" s="83">
        <v>-6.5</v>
      </c>
      <c r="M84" s="83">
        <v>-12.8</v>
      </c>
      <c r="N84" s="83">
        <v>-8.5</v>
      </c>
      <c r="O84" s="83">
        <v>-14.5</v>
      </c>
      <c r="P84" s="83">
        <v>-12.8</v>
      </c>
      <c r="Q84" s="83">
        <v>-18</v>
      </c>
      <c r="R84" s="83">
        <v>-27</v>
      </c>
      <c r="S84" s="83">
        <v>-10.199999999999999</v>
      </c>
      <c r="T84" s="83">
        <v>-15</v>
      </c>
      <c r="U84" s="83">
        <v>-7.5</v>
      </c>
      <c r="V84" s="83">
        <v>-7.6</v>
      </c>
      <c r="W84" s="83">
        <v>-13</v>
      </c>
      <c r="X84" s="83">
        <v>-6.3</v>
      </c>
      <c r="Y84" s="83">
        <v>-15.2</v>
      </c>
      <c r="Z84" s="70">
        <v>-7</v>
      </c>
      <c r="AA84" s="70">
        <v>12.3</v>
      </c>
      <c r="AB84" s="70">
        <v>22.7</v>
      </c>
      <c r="AC84" s="70">
        <v>14.7</v>
      </c>
      <c r="AD84" s="70">
        <v>30.9</v>
      </c>
      <c r="AE84" s="70">
        <v>-40</v>
      </c>
      <c r="AF84" s="123">
        <v>-47</v>
      </c>
      <c r="AG84" s="120">
        <v>240</v>
      </c>
      <c r="AH84" s="52">
        <f>IF(ABS(MAX(B84:AF84))&gt;ABS(MIN(B84:AF84)),MAX(B84:AF84),MIN(B84:AF84))</f>
        <v>-62</v>
      </c>
      <c r="AI84" s="121">
        <f>INDEX($B$9:$AF$9,1,MATCH(AH84,B84:AF84,0))</f>
        <v>4.1666666666666664E-2</v>
      </c>
    </row>
    <row r="85" spans="1:37" x14ac:dyDescent="0.25">
      <c r="A85" s="122" t="s">
        <v>91</v>
      </c>
      <c r="B85" s="123">
        <v>23.5</v>
      </c>
      <c r="C85" s="83">
        <v>16.8</v>
      </c>
      <c r="D85" s="83">
        <v>-2</v>
      </c>
      <c r="E85" s="83">
        <v>-0.2</v>
      </c>
      <c r="F85" s="83">
        <v>0.6</v>
      </c>
      <c r="G85" s="83">
        <v>4.2</v>
      </c>
      <c r="H85" s="83">
        <v>5.2</v>
      </c>
      <c r="I85" s="83">
        <v>13.4</v>
      </c>
      <c r="J85" s="83">
        <v>13.2</v>
      </c>
      <c r="K85" s="83">
        <v>20.8</v>
      </c>
      <c r="L85" s="83">
        <v>27.1</v>
      </c>
      <c r="M85" s="83">
        <v>22.4</v>
      </c>
      <c r="N85" s="83">
        <v>15.2</v>
      </c>
      <c r="O85" s="83">
        <v>20.7</v>
      </c>
      <c r="P85" s="83">
        <v>21.4</v>
      </c>
      <c r="Q85" s="83">
        <v>15.8</v>
      </c>
      <c r="R85" s="83">
        <v>12.5</v>
      </c>
      <c r="S85" s="83">
        <v>7</v>
      </c>
      <c r="T85" s="83">
        <v>14.2</v>
      </c>
      <c r="U85" s="83">
        <v>9</v>
      </c>
      <c r="V85" s="83">
        <v>7</v>
      </c>
      <c r="W85" s="83">
        <v>8.9</v>
      </c>
      <c r="X85" s="83">
        <v>11.6</v>
      </c>
      <c r="Y85" s="83">
        <v>18.100000000000001</v>
      </c>
      <c r="Z85" s="70">
        <v>35.799999999999997</v>
      </c>
      <c r="AA85" s="70">
        <v>31</v>
      </c>
      <c r="AB85" s="70">
        <v>33.799999999999997</v>
      </c>
      <c r="AC85" s="70">
        <v>16.5</v>
      </c>
      <c r="AD85" s="70">
        <v>12.9</v>
      </c>
      <c r="AE85" s="70">
        <v>10.3</v>
      </c>
      <c r="AF85" s="123">
        <v>10.4</v>
      </c>
      <c r="AG85" s="120">
        <v>60</v>
      </c>
      <c r="AH85" s="52">
        <f>IF(ABS(MAX(B85:AF85))&gt;ABS(MIN(B85:AF85)),MAX(B85:AF85),MIN(B85:AF85))</f>
        <v>35.799999999999997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>
        <v>-75</v>
      </c>
      <c r="C86" s="85">
        <v>-77</v>
      </c>
      <c r="D86" s="85">
        <v>-77.599999999999994</v>
      </c>
      <c r="E86" s="85">
        <v>-71.599999999999994</v>
      </c>
      <c r="F86" s="85">
        <v>-65</v>
      </c>
      <c r="G86" s="85">
        <v>-56.7</v>
      </c>
      <c r="H86" s="85">
        <v>-52.2</v>
      </c>
      <c r="I86" s="85">
        <v>-48.4</v>
      </c>
      <c r="J86" s="85">
        <v>-42</v>
      </c>
      <c r="K86" s="85">
        <v>-34</v>
      </c>
      <c r="L86" s="85">
        <v>-28</v>
      </c>
      <c r="M86" s="85">
        <v>0</v>
      </c>
      <c r="N86" s="85">
        <v>-4.0999999999999996</v>
      </c>
      <c r="O86" s="85">
        <v>-10.7</v>
      </c>
      <c r="P86" s="85">
        <v>-8.6</v>
      </c>
      <c r="Q86" s="85">
        <v>-10.3</v>
      </c>
      <c r="R86" s="85">
        <v>-7.7</v>
      </c>
      <c r="S86" s="85">
        <v>-8.9</v>
      </c>
      <c r="T86" s="85">
        <v>-9.8000000000000007</v>
      </c>
      <c r="U86" s="85">
        <v>-15.7</v>
      </c>
      <c r="V86" s="85">
        <v>-14.3</v>
      </c>
      <c r="W86" s="85">
        <v>0</v>
      </c>
      <c r="X86" s="85">
        <v>11.3</v>
      </c>
      <c r="Y86" s="85">
        <v>18.2</v>
      </c>
      <c r="Z86" s="70">
        <v>33.200000000000003</v>
      </c>
      <c r="AA86" s="70">
        <v>22.1</v>
      </c>
      <c r="AB86" s="125">
        <v>-3.9</v>
      </c>
      <c r="AC86" s="125">
        <v>-7.1</v>
      </c>
      <c r="AD86" s="125">
        <v>-40</v>
      </c>
      <c r="AE86" s="125">
        <v>-46.8</v>
      </c>
      <c r="AF86" s="126">
        <v>-55.4</v>
      </c>
      <c r="AG86" s="127">
        <v>120</v>
      </c>
      <c r="AH86" s="52">
        <f>IF(ABS(MAX(B86:AF86))&gt;ABS(MIN(B86:AF86)),MAX(B86:AF86),MIN(B86:AF86))</f>
        <v>-77.599999999999994</v>
      </c>
      <c r="AI86" s="121">
        <f>INDEX($B$9:$AF$9,1,MATCH(AH86,B86:AF86,0))</f>
        <v>0.125</v>
      </c>
    </row>
    <row r="87" spans="1:37" ht="15.75" thickBot="1" x14ac:dyDescent="0.3">
      <c r="A87" s="124" t="s">
        <v>93</v>
      </c>
      <c r="B87" s="126">
        <v>5.3</v>
      </c>
      <c r="C87" s="85">
        <v>16.5</v>
      </c>
      <c r="D87" s="85">
        <v>31.6</v>
      </c>
      <c r="E87" s="85">
        <v>35.700000000000003</v>
      </c>
      <c r="F87" s="85">
        <v>36.4</v>
      </c>
      <c r="G87" s="85">
        <v>27.5</v>
      </c>
      <c r="H87" s="85">
        <v>33.6</v>
      </c>
      <c r="I87" s="85">
        <v>33.5</v>
      </c>
      <c r="J87" s="85">
        <v>34.299999999999997</v>
      </c>
      <c r="K87" s="85">
        <v>48</v>
      </c>
      <c r="L87" s="85">
        <v>50.6</v>
      </c>
      <c r="M87" s="85">
        <v>64.900000000000006</v>
      </c>
      <c r="N87" s="85">
        <v>73</v>
      </c>
      <c r="O87" s="85">
        <v>59</v>
      </c>
      <c r="P87" s="85">
        <v>66.400000000000006</v>
      </c>
      <c r="Q87" s="85">
        <v>60.1</v>
      </c>
      <c r="R87" s="85">
        <v>32.9</v>
      </c>
      <c r="S87" s="85">
        <v>75.2</v>
      </c>
      <c r="T87" s="85">
        <v>58.4</v>
      </c>
      <c r="U87" s="85">
        <v>61.1</v>
      </c>
      <c r="V87" s="85">
        <v>70.2</v>
      </c>
      <c r="W87" s="85">
        <v>54.6</v>
      </c>
      <c r="X87" s="85">
        <v>60.7</v>
      </c>
      <c r="Y87" s="85">
        <v>23.2</v>
      </c>
      <c r="Z87" s="85">
        <v>45.6</v>
      </c>
      <c r="AA87" s="85">
        <v>41.2</v>
      </c>
      <c r="AB87" s="125">
        <v>43.2</v>
      </c>
      <c r="AC87" s="125">
        <v>64.5</v>
      </c>
      <c r="AD87" s="125">
        <v>53.1</v>
      </c>
      <c r="AE87" s="125">
        <v>44.1</v>
      </c>
      <c r="AF87" s="126">
        <v>39</v>
      </c>
      <c r="AG87" s="127"/>
      <c r="AH87" s="52">
        <f>IF(ABS(MAX(B87:AF87))&gt;ABS(MIN(B87:AF87)),MAX(B87:AF87),MIN(B87:AF87))</f>
        <v>75.2</v>
      </c>
      <c r="AI87" s="121">
        <f>INDEX($B$9:$AF$9,1,MATCH(AH87,B87:AF87,0))</f>
        <v>0.625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3">B89</f>
        <v>9.9</v>
      </c>
      <c r="D89" s="133">
        <f t="shared" si="23"/>
        <v>9.9</v>
      </c>
      <c r="E89" s="133">
        <f t="shared" si="23"/>
        <v>9.9</v>
      </c>
      <c r="F89" s="133">
        <f t="shared" si="23"/>
        <v>9.9</v>
      </c>
      <c r="G89" s="133">
        <f t="shared" si="23"/>
        <v>9.9</v>
      </c>
      <c r="H89" s="133">
        <f t="shared" si="23"/>
        <v>9.9</v>
      </c>
      <c r="I89" s="133">
        <f t="shared" si="23"/>
        <v>9.9</v>
      </c>
      <c r="J89" s="133">
        <f t="shared" si="23"/>
        <v>9.9</v>
      </c>
      <c r="K89" s="133">
        <f t="shared" si="23"/>
        <v>9.9</v>
      </c>
      <c r="L89" s="133">
        <f t="shared" si="23"/>
        <v>9.9</v>
      </c>
      <c r="M89" s="133">
        <f t="shared" si="23"/>
        <v>9.9</v>
      </c>
      <c r="N89" s="133">
        <f t="shared" si="23"/>
        <v>9.9</v>
      </c>
      <c r="O89" s="133">
        <f t="shared" si="23"/>
        <v>9.9</v>
      </c>
      <c r="P89" s="133">
        <f t="shared" si="23"/>
        <v>9.9</v>
      </c>
      <c r="Q89" s="133">
        <f t="shared" si="23"/>
        <v>9.9</v>
      </c>
      <c r="R89" s="133">
        <f t="shared" si="23"/>
        <v>9.9</v>
      </c>
      <c r="S89" s="133">
        <f t="shared" ref="S89:AF104" si="24">R89</f>
        <v>9.9</v>
      </c>
      <c r="T89" s="133">
        <f t="shared" si="24"/>
        <v>9.9</v>
      </c>
      <c r="U89" s="133">
        <f t="shared" si="24"/>
        <v>9.9</v>
      </c>
      <c r="V89" s="133">
        <f t="shared" si="24"/>
        <v>9.9</v>
      </c>
      <c r="W89" s="133">
        <f t="shared" si="24"/>
        <v>9.9</v>
      </c>
      <c r="X89" s="133">
        <f t="shared" si="24"/>
        <v>9.9</v>
      </c>
      <c r="Y89" s="133">
        <f t="shared" si="24"/>
        <v>9.9</v>
      </c>
      <c r="Z89" s="133">
        <f t="shared" si="24"/>
        <v>9.9</v>
      </c>
      <c r="AA89" s="133">
        <f t="shared" si="24"/>
        <v>9.9</v>
      </c>
      <c r="AB89" s="133">
        <f t="shared" si="24"/>
        <v>9.9</v>
      </c>
      <c r="AC89" s="133">
        <f t="shared" si="24"/>
        <v>9.9</v>
      </c>
      <c r="AD89" s="133">
        <f t="shared" si="24"/>
        <v>9.9</v>
      </c>
      <c r="AE89" s="133">
        <f t="shared" si="24"/>
        <v>9.9</v>
      </c>
      <c r="AF89" s="133">
        <f t="shared" si="24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3"/>
        <v>9.6</v>
      </c>
      <c r="D90" s="136">
        <f t="shared" si="23"/>
        <v>9.6</v>
      </c>
      <c r="E90" s="136">
        <f t="shared" si="23"/>
        <v>9.6</v>
      </c>
      <c r="F90" s="136">
        <f t="shared" si="23"/>
        <v>9.6</v>
      </c>
      <c r="G90" s="136">
        <f t="shared" si="23"/>
        <v>9.6</v>
      </c>
      <c r="H90" s="136">
        <f t="shared" si="23"/>
        <v>9.6</v>
      </c>
      <c r="I90" s="136">
        <f t="shared" si="23"/>
        <v>9.6</v>
      </c>
      <c r="J90" s="136">
        <f t="shared" si="23"/>
        <v>9.6</v>
      </c>
      <c r="K90" s="136">
        <f t="shared" si="23"/>
        <v>9.6</v>
      </c>
      <c r="L90" s="136">
        <f t="shared" si="23"/>
        <v>9.6</v>
      </c>
      <c r="M90" s="136">
        <f t="shared" si="23"/>
        <v>9.6</v>
      </c>
      <c r="N90" s="136">
        <f t="shared" si="23"/>
        <v>9.6</v>
      </c>
      <c r="O90" s="136">
        <f t="shared" si="23"/>
        <v>9.6</v>
      </c>
      <c r="P90" s="136">
        <f t="shared" si="23"/>
        <v>9.6</v>
      </c>
      <c r="Q90" s="136">
        <f t="shared" si="23"/>
        <v>9.6</v>
      </c>
      <c r="R90" s="136">
        <f t="shared" si="23"/>
        <v>9.6</v>
      </c>
      <c r="S90" s="136">
        <f t="shared" si="24"/>
        <v>9.6</v>
      </c>
      <c r="T90" s="136">
        <f t="shared" si="24"/>
        <v>9.6</v>
      </c>
      <c r="U90" s="136">
        <f t="shared" si="24"/>
        <v>9.6</v>
      </c>
      <c r="V90" s="136">
        <f t="shared" si="24"/>
        <v>9.6</v>
      </c>
      <c r="W90" s="136">
        <f t="shared" si="24"/>
        <v>9.6</v>
      </c>
      <c r="X90" s="136">
        <f t="shared" si="24"/>
        <v>9.6</v>
      </c>
      <c r="Y90" s="136">
        <f t="shared" si="24"/>
        <v>9.6</v>
      </c>
      <c r="Z90" s="136">
        <f t="shared" si="24"/>
        <v>9.6</v>
      </c>
      <c r="AA90" s="136">
        <f t="shared" si="24"/>
        <v>9.6</v>
      </c>
      <c r="AB90" s="136">
        <f t="shared" si="24"/>
        <v>9.6</v>
      </c>
      <c r="AC90" s="136">
        <f t="shared" si="24"/>
        <v>9.6</v>
      </c>
      <c r="AD90" s="136">
        <f t="shared" si="24"/>
        <v>9.6</v>
      </c>
      <c r="AE90" s="136">
        <f t="shared" si="24"/>
        <v>9.6</v>
      </c>
      <c r="AF90" s="136">
        <f t="shared" si="24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3"/>
        <v>9.98</v>
      </c>
      <c r="D91" s="136">
        <f t="shared" si="23"/>
        <v>9.98</v>
      </c>
      <c r="E91" s="136">
        <f t="shared" si="23"/>
        <v>9.98</v>
      </c>
      <c r="F91" s="136">
        <f t="shared" si="23"/>
        <v>9.98</v>
      </c>
      <c r="G91" s="136">
        <f t="shared" si="23"/>
        <v>9.98</v>
      </c>
      <c r="H91" s="136">
        <f t="shared" si="23"/>
        <v>9.98</v>
      </c>
      <c r="I91" s="136">
        <f t="shared" si="23"/>
        <v>9.98</v>
      </c>
      <c r="J91" s="136">
        <f t="shared" si="23"/>
        <v>9.98</v>
      </c>
      <c r="K91" s="136">
        <f t="shared" si="23"/>
        <v>9.98</v>
      </c>
      <c r="L91" s="136">
        <f t="shared" si="23"/>
        <v>9.98</v>
      </c>
      <c r="M91" s="136">
        <f t="shared" si="23"/>
        <v>9.98</v>
      </c>
      <c r="N91" s="136">
        <f t="shared" si="23"/>
        <v>9.98</v>
      </c>
      <c r="O91" s="136">
        <f t="shared" si="23"/>
        <v>9.98</v>
      </c>
      <c r="P91" s="136">
        <f t="shared" si="23"/>
        <v>9.98</v>
      </c>
      <c r="Q91" s="136">
        <f t="shared" si="23"/>
        <v>9.98</v>
      </c>
      <c r="R91" s="136">
        <f t="shared" si="23"/>
        <v>9.98</v>
      </c>
      <c r="S91" s="136">
        <f t="shared" si="24"/>
        <v>9.98</v>
      </c>
      <c r="T91" s="136">
        <f t="shared" si="24"/>
        <v>9.98</v>
      </c>
      <c r="U91" s="136">
        <f t="shared" si="24"/>
        <v>9.98</v>
      </c>
      <c r="V91" s="136">
        <f t="shared" si="24"/>
        <v>9.98</v>
      </c>
      <c r="W91" s="136">
        <f t="shared" si="24"/>
        <v>9.98</v>
      </c>
      <c r="X91" s="136">
        <f t="shared" si="24"/>
        <v>9.98</v>
      </c>
      <c r="Y91" s="136">
        <f t="shared" si="24"/>
        <v>9.98</v>
      </c>
      <c r="Z91" s="136">
        <f t="shared" si="24"/>
        <v>9.98</v>
      </c>
      <c r="AA91" s="136">
        <f t="shared" si="24"/>
        <v>9.98</v>
      </c>
      <c r="AB91" s="136">
        <f t="shared" si="24"/>
        <v>9.98</v>
      </c>
      <c r="AC91" s="136">
        <f t="shared" si="24"/>
        <v>9.98</v>
      </c>
      <c r="AD91" s="136">
        <f t="shared" si="24"/>
        <v>9.98</v>
      </c>
      <c r="AE91" s="136">
        <f t="shared" si="24"/>
        <v>9.98</v>
      </c>
      <c r="AF91" s="136">
        <f t="shared" si="24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3"/>
        <v>9.1</v>
      </c>
      <c r="D92" s="136">
        <f t="shared" si="23"/>
        <v>9.1</v>
      </c>
      <c r="E92" s="136">
        <f t="shared" si="23"/>
        <v>9.1</v>
      </c>
      <c r="F92" s="136">
        <f t="shared" si="23"/>
        <v>9.1</v>
      </c>
      <c r="G92" s="136">
        <f t="shared" si="23"/>
        <v>9.1</v>
      </c>
      <c r="H92" s="136">
        <f t="shared" si="23"/>
        <v>9.1</v>
      </c>
      <c r="I92" s="136">
        <f t="shared" si="23"/>
        <v>9.1</v>
      </c>
      <c r="J92" s="136">
        <f t="shared" si="23"/>
        <v>9.1</v>
      </c>
      <c r="K92" s="136">
        <f t="shared" si="23"/>
        <v>9.1</v>
      </c>
      <c r="L92" s="136">
        <f t="shared" si="23"/>
        <v>9.1</v>
      </c>
      <c r="M92" s="136">
        <f t="shared" si="23"/>
        <v>9.1</v>
      </c>
      <c r="N92" s="136">
        <f t="shared" si="23"/>
        <v>9.1</v>
      </c>
      <c r="O92" s="136">
        <f t="shared" si="23"/>
        <v>9.1</v>
      </c>
      <c r="P92" s="136">
        <f t="shared" si="23"/>
        <v>9.1</v>
      </c>
      <c r="Q92" s="136">
        <f t="shared" si="23"/>
        <v>9.1</v>
      </c>
      <c r="R92" s="136">
        <f t="shared" si="23"/>
        <v>9.1</v>
      </c>
      <c r="S92" s="136">
        <f t="shared" si="24"/>
        <v>9.1</v>
      </c>
      <c r="T92" s="136">
        <f t="shared" si="24"/>
        <v>9.1</v>
      </c>
      <c r="U92" s="136">
        <f t="shared" si="24"/>
        <v>9.1</v>
      </c>
      <c r="V92" s="136">
        <f t="shared" si="24"/>
        <v>9.1</v>
      </c>
      <c r="W92" s="136">
        <f t="shared" si="24"/>
        <v>9.1</v>
      </c>
      <c r="X92" s="136">
        <f t="shared" si="24"/>
        <v>9.1</v>
      </c>
      <c r="Y92" s="136">
        <f t="shared" si="24"/>
        <v>9.1</v>
      </c>
      <c r="Z92" s="136">
        <f t="shared" si="24"/>
        <v>9.1</v>
      </c>
      <c r="AA92" s="136">
        <f t="shared" si="24"/>
        <v>9.1</v>
      </c>
      <c r="AB92" s="136">
        <f t="shared" si="24"/>
        <v>9.1</v>
      </c>
      <c r="AC92" s="136">
        <f t="shared" si="24"/>
        <v>9.1</v>
      </c>
      <c r="AD92" s="136">
        <f t="shared" si="24"/>
        <v>9.1</v>
      </c>
      <c r="AE92" s="136">
        <f t="shared" si="24"/>
        <v>9.1</v>
      </c>
      <c r="AF92" s="136">
        <f t="shared" si="24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3"/>
        <v>9.18</v>
      </c>
      <c r="D93" s="136">
        <f t="shared" si="23"/>
        <v>9.18</v>
      </c>
      <c r="E93" s="136">
        <f t="shared" si="23"/>
        <v>9.18</v>
      </c>
      <c r="F93" s="136">
        <f t="shared" si="23"/>
        <v>9.18</v>
      </c>
      <c r="G93" s="136">
        <f t="shared" si="23"/>
        <v>9.18</v>
      </c>
      <c r="H93" s="136">
        <f t="shared" si="23"/>
        <v>9.18</v>
      </c>
      <c r="I93" s="136">
        <f t="shared" si="23"/>
        <v>9.18</v>
      </c>
      <c r="J93" s="136">
        <f t="shared" si="23"/>
        <v>9.18</v>
      </c>
      <c r="K93" s="136">
        <f t="shared" si="23"/>
        <v>9.18</v>
      </c>
      <c r="L93" s="136">
        <f t="shared" si="23"/>
        <v>9.18</v>
      </c>
      <c r="M93" s="136">
        <f t="shared" si="23"/>
        <v>9.18</v>
      </c>
      <c r="N93" s="136">
        <f t="shared" si="23"/>
        <v>9.18</v>
      </c>
      <c r="O93" s="136">
        <f t="shared" si="23"/>
        <v>9.18</v>
      </c>
      <c r="P93" s="136">
        <f t="shared" si="23"/>
        <v>9.18</v>
      </c>
      <c r="Q93" s="136">
        <f t="shared" si="23"/>
        <v>9.18</v>
      </c>
      <c r="R93" s="136">
        <f t="shared" si="23"/>
        <v>9.18</v>
      </c>
      <c r="S93" s="136">
        <f t="shared" si="24"/>
        <v>9.18</v>
      </c>
      <c r="T93" s="136">
        <f t="shared" si="24"/>
        <v>9.18</v>
      </c>
      <c r="U93" s="136">
        <f t="shared" si="24"/>
        <v>9.18</v>
      </c>
      <c r="V93" s="136">
        <f t="shared" si="24"/>
        <v>9.18</v>
      </c>
      <c r="W93" s="136">
        <f t="shared" si="24"/>
        <v>9.18</v>
      </c>
      <c r="X93" s="136">
        <f t="shared" si="24"/>
        <v>9.18</v>
      </c>
      <c r="Y93" s="136">
        <f t="shared" si="24"/>
        <v>9.18</v>
      </c>
      <c r="Z93" s="136">
        <f t="shared" si="24"/>
        <v>9.18</v>
      </c>
      <c r="AA93" s="136">
        <f t="shared" si="24"/>
        <v>9.18</v>
      </c>
      <c r="AB93" s="136">
        <f t="shared" si="24"/>
        <v>9.18</v>
      </c>
      <c r="AC93" s="136">
        <f t="shared" si="24"/>
        <v>9.18</v>
      </c>
      <c r="AD93" s="136">
        <f t="shared" si="24"/>
        <v>9.18</v>
      </c>
      <c r="AE93" s="136">
        <f t="shared" si="24"/>
        <v>9.18</v>
      </c>
      <c r="AF93" s="136">
        <f t="shared" si="24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3"/>
        <v>7</v>
      </c>
      <c r="D94" s="136">
        <f t="shared" si="23"/>
        <v>7</v>
      </c>
      <c r="E94" s="136">
        <f t="shared" si="23"/>
        <v>7</v>
      </c>
      <c r="F94" s="136">
        <f t="shared" si="23"/>
        <v>7</v>
      </c>
      <c r="G94" s="136">
        <f t="shared" si="23"/>
        <v>7</v>
      </c>
      <c r="H94" s="136">
        <f t="shared" si="23"/>
        <v>7</v>
      </c>
      <c r="I94" s="136">
        <f t="shared" si="23"/>
        <v>7</v>
      </c>
      <c r="J94" s="136">
        <f t="shared" si="23"/>
        <v>7</v>
      </c>
      <c r="K94" s="136">
        <f t="shared" si="23"/>
        <v>7</v>
      </c>
      <c r="L94" s="136">
        <f t="shared" si="23"/>
        <v>7</v>
      </c>
      <c r="M94" s="136">
        <f t="shared" si="23"/>
        <v>7</v>
      </c>
      <c r="N94" s="136">
        <f t="shared" si="23"/>
        <v>7</v>
      </c>
      <c r="O94" s="136">
        <f t="shared" si="23"/>
        <v>7</v>
      </c>
      <c r="P94" s="136">
        <f t="shared" si="23"/>
        <v>7</v>
      </c>
      <c r="Q94" s="136">
        <f t="shared" si="23"/>
        <v>7</v>
      </c>
      <c r="R94" s="136">
        <f t="shared" si="23"/>
        <v>7</v>
      </c>
      <c r="S94" s="136">
        <f t="shared" si="24"/>
        <v>7</v>
      </c>
      <c r="T94" s="136">
        <f t="shared" si="24"/>
        <v>7</v>
      </c>
      <c r="U94" s="136">
        <f t="shared" si="24"/>
        <v>7</v>
      </c>
      <c r="V94" s="136">
        <f t="shared" si="24"/>
        <v>7</v>
      </c>
      <c r="W94" s="136">
        <f t="shared" si="24"/>
        <v>7</v>
      </c>
      <c r="X94" s="136">
        <f t="shared" si="24"/>
        <v>7</v>
      </c>
      <c r="Y94" s="136">
        <f t="shared" si="24"/>
        <v>7</v>
      </c>
      <c r="Z94" s="136">
        <f t="shared" si="24"/>
        <v>7</v>
      </c>
      <c r="AA94" s="136">
        <f t="shared" si="24"/>
        <v>7</v>
      </c>
      <c r="AB94" s="136">
        <f t="shared" si="24"/>
        <v>7</v>
      </c>
      <c r="AC94" s="136">
        <f t="shared" si="24"/>
        <v>7</v>
      </c>
      <c r="AD94" s="136">
        <f t="shared" si="24"/>
        <v>7</v>
      </c>
      <c r="AE94" s="136">
        <f t="shared" si="24"/>
        <v>7</v>
      </c>
      <c r="AF94" s="136">
        <f t="shared" si="24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3"/>
        <v>2.25</v>
      </c>
      <c r="D95" s="136">
        <f t="shared" si="23"/>
        <v>2.25</v>
      </c>
      <c r="E95" s="136">
        <f t="shared" si="23"/>
        <v>2.25</v>
      </c>
      <c r="F95" s="136">
        <f t="shared" si="23"/>
        <v>2.25</v>
      </c>
      <c r="G95" s="136">
        <f t="shared" si="23"/>
        <v>2.25</v>
      </c>
      <c r="H95" s="136">
        <f t="shared" si="23"/>
        <v>2.25</v>
      </c>
      <c r="I95" s="136">
        <f t="shared" si="23"/>
        <v>2.25</v>
      </c>
      <c r="J95" s="136">
        <f t="shared" si="23"/>
        <v>2.25</v>
      </c>
      <c r="K95" s="136">
        <f t="shared" si="23"/>
        <v>2.25</v>
      </c>
      <c r="L95" s="136">
        <f t="shared" si="23"/>
        <v>2.25</v>
      </c>
      <c r="M95" s="136">
        <f t="shared" si="23"/>
        <v>2.25</v>
      </c>
      <c r="N95" s="136">
        <f t="shared" si="23"/>
        <v>2.25</v>
      </c>
      <c r="O95" s="136">
        <f t="shared" si="23"/>
        <v>2.25</v>
      </c>
      <c r="P95" s="136">
        <f t="shared" si="23"/>
        <v>2.25</v>
      </c>
      <c r="Q95" s="136">
        <f t="shared" si="23"/>
        <v>2.25</v>
      </c>
      <c r="R95" s="136">
        <f t="shared" si="23"/>
        <v>2.25</v>
      </c>
      <c r="S95" s="136">
        <f t="shared" si="24"/>
        <v>2.25</v>
      </c>
      <c r="T95" s="136">
        <f t="shared" si="24"/>
        <v>2.25</v>
      </c>
      <c r="U95" s="136">
        <f t="shared" si="24"/>
        <v>2.25</v>
      </c>
      <c r="V95" s="136">
        <f t="shared" si="24"/>
        <v>2.25</v>
      </c>
      <c r="W95" s="136">
        <f t="shared" si="24"/>
        <v>2.25</v>
      </c>
      <c r="X95" s="136">
        <f t="shared" si="24"/>
        <v>2.25</v>
      </c>
      <c r="Y95" s="136">
        <f t="shared" si="24"/>
        <v>2.25</v>
      </c>
      <c r="Z95" s="136">
        <f t="shared" si="24"/>
        <v>2.25</v>
      </c>
      <c r="AA95" s="136">
        <f t="shared" si="24"/>
        <v>2.25</v>
      </c>
      <c r="AB95" s="136">
        <f t="shared" si="24"/>
        <v>2.25</v>
      </c>
      <c r="AC95" s="136">
        <f t="shared" si="24"/>
        <v>2.25</v>
      </c>
      <c r="AD95" s="136">
        <f t="shared" si="24"/>
        <v>2.25</v>
      </c>
      <c r="AE95" s="136">
        <f t="shared" si="24"/>
        <v>2.25</v>
      </c>
      <c r="AF95" s="136">
        <f t="shared" si="24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3"/>
        <v>1.64</v>
      </c>
      <c r="D96" s="136">
        <f t="shared" si="23"/>
        <v>1.64</v>
      </c>
      <c r="E96" s="136">
        <f t="shared" si="23"/>
        <v>1.64</v>
      </c>
      <c r="F96" s="136">
        <f t="shared" si="23"/>
        <v>1.64</v>
      </c>
      <c r="G96" s="136">
        <f t="shared" si="23"/>
        <v>1.64</v>
      </c>
      <c r="H96" s="136">
        <f t="shared" si="23"/>
        <v>1.64</v>
      </c>
      <c r="I96" s="136">
        <f t="shared" si="23"/>
        <v>1.64</v>
      </c>
      <c r="J96" s="136">
        <f t="shared" si="23"/>
        <v>1.64</v>
      </c>
      <c r="K96" s="136">
        <f t="shared" si="23"/>
        <v>1.64</v>
      </c>
      <c r="L96" s="136">
        <f t="shared" si="23"/>
        <v>1.64</v>
      </c>
      <c r="M96" s="136">
        <f t="shared" si="23"/>
        <v>1.64</v>
      </c>
      <c r="N96" s="136">
        <f t="shared" si="23"/>
        <v>1.64</v>
      </c>
      <c r="O96" s="136">
        <f t="shared" si="23"/>
        <v>1.64</v>
      </c>
      <c r="P96" s="136">
        <f t="shared" si="23"/>
        <v>1.64</v>
      </c>
      <c r="Q96" s="136">
        <f t="shared" si="23"/>
        <v>1.64</v>
      </c>
      <c r="R96" s="136">
        <f t="shared" si="23"/>
        <v>1.64</v>
      </c>
      <c r="S96" s="136">
        <f t="shared" si="24"/>
        <v>1.64</v>
      </c>
      <c r="T96" s="136">
        <f t="shared" si="24"/>
        <v>1.64</v>
      </c>
      <c r="U96" s="136">
        <f t="shared" si="24"/>
        <v>1.64</v>
      </c>
      <c r="V96" s="136">
        <f t="shared" si="24"/>
        <v>1.64</v>
      </c>
      <c r="W96" s="136">
        <f t="shared" si="24"/>
        <v>1.64</v>
      </c>
      <c r="X96" s="136">
        <f t="shared" si="24"/>
        <v>1.64</v>
      </c>
      <c r="Y96" s="136">
        <f t="shared" si="24"/>
        <v>1.64</v>
      </c>
      <c r="Z96" s="136">
        <f t="shared" si="24"/>
        <v>1.64</v>
      </c>
      <c r="AA96" s="136">
        <f t="shared" si="24"/>
        <v>1.64</v>
      </c>
      <c r="AB96" s="136">
        <f t="shared" si="24"/>
        <v>1.64</v>
      </c>
      <c r="AC96" s="136">
        <f t="shared" si="24"/>
        <v>1.64</v>
      </c>
      <c r="AD96" s="136">
        <f t="shared" si="24"/>
        <v>1.64</v>
      </c>
      <c r="AE96" s="136">
        <f t="shared" si="24"/>
        <v>1.64</v>
      </c>
      <c r="AF96" s="136">
        <f t="shared" si="24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3"/>
        <v>1.62</v>
      </c>
      <c r="D97" s="136">
        <f t="shared" si="23"/>
        <v>1.62</v>
      </c>
      <c r="E97" s="136">
        <f t="shared" si="23"/>
        <v>1.62</v>
      </c>
      <c r="F97" s="136">
        <f t="shared" si="23"/>
        <v>1.62</v>
      </c>
      <c r="G97" s="136">
        <f t="shared" si="23"/>
        <v>1.62</v>
      </c>
      <c r="H97" s="136">
        <f t="shared" si="23"/>
        <v>1.62</v>
      </c>
      <c r="I97" s="136">
        <f t="shared" si="23"/>
        <v>1.62</v>
      </c>
      <c r="J97" s="136">
        <f t="shared" si="23"/>
        <v>1.62</v>
      </c>
      <c r="K97" s="136">
        <f t="shared" si="23"/>
        <v>1.62</v>
      </c>
      <c r="L97" s="136">
        <f t="shared" si="23"/>
        <v>1.62</v>
      </c>
      <c r="M97" s="136">
        <f t="shared" si="23"/>
        <v>1.62</v>
      </c>
      <c r="N97" s="136">
        <f t="shared" si="23"/>
        <v>1.62</v>
      </c>
      <c r="O97" s="136">
        <f t="shared" si="23"/>
        <v>1.62</v>
      </c>
      <c r="P97" s="136">
        <f t="shared" si="23"/>
        <v>1.62</v>
      </c>
      <c r="Q97" s="136">
        <f t="shared" si="23"/>
        <v>1.62</v>
      </c>
      <c r="R97" s="136">
        <f t="shared" si="23"/>
        <v>1.62</v>
      </c>
      <c r="S97" s="136">
        <f t="shared" si="24"/>
        <v>1.62</v>
      </c>
      <c r="T97" s="136">
        <f t="shared" si="24"/>
        <v>1.62</v>
      </c>
      <c r="U97" s="136">
        <f t="shared" si="24"/>
        <v>1.62</v>
      </c>
      <c r="V97" s="136">
        <f t="shared" si="24"/>
        <v>1.62</v>
      </c>
      <c r="W97" s="136">
        <f t="shared" si="24"/>
        <v>1.62</v>
      </c>
      <c r="X97" s="136">
        <f t="shared" si="24"/>
        <v>1.62</v>
      </c>
      <c r="Y97" s="136">
        <f t="shared" si="24"/>
        <v>1.62</v>
      </c>
      <c r="Z97" s="136">
        <f t="shared" si="24"/>
        <v>1.62</v>
      </c>
      <c r="AA97" s="136">
        <f t="shared" si="24"/>
        <v>1.62</v>
      </c>
      <c r="AB97" s="136">
        <f t="shared" si="24"/>
        <v>1.62</v>
      </c>
      <c r="AC97" s="136">
        <f t="shared" si="24"/>
        <v>1.62</v>
      </c>
      <c r="AD97" s="136">
        <f t="shared" si="24"/>
        <v>1.62</v>
      </c>
      <c r="AE97" s="136">
        <f t="shared" si="24"/>
        <v>1.62</v>
      </c>
      <c r="AF97" s="136">
        <f t="shared" si="24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3"/>
        <v>8.36</v>
      </c>
      <c r="D98" s="136">
        <f t="shared" si="23"/>
        <v>8.36</v>
      </c>
      <c r="E98" s="136">
        <f t="shared" si="23"/>
        <v>8.36</v>
      </c>
      <c r="F98" s="136">
        <f t="shared" si="23"/>
        <v>8.36</v>
      </c>
      <c r="G98" s="136">
        <f t="shared" si="23"/>
        <v>8.36</v>
      </c>
      <c r="H98" s="136">
        <f t="shared" si="23"/>
        <v>8.36</v>
      </c>
      <c r="I98" s="136">
        <f t="shared" si="23"/>
        <v>8.36</v>
      </c>
      <c r="J98" s="136">
        <f t="shared" si="23"/>
        <v>8.36</v>
      </c>
      <c r="K98" s="136">
        <f t="shared" si="23"/>
        <v>8.36</v>
      </c>
      <c r="L98" s="136">
        <f t="shared" si="23"/>
        <v>8.36</v>
      </c>
      <c r="M98" s="136">
        <f t="shared" si="23"/>
        <v>8.36</v>
      </c>
      <c r="N98" s="136">
        <f t="shared" si="23"/>
        <v>8.36</v>
      </c>
      <c r="O98" s="136">
        <f t="shared" si="23"/>
        <v>8.36</v>
      </c>
      <c r="P98" s="136">
        <f t="shared" si="23"/>
        <v>8.36</v>
      </c>
      <c r="Q98" s="136">
        <f t="shared" si="23"/>
        <v>8.36</v>
      </c>
      <c r="R98" s="136">
        <f t="shared" si="23"/>
        <v>8.36</v>
      </c>
      <c r="S98" s="136">
        <f t="shared" si="24"/>
        <v>8.36</v>
      </c>
      <c r="T98" s="136">
        <f t="shared" si="24"/>
        <v>8.36</v>
      </c>
      <c r="U98" s="136">
        <f t="shared" si="24"/>
        <v>8.36</v>
      </c>
      <c r="V98" s="136">
        <f t="shared" si="24"/>
        <v>8.36</v>
      </c>
      <c r="W98" s="136">
        <f t="shared" si="24"/>
        <v>8.36</v>
      </c>
      <c r="X98" s="136">
        <f t="shared" si="24"/>
        <v>8.36</v>
      </c>
      <c r="Y98" s="136">
        <f t="shared" si="24"/>
        <v>8.36</v>
      </c>
      <c r="Z98" s="136">
        <f t="shared" si="24"/>
        <v>8.36</v>
      </c>
      <c r="AA98" s="136">
        <f t="shared" si="24"/>
        <v>8.36</v>
      </c>
      <c r="AB98" s="136">
        <f t="shared" si="24"/>
        <v>8.36</v>
      </c>
      <c r="AC98" s="136">
        <f t="shared" si="24"/>
        <v>8.36</v>
      </c>
      <c r="AD98" s="136">
        <f t="shared" si="24"/>
        <v>8.36</v>
      </c>
      <c r="AE98" s="136">
        <f t="shared" si="24"/>
        <v>8.36</v>
      </c>
      <c r="AF98" s="136">
        <f t="shared" si="24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3"/>
        <v>8</v>
      </c>
      <c r="D99" s="136">
        <f t="shared" si="23"/>
        <v>8</v>
      </c>
      <c r="E99" s="136">
        <f t="shared" si="23"/>
        <v>8</v>
      </c>
      <c r="F99" s="136">
        <f t="shared" si="23"/>
        <v>8</v>
      </c>
      <c r="G99" s="136">
        <f t="shared" si="23"/>
        <v>8</v>
      </c>
      <c r="H99" s="136">
        <f t="shared" si="23"/>
        <v>8</v>
      </c>
      <c r="I99" s="136">
        <v>5.4</v>
      </c>
      <c r="J99" s="136">
        <f t="shared" si="23"/>
        <v>5.4</v>
      </c>
      <c r="K99" s="136">
        <f t="shared" si="23"/>
        <v>5.4</v>
      </c>
      <c r="L99" s="136">
        <f t="shared" si="23"/>
        <v>5.4</v>
      </c>
      <c r="M99" s="136">
        <f t="shared" si="23"/>
        <v>5.4</v>
      </c>
      <c r="N99" s="136">
        <f t="shared" si="23"/>
        <v>5.4</v>
      </c>
      <c r="O99" s="136">
        <f t="shared" si="23"/>
        <v>5.4</v>
      </c>
      <c r="P99" s="136">
        <f t="shared" si="23"/>
        <v>5.4</v>
      </c>
      <c r="Q99" s="136">
        <f t="shared" si="23"/>
        <v>5.4</v>
      </c>
      <c r="R99" s="136">
        <f t="shared" si="23"/>
        <v>5.4</v>
      </c>
      <c r="S99" s="136">
        <f t="shared" si="24"/>
        <v>5.4</v>
      </c>
      <c r="T99" s="136">
        <f t="shared" si="24"/>
        <v>5.4</v>
      </c>
      <c r="U99" s="136">
        <f t="shared" si="24"/>
        <v>5.4</v>
      </c>
      <c r="V99" s="136">
        <f t="shared" si="24"/>
        <v>5.4</v>
      </c>
      <c r="W99" s="136">
        <f t="shared" si="24"/>
        <v>5.4</v>
      </c>
      <c r="X99" s="136">
        <f t="shared" si="24"/>
        <v>5.4</v>
      </c>
      <c r="Y99" s="136">
        <f t="shared" si="24"/>
        <v>5.4</v>
      </c>
      <c r="Z99" s="136">
        <f t="shared" si="24"/>
        <v>5.4</v>
      </c>
      <c r="AA99" s="136">
        <f t="shared" si="24"/>
        <v>5.4</v>
      </c>
      <c r="AB99" s="136">
        <f t="shared" si="24"/>
        <v>5.4</v>
      </c>
      <c r="AC99" s="136">
        <f t="shared" si="24"/>
        <v>5.4</v>
      </c>
      <c r="AD99" s="136">
        <f t="shared" si="24"/>
        <v>5.4</v>
      </c>
      <c r="AE99" s="136">
        <f t="shared" si="24"/>
        <v>5.4</v>
      </c>
      <c r="AF99" s="136">
        <f t="shared" si="24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3"/>
        <v>6.57</v>
      </c>
      <c r="D100" s="136">
        <f t="shared" si="23"/>
        <v>6.57</v>
      </c>
      <c r="E100" s="136">
        <f t="shared" si="23"/>
        <v>6.57</v>
      </c>
      <c r="F100" s="136">
        <f t="shared" si="23"/>
        <v>6.57</v>
      </c>
      <c r="G100" s="136">
        <f t="shared" si="23"/>
        <v>6.57</v>
      </c>
      <c r="H100" s="136">
        <f t="shared" si="23"/>
        <v>6.57</v>
      </c>
      <c r="I100" s="136">
        <f t="shared" si="23"/>
        <v>6.57</v>
      </c>
      <c r="J100" s="136">
        <f t="shared" si="23"/>
        <v>6.57</v>
      </c>
      <c r="K100" s="136">
        <f t="shared" si="23"/>
        <v>6.57</v>
      </c>
      <c r="L100" s="136">
        <f t="shared" si="23"/>
        <v>6.57</v>
      </c>
      <c r="M100" s="136">
        <f t="shared" si="23"/>
        <v>6.57</v>
      </c>
      <c r="N100" s="136">
        <f t="shared" si="23"/>
        <v>6.57</v>
      </c>
      <c r="O100" s="136">
        <f t="shared" si="23"/>
        <v>6.57</v>
      </c>
      <c r="P100" s="136">
        <f t="shared" si="23"/>
        <v>6.57</v>
      </c>
      <c r="Q100" s="136">
        <f t="shared" si="23"/>
        <v>6.57</v>
      </c>
      <c r="R100" s="136">
        <f t="shared" si="23"/>
        <v>6.57</v>
      </c>
      <c r="S100" s="136">
        <f t="shared" si="24"/>
        <v>6.57</v>
      </c>
      <c r="T100" s="136">
        <f t="shared" si="24"/>
        <v>6.57</v>
      </c>
      <c r="U100" s="136">
        <f t="shared" si="24"/>
        <v>6.57</v>
      </c>
      <c r="V100" s="136">
        <f t="shared" si="24"/>
        <v>6.57</v>
      </c>
      <c r="W100" s="136">
        <f t="shared" si="24"/>
        <v>6.57</v>
      </c>
      <c r="X100" s="136">
        <f t="shared" si="24"/>
        <v>6.57</v>
      </c>
      <c r="Y100" s="136">
        <f t="shared" si="24"/>
        <v>6.57</v>
      </c>
      <c r="Z100" s="136">
        <f t="shared" si="24"/>
        <v>6.57</v>
      </c>
      <c r="AA100" s="136">
        <f t="shared" si="24"/>
        <v>6.57</v>
      </c>
      <c r="AB100" s="136">
        <f t="shared" si="24"/>
        <v>6.57</v>
      </c>
      <c r="AC100" s="136">
        <f t="shared" si="24"/>
        <v>6.57</v>
      </c>
      <c r="AD100" s="136">
        <f t="shared" si="24"/>
        <v>6.57</v>
      </c>
      <c r="AE100" s="136">
        <f t="shared" si="24"/>
        <v>6.57</v>
      </c>
      <c r="AF100" s="136">
        <f t="shared" si="24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3"/>
        <v>3.43</v>
      </c>
      <c r="D101" s="136">
        <f t="shared" si="23"/>
        <v>3.43</v>
      </c>
      <c r="E101" s="136">
        <f t="shared" si="23"/>
        <v>3.43</v>
      </c>
      <c r="F101" s="136">
        <f t="shared" si="23"/>
        <v>3.43</v>
      </c>
      <c r="G101" s="136">
        <f t="shared" si="23"/>
        <v>3.43</v>
      </c>
      <c r="H101" s="136">
        <f t="shared" si="23"/>
        <v>3.43</v>
      </c>
      <c r="I101" s="136">
        <f t="shared" si="23"/>
        <v>3.43</v>
      </c>
      <c r="J101" s="136">
        <f t="shared" si="23"/>
        <v>3.43</v>
      </c>
      <c r="K101" s="136">
        <f t="shared" si="23"/>
        <v>3.43</v>
      </c>
      <c r="L101" s="136">
        <f t="shared" si="23"/>
        <v>3.43</v>
      </c>
      <c r="M101" s="136">
        <f t="shared" si="23"/>
        <v>3.43</v>
      </c>
      <c r="N101" s="136">
        <f t="shared" si="23"/>
        <v>3.43</v>
      </c>
      <c r="O101" s="136">
        <f t="shared" si="23"/>
        <v>3.43</v>
      </c>
      <c r="P101" s="136">
        <f t="shared" si="23"/>
        <v>3.43</v>
      </c>
      <c r="Q101" s="136">
        <f t="shared" si="23"/>
        <v>3.43</v>
      </c>
      <c r="R101" s="136">
        <f t="shared" si="23"/>
        <v>3.43</v>
      </c>
      <c r="S101" s="136">
        <f t="shared" si="24"/>
        <v>3.43</v>
      </c>
      <c r="T101" s="136">
        <f t="shared" si="24"/>
        <v>3.43</v>
      </c>
      <c r="U101" s="136">
        <f t="shared" si="24"/>
        <v>3.43</v>
      </c>
      <c r="V101" s="136">
        <f t="shared" si="24"/>
        <v>3.43</v>
      </c>
      <c r="W101" s="136">
        <f t="shared" si="24"/>
        <v>3.43</v>
      </c>
      <c r="X101" s="136">
        <f t="shared" si="24"/>
        <v>3.43</v>
      </c>
      <c r="Y101" s="136">
        <f t="shared" si="24"/>
        <v>3.43</v>
      </c>
      <c r="Z101" s="136">
        <f t="shared" si="24"/>
        <v>3.43</v>
      </c>
      <c r="AA101" s="136">
        <f t="shared" si="24"/>
        <v>3.43</v>
      </c>
      <c r="AB101" s="136">
        <f t="shared" si="24"/>
        <v>3.43</v>
      </c>
      <c r="AC101" s="136">
        <f t="shared" si="24"/>
        <v>3.43</v>
      </c>
      <c r="AD101" s="136">
        <f t="shared" si="24"/>
        <v>3.43</v>
      </c>
      <c r="AE101" s="136">
        <f t="shared" si="24"/>
        <v>3.43</v>
      </c>
      <c r="AF101" s="136">
        <f t="shared" si="24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3"/>
        <v>8</v>
      </c>
      <c r="D102" s="136">
        <f t="shared" si="23"/>
        <v>8</v>
      </c>
      <c r="E102" s="136">
        <f t="shared" si="23"/>
        <v>8</v>
      </c>
      <c r="F102" s="136">
        <f t="shared" si="23"/>
        <v>8</v>
      </c>
      <c r="G102" s="136">
        <f t="shared" si="23"/>
        <v>8</v>
      </c>
      <c r="H102" s="136">
        <f t="shared" si="23"/>
        <v>8</v>
      </c>
      <c r="I102" s="136">
        <f t="shared" si="23"/>
        <v>8</v>
      </c>
      <c r="J102" s="136">
        <f t="shared" si="23"/>
        <v>8</v>
      </c>
      <c r="K102" s="136">
        <f t="shared" si="23"/>
        <v>8</v>
      </c>
      <c r="L102" s="136">
        <f t="shared" si="23"/>
        <v>8</v>
      </c>
      <c r="M102" s="136">
        <f t="shared" si="23"/>
        <v>8</v>
      </c>
      <c r="N102" s="136">
        <f t="shared" si="23"/>
        <v>8</v>
      </c>
      <c r="O102" s="136">
        <f t="shared" si="23"/>
        <v>8</v>
      </c>
      <c r="P102" s="136">
        <f t="shared" si="23"/>
        <v>8</v>
      </c>
      <c r="Q102" s="136">
        <f t="shared" si="23"/>
        <v>8</v>
      </c>
      <c r="R102" s="136">
        <f t="shared" si="23"/>
        <v>8</v>
      </c>
      <c r="S102" s="136">
        <f t="shared" si="24"/>
        <v>8</v>
      </c>
      <c r="T102" s="136">
        <f t="shared" si="24"/>
        <v>8</v>
      </c>
      <c r="U102" s="136">
        <f t="shared" si="24"/>
        <v>8</v>
      </c>
      <c r="V102" s="136">
        <f t="shared" si="24"/>
        <v>8</v>
      </c>
      <c r="W102" s="136">
        <f t="shared" si="24"/>
        <v>8</v>
      </c>
      <c r="X102" s="136">
        <f t="shared" si="24"/>
        <v>8</v>
      </c>
      <c r="Y102" s="136">
        <f t="shared" si="24"/>
        <v>8</v>
      </c>
      <c r="Z102" s="136">
        <f t="shared" si="24"/>
        <v>8</v>
      </c>
      <c r="AA102" s="136">
        <f t="shared" si="24"/>
        <v>8</v>
      </c>
      <c r="AB102" s="136">
        <f t="shared" si="24"/>
        <v>8</v>
      </c>
      <c r="AC102" s="136">
        <f t="shared" si="24"/>
        <v>8</v>
      </c>
      <c r="AD102" s="136">
        <f t="shared" si="24"/>
        <v>8</v>
      </c>
      <c r="AE102" s="136">
        <f t="shared" si="24"/>
        <v>8</v>
      </c>
      <c r="AF102" s="136">
        <f t="shared" si="24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3"/>
        <v>2.96</v>
      </c>
      <c r="D103" s="136">
        <f t="shared" si="23"/>
        <v>2.96</v>
      </c>
      <c r="E103" s="136">
        <f t="shared" si="23"/>
        <v>2.96</v>
      </c>
      <c r="F103" s="136">
        <f t="shared" si="23"/>
        <v>2.96</v>
      </c>
      <c r="G103" s="136">
        <f t="shared" si="23"/>
        <v>2.96</v>
      </c>
      <c r="H103" s="136">
        <f t="shared" si="23"/>
        <v>2.96</v>
      </c>
      <c r="I103" s="136">
        <f t="shared" si="23"/>
        <v>2.96</v>
      </c>
      <c r="J103" s="136">
        <f t="shared" si="23"/>
        <v>2.96</v>
      </c>
      <c r="K103" s="136">
        <f t="shared" si="23"/>
        <v>2.96</v>
      </c>
      <c r="L103" s="136">
        <f t="shared" si="23"/>
        <v>2.96</v>
      </c>
      <c r="M103" s="136">
        <f t="shared" si="23"/>
        <v>2.96</v>
      </c>
      <c r="N103" s="136">
        <f t="shared" si="23"/>
        <v>2.96</v>
      </c>
      <c r="O103" s="136">
        <f t="shared" si="23"/>
        <v>2.96</v>
      </c>
      <c r="P103" s="136">
        <f t="shared" si="23"/>
        <v>2.96</v>
      </c>
      <c r="Q103" s="136">
        <f t="shared" si="23"/>
        <v>2.96</v>
      </c>
      <c r="R103" s="136">
        <f t="shared" si="23"/>
        <v>2.96</v>
      </c>
      <c r="S103" s="136">
        <f t="shared" si="24"/>
        <v>2.96</v>
      </c>
      <c r="T103" s="136">
        <f t="shared" si="24"/>
        <v>2.96</v>
      </c>
      <c r="U103" s="136">
        <f t="shared" si="24"/>
        <v>2.96</v>
      </c>
      <c r="V103" s="136">
        <f t="shared" si="24"/>
        <v>2.96</v>
      </c>
      <c r="W103" s="136">
        <f t="shared" si="24"/>
        <v>2.96</v>
      </c>
      <c r="X103" s="136">
        <f t="shared" si="24"/>
        <v>2.96</v>
      </c>
      <c r="Y103" s="136">
        <f t="shared" si="24"/>
        <v>2.96</v>
      </c>
      <c r="Z103" s="136">
        <f t="shared" si="24"/>
        <v>2.96</v>
      </c>
      <c r="AA103" s="136">
        <f t="shared" si="24"/>
        <v>2.96</v>
      </c>
      <c r="AB103" s="136">
        <f t="shared" si="24"/>
        <v>2.96</v>
      </c>
      <c r="AC103" s="136">
        <f t="shared" si="24"/>
        <v>2.96</v>
      </c>
      <c r="AD103" s="136">
        <f t="shared" si="24"/>
        <v>2.96</v>
      </c>
      <c r="AE103" s="136">
        <f t="shared" si="24"/>
        <v>2.96</v>
      </c>
      <c r="AF103" s="136">
        <f t="shared" si="24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3"/>
        <v>7</v>
      </c>
      <c r="E104" s="136">
        <f t="shared" si="23"/>
        <v>7</v>
      </c>
      <c r="F104" s="136">
        <f t="shared" si="23"/>
        <v>7</v>
      </c>
      <c r="G104" s="136">
        <f t="shared" si="23"/>
        <v>7</v>
      </c>
      <c r="H104" s="136">
        <f t="shared" si="23"/>
        <v>7</v>
      </c>
      <c r="I104" s="136">
        <f t="shared" si="23"/>
        <v>7</v>
      </c>
      <c r="J104" s="136">
        <f t="shared" si="23"/>
        <v>7</v>
      </c>
      <c r="K104" s="136">
        <f t="shared" si="23"/>
        <v>7</v>
      </c>
      <c r="L104" s="136">
        <f t="shared" si="23"/>
        <v>7</v>
      </c>
      <c r="M104" s="136">
        <f t="shared" si="23"/>
        <v>7</v>
      </c>
      <c r="N104" s="136">
        <f t="shared" si="23"/>
        <v>7</v>
      </c>
      <c r="O104" s="136">
        <f t="shared" si="23"/>
        <v>7</v>
      </c>
      <c r="P104" s="136">
        <f t="shared" si="23"/>
        <v>7</v>
      </c>
      <c r="Q104" s="136">
        <f t="shared" si="23"/>
        <v>7</v>
      </c>
      <c r="R104" s="136">
        <f t="shared" si="23"/>
        <v>7</v>
      </c>
      <c r="S104" s="136">
        <f t="shared" si="24"/>
        <v>7</v>
      </c>
      <c r="T104" s="136">
        <f t="shared" si="24"/>
        <v>7</v>
      </c>
      <c r="U104" s="136">
        <f t="shared" si="24"/>
        <v>7</v>
      </c>
      <c r="V104" s="136">
        <f t="shared" si="24"/>
        <v>7</v>
      </c>
      <c r="W104" s="136">
        <f t="shared" si="24"/>
        <v>7</v>
      </c>
      <c r="X104" s="136">
        <f t="shared" si="24"/>
        <v>7</v>
      </c>
      <c r="Y104" s="136">
        <f t="shared" si="24"/>
        <v>7</v>
      </c>
      <c r="Z104" s="136">
        <f t="shared" si="24"/>
        <v>7</v>
      </c>
      <c r="AA104" s="136">
        <f t="shared" si="24"/>
        <v>7</v>
      </c>
      <c r="AB104" s="136">
        <f t="shared" si="24"/>
        <v>7</v>
      </c>
      <c r="AC104" s="136">
        <f t="shared" si="24"/>
        <v>7</v>
      </c>
      <c r="AD104" s="136">
        <f t="shared" si="24"/>
        <v>7</v>
      </c>
      <c r="AE104" s="136">
        <f t="shared" si="24"/>
        <v>7</v>
      </c>
      <c r="AF104" s="136">
        <f t="shared" si="24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5">B105</f>
        <v>3.47</v>
      </c>
      <c r="D105" s="136">
        <f t="shared" si="25"/>
        <v>3.47</v>
      </c>
      <c r="E105" s="136">
        <f t="shared" si="25"/>
        <v>3.47</v>
      </c>
      <c r="F105" s="136">
        <f t="shared" si="25"/>
        <v>3.47</v>
      </c>
      <c r="G105" s="136">
        <f t="shared" si="25"/>
        <v>3.47</v>
      </c>
      <c r="H105" s="136">
        <f t="shared" si="25"/>
        <v>3.47</v>
      </c>
      <c r="I105" s="136">
        <f t="shared" si="25"/>
        <v>3.47</v>
      </c>
      <c r="J105" s="136">
        <f t="shared" si="25"/>
        <v>3.47</v>
      </c>
      <c r="K105" s="136">
        <f t="shared" si="25"/>
        <v>3.47</v>
      </c>
      <c r="L105" s="136">
        <f t="shared" si="25"/>
        <v>3.47</v>
      </c>
      <c r="M105" s="136">
        <f t="shared" si="25"/>
        <v>3.47</v>
      </c>
      <c r="N105" s="136">
        <f t="shared" si="25"/>
        <v>3.47</v>
      </c>
      <c r="O105" s="136">
        <f t="shared" si="25"/>
        <v>3.47</v>
      </c>
      <c r="P105" s="136">
        <f t="shared" si="25"/>
        <v>3.47</v>
      </c>
      <c r="Q105" s="136">
        <f t="shared" si="25"/>
        <v>3.47</v>
      </c>
      <c r="R105" s="136">
        <f t="shared" si="25"/>
        <v>3.47</v>
      </c>
      <c r="S105" s="136">
        <f t="shared" ref="S105:AF123" si="26">R105</f>
        <v>3.47</v>
      </c>
      <c r="T105" s="136">
        <f t="shared" si="26"/>
        <v>3.47</v>
      </c>
      <c r="U105" s="136">
        <f t="shared" si="26"/>
        <v>3.47</v>
      </c>
      <c r="V105" s="136">
        <f t="shared" si="26"/>
        <v>3.47</v>
      </c>
      <c r="W105" s="136">
        <f t="shared" si="26"/>
        <v>3.47</v>
      </c>
      <c r="X105" s="136">
        <f t="shared" si="26"/>
        <v>3.47</v>
      </c>
      <c r="Y105" s="136">
        <f t="shared" si="26"/>
        <v>3.47</v>
      </c>
      <c r="Z105" s="136">
        <f t="shared" si="26"/>
        <v>3.47</v>
      </c>
      <c r="AA105" s="136">
        <f t="shared" si="26"/>
        <v>3.47</v>
      </c>
      <c r="AB105" s="136">
        <f t="shared" si="26"/>
        <v>3.47</v>
      </c>
      <c r="AC105" s="136">
        <f t="shared" si="26"/>
        <v>3.47</v>
      </c>
      <c r="AD105" s="136">
        <f t="shared" si="26"/>
        <v>3.47</v>
      </c>
      <c r="AE105" s="136">
        <f t="shared" si="26"/>
        <v>3.47</v>
      </c>
      <c r="AF105" s="136">
        <f t="shared" si="26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5"/>
        <v>2.1</v>
      </c>
      <c r="D106" s="136">
        <f t="shared" si="25"/>
        <v>2.1</v>
      </c>
      <c r="E106" s="136">
        <f t="shared" si="25"/>
        <v>2.1</v>
      </c>
      <c r="F106" s="136">
        <f t="shared" si="25"/>
        <v>2.1</v>
      </c>
      <c r="G106" s="136">
        <f t="shared" si="25"/>
        <v>2.1</v>
      </c>
      <c r="H106" s="136">
        <f t="shared" si="25"/>
        <v>2.1</v>
      </c>
      <c r="I106" s="136">
        <f t="shared" si="25"/>
        <v>2.1</v>
      </c>
      <c r="J106" s="136">
        <f t="shared" si="25"/>
        <v>2.1</v>
      </c>
      <c r="K106" s="136">
        <f t="shared" si="25"/>
        <v>2.1</v>
      </c>
      <c r="L106" s="136">
        <f t="shared" si="25"/>
        <v>2.1</v>
      </c>
      <c r="M106" s="136">
        <f t="shared" si="25"/>
        <v>2.1</v>
      </c>
      <c r="N106" s="136">
        <f t="shared" si="25"/>
        <v>2.1</v>
      </c>
      <c r="O106" s="136">
        <f t="shared" si="25"/>
        <v>2.1</v>
      </c>
      <c r="P106" s="136">
        <f t="shared" si="25"/>
        <v>2.1</v>
      </c>
      <c r="Q106" s="136">
        <f t="shared" si="25"/>
        <v>2.1</v>
      </c>
      <c r="R106" s="136">
        <f t="shared" si="25"/>
        <v>2.1</v>
      </c>
      <c r="S106" s="136">
        <f t="shared" si="26"/>
        <v>2.1</v>
      </c>
      <c r="T106" s="136">
        <f t="shared" si="26"/>
        <v>2.1</v>
      </c>
      <c r="U106" s="136">
        <f t="shared" si="26"/>
        <v>2.1</v>
      </c>
      <c r="V106" s="136">
        <f t="shared" si="26"/>
        <v>2.1</v>
      </c>
      <c r="W106" s="136">
        <f t="shared" si="26"/>
        <v>2.1</v>
      </c>
      <c r="X106" s="136">
        <f t="shared" si="26"/>
        <v>2.1</v>
      </c>
      <c r="Y106" s="136">
        <f t="shared" si="26"/>
        <v>2.1</v>
      </c>
      <c r="Z106" s="136">
        <f t="shared" si="26"/>
        <v>2.1</v>
      </c>
      <c r="AA106" s="136">
        <f t="shared" si="26"/>
        <v>2.1</v>
      </c>
      <c r="AB106" s="136">
        <f t="shared" si="26"/>
        <v>2.1</v>
      </c>
      <c r="AC106" s="136">
        <f t="shared" si="26"/>
        <v>2.1</v>
      </c>
      <c r="AD106" s="136">
        <f t="shared" si="26"/>
        <v>2.1</v>
      </c>
      <c r="AE106" s="136">
        <f t="shared" si="26"/>
        <v>2.1</v>
      </c>
      <c r="AF106" s="136">
        <f t="shared" si="26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5"/>
        <v>9.3000000000000007</v>
      </c>
      <c r="D107" s="136">
        <f t="shared" si="25"/>
        <v>9.3000000000000007</v>
      </c>
      <c r="E107" s="136">
        <f t="shared" si="25"/>
        <v>9.3000000000000007</v>
      </c>
      <c r="F107" s="136">
        <f t="shared" si="25"/>
        <v>9.3000000000000007</v>
      </c>
      <c r="G107" s="136">
        <f t="shared" si="25"/>
        <v>9.3000000000000007</v>
      </c>
      <c r="H107" s="136">
        <f t="shared" si="25"/>
        <v>9.3000000000000007</v>
      </c>
      <c r="I107" s="136">
        <f t="shared" si="25"/>
        <v>9.3000000000000007</v>
      </c>
      <c r="J107" s="136">
        <f t="shared" si="25"/>
        <v>9.3000000000000007</v>
      </c>
      <c r="K107" s="136">
        <f t="shared" si="25"/>
        <v>9.3000000000000007</v>
      </c>
      <c r="L107" s="136">
        <f t="shared" si="25"/>
        <v>9.3000000000000007</v>
      </c>
      <c r="M107" s="136">
        <f t="shared" si="25"/>
        <v>9.3000000000000007</v>
      </c>
      <c r="N107" s="136">
        <f t="shared" si="25"/>
        <v>9.3000000000000007</v>
      </c>
      <c r="O107" s="136">
        <f t="shared" si="25"/>
        <v>9.3000000000000007</v>
      </c>
      <c r="P107" s="136">
        <f t="shared" si="25"/>
        <v>9.3000000000000007</v>
      </c>
      <c r="Q107" s="136">
        <f t="shared" si="25"/>
        <v>9.3000000000000007</v>
      </c>
      <c r="R107" s="136">
        <f t="shared" si="25"/>
        <v>9.3000000000000007</v>
      </c>
      <c r="S107" s="136">
        <f t="shared" si="26"/>
        <v>9.3000000000000007</v>
      </c>
      <c r="T107" s="136">
        <f t="shared" si="26"/>
        <v>9.3000000000000007</v>
      </c>
      <c r="U107" s="136">
        <f t="shared" si="26"/>
        <v>9.3000000000000007</v>
      </c>
      <c r="V107" s="136">
        <f t="shared" si="26"/>
        <v>9.3000000000000007</v>
      </c>
      <c r="W107" s="136">
        <f t="shared" si="26"/>
        <v>9.3000000000000007</v>
      </c>
      <c r="X107" s="136">
        <f t="shared" si="26"/>
        <v>9.3000000000000007</v>
      </c>
      <c r="Y107" s="136">
        <f t="shared" si="26"/>
        <v>9.3000000000000007</v>
      </c>
      <c r="Z107" s="136">
        <f t="shared" si="26"/>
        <v>9.3000000000000007</v>
      </c>
      <c r="AA107" s="136">
        <f t="shared" si="26"/>
        <v>9.3000000000000007</v>
      </c>
      <c r="AB107" s="136">
        <f t="shared" si="26"/>
        <v>9.3000000000000007</v>
      </c>
      <c r="AC107" s="136">
        <f t="shared" si="26"/>
        <v>9.3000000000000007</v>
      </c>
      <c r="AD107" s="136">
        <f t="shared" si="26"/>
        <v>9.3000000000000007</v>
      </c>
      <c r="AE107" s="136">
        <f t="shared" si="26"/>
        <v>9.3000000000000007</v>
      </c>
      <c r="AF107" s="136">
        <f t="shared" si="26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5"/>
        <v>0</v>
      </c>
      <c r="D108" s="136">
        <f t="shared" si="25"/>
        <v>0</v>
      </c>
      <c r="E108" s="136">
        <f t="shared" si="25"/>
        <v>0</v>
      </c>
      <c r="F108" s="136">
        <f t="shared" si="25"/>
        <v>0</v>
      </c>
      <c r="G108" s="136">
        <f t="shared" si="25"/>
        <v>0</v>
      </c>
      <c r="H108" s="136">
        <f t="shared" si="25"/>
        <v>0</v>
      </c>
      <c r="I108" s="136">
        <f t="shared" si="25"/>
        <v>0</v>
      </c>
      <c r="J108" s="136">
        <f t="shared" si="25"/>
        <v>0</v>
      </c>
      <c r="K108" s="136">
        <f t="shared" si="25"/>
        <v>0</v>
      </c>
      <c r="L108" s="136">
        <f t="shared" si="25"/>
        <v>0</v>
      </c>
      <c r="M108" s="136">
        <f t="shared" si="25"/>
        <v>0</v>
      </c>
      <c r="N108" s="136">
        <f t="shared" si="25"/>
        <v>0</v>
      </c>
      <c r="O108" s="136">
        <f t="shared" si="25"/>
        <v>0</v>
      </c>
      <c r="P108" s="136">
        <f t="shared" si="25"/>
        <v>0</v>
      </c>
      <c r="Q108" s="136">
        <f t="shared" si="25"/>
        <v>0</v>
      </c>
      <c r="R108" s="136">
        <f t="shared" si="25"/>
        <v>0</v>
      </c>
      <c r="S108" s="136">
        <f t="shared" si="26"/>
        <v>0</v>
      </c>
      <c r="T108" s="136">
        <f t="shared" si="26"/>
        <v>0</v>
      </c>
      <c r="U108" s="136">
        <f t="shared" si="26"/>
        <v>0</v>
      </c>
      <c r="V108" s="136">
        <f t="shared" si="26"/>
        <v>0</v>
      </c>
      <c r="W108" s="136">
        <f t="shared" si="26"/>
        <v>0</v>
      </c>
      <c r="X108" s="136">
        <f t="shared" si="26"/>
        <v>0</v>
      </c>
      <c r="Y108" s="136">
        <f t="shared" si="26"/>
        <v>0</v>
      </c>
      <c r="Z108" s="136">
        <f t="shared" si="26"/>
        <v>0</v>
      </c>
      <c r="AA108" s="136">
        <f t="shared" si="26"/>
        <v>0</v>
      </c>
      <c r="AB108" s="136">
        <f t="shared" si="26"/>
        <v>0</v>
      </c>
      <c r="AC108" s="136">
        <f t="shared" si="26"/>
        <v>0</v>
      </c>
      <c r="AD108" s="136">
        <f t="shared" si="26"/>
        <v>0</v>
      </c>
      <c r="AE108" s="136">
        <f t="shared" si="26"/>
        <v>0</v>
      </c>
      <c r="AF108" s="136">
        <f t="shared" si="26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5"/>
        <v>0</v>
      </c>
      <c r="D109" s="136">
        <f t="shared" si="25"/>
        <v>0</v>
      </c>
      <c r="E109" s="136">
        <f t="shared" si="25"/>
        <v>0</v>
      </c>
      <c r="F109" s="136">
        <f t="shared" si="25"/>
        <v>0</v>
      </c>
      <c r="G109" s="136">
        <f t="shared" si="25"/>
        <v>0</v>
      </c>
      <c r="H109" s="136">
        <f t="shared" si="25"/>
        <v>0</v>
      </c>
      <c r="I109" s="136">
        <f t="shared" si="25"/>
        <v>0</v>
      </c>
      <c r="J109" s="136">
        <f t="shared" si="25"/>
        <v>0</v>
      </c>
      <c r="K109" s="136">
        <f t="shared" si="25"/>
        <v>0</v>
      </c>
      <c r="L109" s="136">
        <f t="shared" si="25"/>
        <v>0</v>
      </c>
      <c r="M109" s="136">
        <f t="shared" si="25"/>
        <v>0</v>
      </c>
      <c r="N109" s="136">
        <f t="shared" si="25"/>
        <v>0</v>
      </c>
      <c r="O109" s="136">
        <f t="shared" si="25"/>
        <v>0</v>
      </c>
      <c r="P109" s="136">
        <f t="shared" si="25"/>
        <v>0</v>
      </c>
      <c r="Q109" s="136">
        <f t="shared" si="25"/>
        <v>0</v>
      </c>
      <c r="R109" s="136">
        <f t="shared" si="25"/>
        <v>0</v>
      </c>
      <c r="S109" s="136">
        <f t="shared" si="26"/>
        <v>0</v>
      </c>
      <c r="T109" s="136">
        <f t="shared" si="26"/>
        <v>0</v>
      </c>
      <c r="U109" s="136">
        <f t="shared" si="26"/>
        <v>0</v>
      </c>
      <c r="V109" s="136">
        <f t="shared" si="26"/>
        <v>0</v>
      </c>
      <c r="W109" s="136">
        <f t="shared" si="26"/>
        <v>0</v>
      </c>
      <c r="X109" s="136">
        <f t="shared" si="26"/>
        <v>0</v>
      </c>
      <c r="Y109" s="136">
        <f t="shared" si="26"/>
        <v>0</v>
      </c>
      <c r="Z109" s="136">
        <f t="shared" si="26"/>
        <v>0</v>
      </c>
      <c r="AA109" s="136">
        <f t="shared" si="26"/>
        <v>0</v>
      </c>
      <c r="AB109" s="136">
        <f t="shared" si="26"/>
        <v>0</v>
      </c>
      <c r="AC109" s="136">
        <f t="shared" si="26"/>
        <v>0</v>
      </c>
      <c r="AD109" s="136">
        <f t="shared" si="26"/>
        <v>0</v>
      </c>
      <c r="AE109" s="136">
        <f t="shared" si="26"/>
        <v>0</v>
      </c>
      <c r="AF109" s="136">
        <f t="shared" si="26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5"/>
        <v>5</v>
      </c>
      <c r="D110" s="136">
        <f t="shared" si="25"/>
        <v>5</v>
      </c>
      <c r="E110" s="136">
        <f t="shared" si="25"/>
        <v>5</v>
      </c>
      <c r="F110" s="136">
        <f t="shared" si="25"/>
        <v>5</v>
      </c>
      <c r="G110" s="136">
        <f t="shared" si="25"/>
        <v>5</v>
      </c>
      <c r="H110" s="136">
        <f t="shared" si="25"/>
        <v>5</v>
      </c>
      <c r="I110" s="136">
        <f t="shared" si="25"/>
        <v>5</v>
      </c>
      <c r="J110" s="136">
        <f t="shared" si="25"/>
        <v>5</v>
      </c>
      <c r="K110" s="136">
        <f t="shared" si="25"/>
        <v>5</v>
      </c>
      <c r="L110" s="136">
        <f t="shared" si="25"/>
        <v>5</v>
      </c>
      <c r="M110" s="136">
        <f t="shared" si="25"/>
        <v>5</v>
      </c>
      <c r="N110" s="136">
        <f t="shared" si="25"/>
        <v>5</v>
      </c>
      <c r="O110" s="136">
        <f t="shared" si="25"/>
        <v>5</v>
      </c>
      <c r="P110" s="136">
        <f t="shared" si="25"/>
        <v>5</v>
      </c>
      <c r="Q110" s="136">
        <f t="shared" si="25"/>
        <v>5</v>
      </c>
      <c r="R110" s="136">
        <f t="shared" si="25"/>
        <v>5</v>
      </c>
      <c r="S110" s="136">
        <f t="shared" si="26"/>
        <v>5</v>
      </c>
      <c r="T110" s="136">
        <f t="shared" si="26"/>
        <v>5</v>
      </c>
      <c r="U110" s="136">
        <f t="shared" si="26"/>
        <v>5</v>
      </c>
      <c r="V110" s="136">
        <f t="shared" si="26"/>
        <v>5</v>
      </c>
      <c r="W110" s="136">
        <f t="shared" si="26"/>
        <v>5</v>
      </c>
      <c r="X110" s="136">
        <f t="shared" si="26"/>
        <v>5</v>
      </c>
      <c r="Y110" s="136">
        <f t="shared" si="26"/>
        <v>5</v>
      </c>
      <c r="Z110" s="136">
        <f t="shared" si="26"/>
        <v>5</v>
      </c>
      <c r="AA110" s="136">
        <f t="shared" si="26"/>
        <v>5</v>
      </c>
      <c r="AB110" s="136">
        <f t="shared" si="26"/>
        <v>5</v>
      </c>
      <c r="AC110" s="136">
        <f t="shared" si="26"/>
        <v>5</v>
      </c>
      <c r="AD110" s="136">
        <f t="shared" si="26"/>
        <v>5</v>
      </c>
      <c r="AE110" s="136">
        <f t="shared" si="26"/>
        <v>5</v>
      </c>
      <c r="AF110" s="136">
        <f t="shared" si="26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5"/>
        <v>1</v>
      </c>
      <c r="D111" s="136">
        <f t="shared" si="25"/>
        <v>1</v>
      </c>
      <c r="E111" s="136">
        <f t="shared" si="25"/>
        <v>1</v>
      </c>
      <c r="F111" s="136">
        <f t="shared" si="25"/>
        <v>1</v>
      </c>
      <c r="G111" s="136">
        <f t="shared" si="25"/>
        <v>1</v>
      </c>
      <c r="H111" s="136">
        <f t="shared" si="25"/>
        <v>1</v>
      </c>
      <c r="I111" s="136">
        <f t="shared" si="25"/>
        <v>1</v>
      </c>
      <c r="J111" s="136">
        <f t="shared" si="25"/>
        <v>1</v>
      </c>
      <c r="K111" s="136">
        <f t="shared" si="25"/>
        <v>1</v>
      </c>
      <c r="L111" s="136">
        <f t="shared" si="25"/>
        <v>1</v>
      </c>
      <c r="M111" s="136">
        <f t="shared" si="25"/>
        <v>1</v>
      </c>
      <c r="N111" s="136">
        <f t="shared" si="25"/>
        <v>1</v>
      </c>
      <c r="O111" s="136">
        <f t="shared" si="25"/>
        <v>1</v>
      </c>
      <c r="P111" s="136">
        <f t="shared" si="25"/>
        <v>1</v>
      </c>
      <c r="Q111" s="136">
        <f t="shared" si="25"/>
        <v>1</v>
      </c>
      <c r="R111" s="136">
        <f t="shared" si="25"/>
        <v>1</v>
      </c>
      <c r="S111" s="136">
        <f t="shared" si="26"/>
        <v>1</v>
      </c>
      <c r="T111" s="136">
        <f t="shared" si="26"/>
        <v>1</v>
      </c>
      <c r="U111" s="136">
        <f t="shared" si="26"/>
        <v>1</v>
      </c>
      <c r="V111" s="136">
        <f t="shared" si="26"/>
        <v>1</v>
      </c>
      <c r="W111" s="136">
        <f t="shared" si="26"/>
        <v>1</v>
      </c>
      <c r="X111" s="136">
        <f t="shared" si="26"/>
        <v>1</v>
      </c>
      <c r="Y111" s="136">
        <f t="shared" si="26"/>
        <v>1</v>
      </c>
      <c r="Z111" s="136">
        <f t="shared" si="26"/>
        <v>1</v>
      </c>
      <c r="AA111" s="136">
        <f t="shared" si="26"/>
        <v>1</v>
      </c>
      <c r="AB111" s="136">
        <f t="shared" si="26"/>
        <v>1</v>
      </c>
      <c r="AC111" s="136">
        <f t="shared" si="26"/>
        <v>1</v>
      </c>
      <c r="AD111" s="136">
        <f t="shared" si="26"/>
        <v>1</v>
      </c>
      <c r="AE111" s="136">
        <f t="shared" si="26"/>
        <v>1</v>
      </c>
      <c r="AF111" s="136">
        <f t="shared" si="26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5"/>
        <v>1.58</v>
      </c>
      <c r="D112" s="136">
        <f t="shared" si="25"/>
        <v>1.58</v>
      </c>
      <c r="E112" s="136">
        <f t="shared" si="25"/>
        <v>1.58</v>
      </c>
      <c r="F112" s="136">
        <f t="shared" si="25"/>
        <v>1.58</v>
      </c>
      <c r="G112" s="136">
        <f t="shared" si="25"/>
        <v>1.58</v>
      </c>
      <c r="H112" s="136">
        <f t="shared" si="25"/>
        <v>1.58</v>
      </c>
      <c r="I112" s="136">
        <f t="shared" si="25"/>
        <v>1.58</v>
      </c>
      <c r="J112" s="136">
        <f t="shared" si="25"/>
        <v>1.58</v>
      </c>
      <c r="K112" s="136">
        <f t="shared" si="25"/>
        <v>1.58</v>
      </c>
      <c r="L112" s="136">
        <f t="shared" si="25"/>
        <v>1.58</v>
      </c>
      <c r="M112" s="136">
        <f t="shared" si="25"/>
        <v>1.58</v>
      </c>
      <c r="N112" s="136">
        <f t="shared" si="25"/>
        <v>1.58</v>
      </c>
      <c r="O112" s="136">
        <f t="shared" si="25"/>
        <v>1.58</v>
      </c>
      <c r="P112" s="136">
        <f t="shared" si="25"/>
        <v>1.58</v>
      </c>
      <c r="Q112" s="136">
        <f t="shared" si="25"/>
        <v>1.58</v>
      </c>
      <c r="R112" s="136">
        <f t="shared" si="25"/>
        <v>1.58</v>
      </c>
      <c r="S112" s="136">
        <f t="shared" si="26"/>
        <v>1.58</v>
      </c>
      <c r="T112" s="136">
        <f t="shared" si="26"/>
        <v>1.58</v>
      </c>
      <c r="U112" s="136">
        <f t="shared" si="26"/>
        <v>1.58</v>
      </c>
      <c r="V112" s="136">
        <f t="shared" si="26"/>
        <v>1.58</v>
      </c>
      <c r="W112" s="136">
        <f t="shared" si="26"/>
        <v>1.58</v>
      </c>
      <c r="X112" s="136">
        <f t="shared" si="26"/>
        <v>1.58</v>
      </c>
      <c r="Y112" s="136">
        <f t="shared" si="26"/>
        <v>1.58</v>
      </c>
      <c r="Z112" s="136">
        <f t="shared" si="26"/>
        <v>1.58</v>
      </c>
      <c r="AA112" s="136">
        <f t="shared" si="26"/>
        <v>1.58</v>
      </c>
      <c r="AB112" s="136">
        <f t="shared" si="26"/>
        <v>1.58</v>
      </c>
      <c r="AC112" s="136">
        <f t="shared" si="26"/>
        <v>1.58</v>
      </c>
      <c r="AD112" s="136">
        <f t="shared" si="26"/>
        <v>1.58</v>
      </c>
      <c r="AE112" s="136">
        <f t="shared" si="26"/>
        <v>1.58</v>
      </c>
      <c r="AF112" s="136">
        <f t="shared" si="26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5"/>
        <v>1.46</v>
      </c>
      <c r="D113" s="136">
        <f t="shared" si="25"/>
        <v>1.46</v>
      </c>
      <c r="E113" s="136">
        <f t="shared" si="25"/>
        <v>1.46</v>
      </c>
      <c r="F113" s="136">
        <f t="shared" si="25"/>
        <v>1.46</v>
      </c>
      <c r="G113" s="136">
        <f t="shared" si="25"/>
        <v>1.46</v>
      </c>
      <c r="H113" s="136">
        <f t="shared" si="25"/>
        <v>1.46</v>
      </c>
      <c r="I113" s="136">
        <f t="shared" si="25"/>
        <v>1.46</v>
      </c>
      <c r="J113" s="136">
        <f t="shared" si="25"/>
        <v>1.46</v>
      </c>
      <c r="K113" s="136">
        <f t="shared" si="25"/>
        <v>1.46</v>
      </c>
      <c r="L113" s="136">
        <f t="shared" si="25"/>
        <v>1.46</v>
      </c>
      <c r="M113" s="136">
        <f t="shared" si="25"/>
        <v>1.46</v>
      </c>
      <c r="N113" s="136">
        <f t="shared" si="25"/>
        <v>1.46</v>
      </c>
      <c r="O113" s="136">
        <f t="shared" si="25"/>
        <v>1.46</v>
      </c>
      <c r="P113" s="136">
        <f t="shared" si="25"/>
        <v>1.46</v>
      </c>
      <c r="Q113" s="136">
        <f t="shared" si="25"/>
        <v>1.46</v>
      </c>
      <c r="R113" s="136">
        <f t="shared" si="25"/>
        <v>1.46</v>
      </c>
      <c r="S113" s="136">
        <f t="shared" si="26"/>
        <v>1.46</v>
      </c>
      <c r="T113" s="136">
        <f t="shared" si="26"/>
        <v>1.46</v>
      </c>
      <c r="U113" s="136">
        <f t="shared" si="26"/>
        <v>1.46</v>
      </c>
      <c r="V113" s="136">
        <f t="shared" si="26"/>
        <v>1.46</v>
      </c>
      <c r="W113" s="136">
        <f t="shared" si="26"/>
        <v>1.46</v>
      </c>
      <c r="X113" s="136">
        <f t="shared" si="26"/>
        <v>1.46</v>
      </c>
      <c r="Y113" s="136">
        <f t="shared" si="26"/>
        <v>1.46</v>
      </c>
      <c r="Z113" s="136">
        <f t="shared" si="26"/>
        <v>1.46</v>
      </c>
      <c r="AA113" s="136">
        <f t="shared" si="26"/>
        <v>1.46</v>
      </c>
      <c r="AB113" s="136">
        <f t="shared" si="26"/>
        <v>1.46</v>
      </c>
      <c r="AC113" s="136">
        <f t="shared" si="26"/>
        <v>1.46</v>
      </c>
      <c r="AD113" s="136">
        <f t="shared" si="26"/>
        <v>1.46</v>
      </c>
      <c r="AE113" s="136">
        <f t="shared" si="26"/>
        <v>1.46</v>
      </c>
      <c r="AF113" s="136">
        <f t="shared" si="26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5"/>
        <v>1.48</v>
      </c>
      <c r="D114" s="136">
        <f t="shared" si="25"/>
        <v>1.48</v>
      </c>
      <c r="E114" s="136">
        <f t="shared" si="25"/>
        <v>1.48</v>
      </c>
      <c r="F114" s="136">
        <f t="shared" si="25"/>
        <v>1.48</v>
      </c>
      <c r="G114" s="136">
        <f t="shared" si="25"/>
        <v>1.48</v>
      </c>
      <c r="H114" s="136">
        <f t="shared" si="25"/>
        <v>1.48</v>
      </c>
      <c r="I114" s="136">
        <f t="shared" si="25"/>
        <v>1.48</v>
      </c>
      <c r="J114" s="136">
        <f t="shared" si="25"/>
        <v>1.48</v>
      </c>
      <c r="K114" s="136">
        <f t="shared" si="25"/>
        <v>1.48</v>
      </c>
      <c r="L114" s="136">
        <f t="shared" si="25"/>
        <v>1.48</v>
      </c>
      <c r="M114" s="136">
        <f t="shared" si="25"/>
        <v>1.48</v>
      </c>
      <c r="N114" s="136">
        <f t="shared" si="25"/>
        <v>1.48</v>
      </c>
      <c r="O114" s="136">
        <f t="shared" si="25"/>
        <v>1.48</v>
      </c>
      <c r="P114" s="136">
        <f t="shared" si="25"/>
        <v>1.48</v>
      </c>
      <c r="Q114" s="136">
        <f t="shared" si="25"/>
        <v>1.48</v>
      </c>
      <c r="R114" s="136">
        <f t="shared" si="25"/>
        <v>1.48</v>
      </c>
      <c r="S114" s="136">
        <f t="shared" si="26"/>
        <v>1.48</v>
      </c>
      <c r="T114" s="136">
        <f t="shared" si="26"/>
        <v>1.48</v>
      </c>
      <c r="U114" s="136">
        <f t="shared" si="26"/>
        <v>1.48</v>
      </c>
      <c r="V114" s="136">
        <f t="shared" si="26"/>
        <v>1.48</v>
      </c>
      <c r="W114" s="136">
        <f t="shared" si="26"/>
        <v>1.48</v>
      </c>
      <c r="X114" s="136">
        <f t="shared" si="26"/>
        <v>1.48</v>
      </c>
      <c r="Y114" s="136">
        <f t="shared" si="26"/>
        <v>1.48</v>
      </c>
      <c r="Z114" s="136">
        <f t="shared" si="26"/>
        <v>1.48</v>
      </c>
      <c r="AA114" s="136">
        <f t="shared" si="26"/>
        <v>1.48</v>
      </c>
      <c r="AB114" s="136">
        <f t="shared" si="26"/>
        <v>1.48</v>
      </c>
      <c r="AC114" s="136">
        <f t="shared" si="26"/>
        <v>1.48</v>
      </c>
      <c r="AD114" s="136">
        <f t="shared" si="26"/>
        <v>1.48</v>
      </c>
      <c r="AE114" s="136">
        <f t="shared" si="26"/>
        <v>1.48</v>
      </c>
      <c r="AF114" s="136">
        <f t="shared" si="26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5"/>
        <v>2.2000000000000002</v>
      </c>
      <c r="D115" s="136">
        <f t="shared" si="25"/>
        <v>2.2000000000000002</v>
      </c>
      <c r="E115" s="136">
        <f t="shared" si="25"/>
        <v>2.2000000000000002</v>
      </c>
      <c r="F115" s="136">
        <f t="shared" si="25"/>
        <v>2.2000000000000002</v>
      </c>
      <c r="G115" s="136">
        <f t="shared" si="25"/>
        <v>2.2000000000000002</v>
      </c>
      <c r="H115" s="136">
        <f t="shared" si="25"/>
        <v>2.2000000000000002</v>
      </c>
      <c r="I115" s="136">
        <f t="shared" si="25"/>
        <v>2.2000000000000002</v>
      </c>
      <c r="J115" s="136">
        <f t="shared" si="25"/>
        <v>2.2000000000000002</v>
      </c>
      <c r="K115" s="136">
        <f t="shared" si="25"/>
        <v>2.2000000000000002</v>
      </c>
      <c r="L115" s="136">
        <f t="shared" si="25"/>
        <v>2.2000000000000002</v>
      </c>
      <c r="M115" s="136">
        <f t="shared" si="25"/>
        <v>2.2000000000000002</v>
      </c>
      <c r="N115" s="136">
        <f t="shared" si="25"/>
        <v>2.2000000000000002</v>
      </c>
      <c r="O115" s="136">
        <f t="shared" si="25"/>
        <v>2.2000000000000002</v>
      </c>
      <c r="P115" s="136">
        <f t="shared" si="25"/>
        <v>2.2000000000000002</v>
      </c>
      <c r="Q115" s="136">
        <f t="shared" si="25"/>
        <v>2.2000000000000002</v>
      </c>
      <c r="R115" s="136">
        <f t="shared" si="25"/>
        <v>2.2000000000000002</v>
      </c>
      <c r="S115" s="136">
        <f t="shared" si="26"/>
        <v>2.2000000000000002</v>
      </c>
      <c r="T115" s="136">
        <f t="shared" si="26"/>
        <v>2.2000000000000002</v>
      </c>
      <c r="U115" s="136">
        <f t="shared" si="26"/>
        <v>2.2000000000000002</v>
      </c>
      <c r="V115" s="136">
        <f t="shared" si="26"/>
        <v>2.2000000000000002</v>
      </c>
      <c r="W115" s="136">
        <f t="shared" si="26"/>
        <v>2.2000000000000002</v>
      </c>
      <c r="X115" s="136">
        <f t="shared" si="26"/>
        <v>2.2000000000000002</v>
      </c>
      <c r="Y115" s="136">
        <f t="shared" si="26"/>
        <v>2.2000000000000002</v>
      </c>
      <c r="Z115" s="136">
        <f t="shared" si="26"/>
        <v>2.2000000000000002</v>
      </c>
      <c r="AA115" s="136">
        <f t="shared" si="26"/>
        <v>2.2000000000000002</v>
      </c>
      <c r="AB115" s="136">
        <f t="shared" si="26"/>
        <v>2.2000000000000002</v>
      </c>
      <c r="AC115" s="136">
        <f t="shared" si="26"/>
        <v>2.2000000000000002</v>
      </c>
      <c r="AD115" s="136">
        <f t="shared" si="26"/>
        <v>2.2000000000000002</v>
      </c>
      <c r="AE115" s="136">
        <f t="shared" si="26"/>
        <v>2.2000000000000002</v>
      </c>
      <c r="AF115" s="136">
        <f t="shared" si="26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5"/>
        <v>2</v>
      </c>
      <c r="D116" s="136">
        <f t="shared" si="25"/>
        <v>2</v>
      </c>
      <c r="E116" s="136">
        <f t="shared" si="25"/>
        <v>2</v>
      </c>
      <c r="F116" s="136">
        <f t="shared" si="25"/>
        <v>2</v>
      </c>
      <c r="G116" s="136">
        <f t="shared" si="25"/>
        <v>2</v>
      </c>
      <c r="H116" s="136">
        <f t="shared" si="25"/>
        <v>2</v>
      </c>
      <c r="I116" s="136">
        <f t="shared" si="25"/>
        <v>2</v>
      </c>
      <c r="J116" s="136">
        <f t="shared" si="25"/>
        <v>2</v>
      </c>
      <c r="K116" s="136">
        <f t="shared" si="25"/>
        <v>2</v>
      </c>
      <c r="L116" s="136">
        <f t="shared" si="25"/>
        <v>2</v>
      </c>
      <c r="M116" s="136">
        <f t="shared" si="25"/>
        <v>2</v>
      </c>
      <c r="N116" s="136">
        <f t="shared" si="25"/>
        <v>2</v>
      </c>
      <c r="O116" s="136">
        <f t="shared" si="25"/>
        <v>2</v>
      </c>
      <c r="P116" s="136">
        <f t="shared" si="25"/>
        <v>2</v>
      </c>
      <c r="Q116" s="136">
        <f t="shared" si="25"/>
        <v>2</v>
      </c>
      <c r="R116" s="136">
        <f t="shared" si="25"/>
        <v>2</v>
      </c>
      <c r="S116" s="136">
        <f t="shared" si="26"/>
        <v>2</v>
      </c>
      <c r="T116" s="136">
        <f t="shared" si="26"/>
        <v>2</v>
      </c>
      <c r="U116" s="136">
        <f t="shared" si="26"/>
        <v>2</v>
      </c>
      <c r="V116" s="136">
        <f t="shared" si="26"/>
        <v>2</v>
      </c>
      <c r="W116" s="136">
        <f t="shared" si="26"/>
        <v>2</v>
      </c>
      <c r="X116" s="136">
        <f t="shared" si="26"/>
        <v>2</v>
      </c>
      <c r="Y116" s="136">
        <f t="shared" si="26"/>
        <v>2</v>
      </c>
      <c r="Z116" s="136">
        <f t="shared" si="26"/>
        <v>2</v>
      </c>
      <c r="AA116" s="136">
        <f t="shared" si="26"/>
        <v>2</v>
      </c>
      <c r="AB116" s="136">
        <f t="shared" si="26"/>
        <v>2</v>
      </c>
      <c r="AC116" s="136">
        <f t="shared" si="26"/>
        <v>2</v>
      </c>
      <c r="AD116" s="136">
        <f t="shared" si="26"/>
        <v>2</v>
      </c>
      <c r="AE116" s="136">
        <f t="shared" si="26"/>
        <v>2</v>
      </c>
      <c r="AF116" s="136">
        <f t="shared" si="26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5"/>
        <v>1.25</v>
      </c>
      <c r="D117" s="136">
        <f t="shared" si="25"/>
        <v>1.25</v>
      </c>
      <c r="E117" s="136">
        <f t="shared" si="25"/>
        <v>1.25</v>
      </c>
      <c r="F117" s="136">
        <f t="shared" si="25"/>
        <v>1.25</v>
      </c>
      <c r="G117" s="136">
        <f t="shared" si="25"/>
        <v>1.25</v>
      </c>
      <c r="H117" s="136">
        <f t="shared" si="25"/>
        <v>1.25</v>
      </c>
      <c r="I117" s="136">
        <f t="shared" si="25"/>
        <v>1.25</v>
      </c>
      <c r="J117" s="136">
        <f t="shared" si="25"/>
        <v>1.25</v>
      </c>
      <c r="K117" s="136">
        <f t="shared" si="25"/>
        <v>1.25</v>
      </c>
      <c r="L117" s="136">
        <f t="shared" si="25"/>
        <v>1.25</v>
      </c>
      <c r="M117" s="136">
        <f t="shared" si="25"/>
        <v>1.25</v>
      </c>
      <c r="N117" s="136">
        <f t="shared" si="25"/>
        <v>1.25</v>
      </c>
      <c r="O117" s="136">
        <f t="shared" si="25"/>
        <v>1.25</v>
      </c>
      <c r="P117" s="136">
        <f t="shared" si="25"/>
        <v>1.25</v>
      </c>
      <c r="Q117" s="136">
        <f t="shared" si="25"/>
        <v>1.25</v>
      </c>
      <c r="R117" s="136">
        <f t="shared" si="25"/>
        <v>1.25</v>
      </c>
      <c r="S117" s="136">
        <f t="shared" si="26"/>
        <v>1.25</v>
      </c>
      <c r="T117" s="136">
        <f t="shared" si="26"/>
        <v>1.25</v>
      </c>
      <c r="U117" s="136">
        <f t="shared" si="26"/>
        <v>1.25</v>
      </c>
      <c r="V117" s="136">
        <f t="shared" si="26"/>
        <v>1.25</v>
      </c>
      <c r="W117" s="136">
        <f t="shared" si="26"/>
        <v>1.25</v>
      </c>
      <c r="X117" s="136">
        <f t="shared" si="26"/>
        <v>1.25</v>
      </c>
      <c r="Y117" s="136">
        <f t="shared" si="26"/>
        <v>1.25</v>
      </c>
      <c r="Z117" s="136">
        <f t="shared" si="26"/>
        <v>1.25</v>
      </c>
      <c r="AA117" s="136">
        <f t="shared" si="26"/>
        <v>1.25</v>
      </c>
      <c r="AB117" s="136">
        <f t="shared" si="26"/>
        <v>1.25</v>
      </c>
      <c r="AC117" s="136">
        <f t="shared" si="26"/>
        <v>1.25</v>
      </c>
      <c r="AD117" s="136">
        <f t="shared" si="26"/>
        <v>1.25</v>
      </c>
      <c r="AE117" s="136">
        <f t="shared" si="26"/>
        <v>1.25</v>
      </c>
      <c r="AF117" s="136">
        <f t="shared" si="26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5"/>
        <v>1.1499999999999999</v>
      </c>
      <c r="D118" s="136">
        <f t="shared" si="25"/>
        <v>1.1499999999999999</v>
      </c>
      <c r="E118" s="136">
        <f t="shared" si="25"/>
        <v>1.1499999999999999</v>
      </c>
      <c r="F118" s="136">
        <f t="shared" si="25"/>
        <v>1.1499999999999999</v>
      </c>
      <c r="G118" s="136">
        <f t="shared" si="25"/>
        <v>1.1499999999999999</v>
      </c>
      <c r="H118" s="136">
        <f t="shared" si="25"/>
        <v>1.1499999999999999</v>
      </c>
      <c r="I118" s="136">
        <f t="shared" si="25"/>
        <v>1.1499999999999999</v>
      </c>
      <c r="J118" s="136">
        <f t="shared" si="25"/>
        <v>1.1499999999999999</v>
      </c>
      <c r="K118" s="136">
        <f t="shared" si="25"/>
        <v>1.1499999999999999</v>
      </c>
      <c r="L118" s="136">
        <f t="shared" si="25"/>
        <v>1.1499999999999999</v>
      </c>
      <c r="M118" s="136">
        <f t="shared" si="25"/>
        <v>1.1499999999999999</v>
      </c>
      <c r="N118" s="136">
        <f t="shared" si="25"/>
        <v>1.1499999999999999</v>
      </c>
      <c r="O118" s="136">
        <f t="shared" si="25"/>
        <v>1.1499999999999999</v>
      </c>
      <c r="P118" s="136">
        <f t="shared" si="25"/>
        <v>1.1499999999999999</v>
      </c>
      <c r="Q118" s="136">
        <f t="shared" si="25"/>
        <v>1.1499999999999999</v>
      </c>
      <c r="R118" s="136">
        <f t="shared" si="25"/>
        <v>1.1499999999999999</v>
      </c>
      <c r="S118" s="136">
        <f t="shared" si="26"/>
        <v>1.1499999999999999</v>
      </c>
      <c r="T118" s="136">
        <f t="shared" si="26"/>
        <v>1.1499999999999999</v>
      </c>
      <c r="U118" s="136">
        <f t="shared" si="26"/>
        <v>1.1499999999999999</v>
      </c>
      <c r="V118" s="136">
        <f t="shared" si="26"/>
        <v>1.1499999999999999</v>
      </c>
      <c r="W118" s="136">
        <f t="shared" si="26"/>
        <v>1.1499999999999999</v>
      </c>
      <c r="X118" s="136">
        <f t="shared" si="26"/>
        <v>1.1499999999999999</v>
      </c>
      <c r="Y118" s="136">
        <f t="shared" si="26"/>
        <v>1.1499999999999999</v>
      </c>
      <c r="Z118" s="136">
        <f t="shared" si="26"/>
        <v>1.1499999999999999</v>
      </c>
      <c r="AA118" s="136">
        <f t="shared" si="26"/>
        <v>1.1499999999999999</v>
      </c>
      <c r="AB118" s="136">
        <f t="shared" si="26"/>
        <v>1.1499999999999999</v>
      </c>
      <c r="AC118" s="136">
        <f t="shared" si="26"/>
        <v>1.1499999999999999</v>
      </c>
      <c r="AD118" s="136">
        <f t="shared" si="26"/>
        <v>1.1499999999999999</v>
      </c>
      <c r="AE118" s="136">
        <f t="shared" si="26"/>
        <v>1.1499999999999999</v>
      </c>
      <c r="AF118" s="136">
        <f t="shared" si="26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5"/>
        <v>2.133</v>
      </c>
      <c r="D119" s="136">
        <f t="shared" si="25"/>
        <v>2.133</v>
      </c>
      <c r="E119" s="136">
        <f t="shared" si="25"/>
        <v>2.133</v>
      </c>
      <c r="F119" s="136">
        <f t="shared" si="25"/>
        <v>2.133</v>
      </c>
      <c r="G119" s="136">
        <f t="shared" si="25"/>
        <v>2.133</v>
      </c>
      <c r="H119" s="136">
        <f t="shared" si="25"/>
        <v>2.133</v>
      </c>
      <c r="I119" s="136">
        <f t="shared" si="25"/>
        <v>2.133</v>
      </c>
      <c r="J119" s="136">
        <f t="shared" si="25"/>
        <v>2.133</v>
      </c>
      <c r="K119" s="136">
        <f t="shared" si="25"/>
        <v>2.133</v>
      </c>
      <c r="L119" s="136">
        <f t="shared" si="25"/>
        <v>2.133</v>
      </c>
      <c r="M119" s="136">
        <f t="shared" si="25"/>
        <v>2.133</v>
      </c>
      <c r="N119" s="136">
        <f t="shared" si="25"/>
        <v>2.133</v>
      </c>
      <c r="O119" s="136">
        <f t="shared" si="25"/>
        <v>2.133</v>
      </c>
      <c r="P119" s="136">
        <f t="shared" si="25"/>
        <v>2.133</v>
      </c>
      <c r="Q119" s="136">
        <f t="shared" si="25"/>
        <v>2.133</v>
      </c>
      <c r="R119" s="136">
        <f t="shared" si="25"/>
        <v>2.133</v>
      </c>
      <c r="S119" s="136">
        <f t="shared" si="26"/>
        <v>2.133</v>
      </c>
      <c r="T119" s="136">
        <f t="shared" si="26"/>
        <v>2.133</v>
      </c>
      <c r="U119" s="136">
        <f t="shared" si="26"/>
        <v>2.133</v>
      </c>
      <c r="V119" s="136">
        <f t="shared" si="26"/>
        <v>2.133</v>
      </c>
      <c r="W119" s="136">
        <f t="shared" si="26"/>
        <v>2.133</v>
      </c>
      <c r="X119" s="136">
        <f t="shared" si="26"/>
        <v>2.133</v>
      </c>
      <c r="Y119" s="136">
        <f t="shared" si="26"/>
        <v>2.133</v>
      </c>
      <c r="Z119" s="136">
        <f t="shared" si="26"/>
        <v>2.133</v>
      </c>
      <c r="AA119" s="136">
        <f t="shared" si="26"/>
        <v>2.133</v>
      </c>
      <c r="AB119" s="136">
        <f t="shared" si="26"/>
        <v>2.133</v>
      </c>
      <c r="AC119" s="136">
        <f t="shared" si="26"/>
        <v>2.133</v>
      </c>
      <c r="AD119" s="136">
        <f t="shared" si="26"/>
        <v>2.133</v>
      </c>
      <c r="AE119" s="136">
        <f t="shared" si="26"/>
        <v>2.133</v>
      </c>
      <c r="AF119" s="136">
        <f t="shared" si="26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5"/>
        <v>2.09</v>
      </c>
      <c r="D120" s="136">
        <f t="shared" si="25"/>
        <v>2.09</v>
      </c>
      <c r="E120" s="136">
        <f t="shared" si="25"/>
        <v>2.09</v>
      </c>
      <c r="F120" s="136">
        <f t="shared" si="25"/>
        <v>2.09</v>
      </c>
      <c r="G120" s="136">
        <f t="shared" si="25"/>
        <v>2.09</v>
      </c>
      <c r="H120" s="136">
        <f t="shared" si="25"/>
        <v>2.09</v>
      </c>
      <c r="I120" s="136">
        <f t="shared" si="25"/>
        <v>2.09</v>
      </c>
      <c r="J120" s="136">
        <f t="shared" si="25"/>
        <v>2.09</v>
      </c>
      <c r="K120" s="136">
        <f t="shared" si="25"/>
        <v>2.09</v>
      </c>
      <c r="L120" s="136">
        <f t="shared" si="25"/>
        <v>2.09</v>
      </c>
      <c r="M120" s="136">
        <f t="shared" si="25"/>
        <v>2.09</v>
      </c>
      <c r="N120" s="136">
        <f t="shared" si="25"/>
        <v>2.09</v>
      </c>
      <c r="O120" s="136">
        <f t="shared" si="25"/>
        <v>2.09</v>
      </c>
      <c r="P120" s="136">
        <f t="shared" si="25"/>
        <v>2.09</v>
      </c>
      <c r="Q120" s="136">
        <f t="shared" si="25"/>
        <v>2.09</v>
      </c>
      <c r="R120" s="136">
        <f t="shared" ref="R120:W170" si="27">Q120</f>
        <v>2.09</v>
      </c>
      <c r="S120" s="136">
        <f t="shared" si="26"/>
        <v>2.09</v>
      </c>
      <c r="T120" s="136">
        <f t="shared" si="26"/>
        <v>2.09</v>
      </c>
      <c r="U120" s="136">
        <f t="shared" si="26"/>
        <v>2.09</v>
      </c>
      <c r="V120" s="136">
        <f t="shared" si="26"/>
        <v>2.09</v>
      </c>
      <c r="W120" s="136">
        <f t="shared" si="26"/>
        <v>2.09</v>
      </c>
      <c r="X120" s="136">
        <f t="shared" si="26"/>
        <v>2.09</v>
      </c>
      <c r="Y120" s="136">
        <f t="shared" si="26"/>
        <v>2.09</v>
      </c>
      <c r="Z120" s="136">
        <f t="shared" si="26"/>
        <v>2.09</v>
      </c>
      <c r="AA120" s="136">
        <f t="shared" si="26"/>
        <v>2.09</v>
      </c>
      <c r="AB120" s="136">
        <f t="shared" si="26"/>
        <v>2.09</v>
      </c>
      <c r="AC120" s="136">
        <f t="shared" si="26"/>
        <v>2.09</v>
      </c>
      <c r="AD120" s="136">
        <f t="shared" si="26"/>
        <v>2.09</v>
      </c>
      <c r="AE120" s="136">
        <f t="shared" si="26"/>
        <v>2.09</v>
      </c>
      <c r="AF120" s="136">
        <f t="shared" si="26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8">B121</f>
        <v>1.1399999999999999</v>
      </c>
      <c r="D121" s="136">
        <f t="shared" si="28"/>
        <v>1.1399999999999999</v>
      </c>
      <c r="E121" s="136">
        <f t="shared" si="28"/>
        <v>1.1399999999999999</v>
      </c>
      <c r="F121" s="136">
        <f t="shared" si="28"/>
        <v>1.1399999999999999</v>
      </c>
      <c r="G121" s="136">
        <f t="shared" si="28"/>
        <v>1.1399999999999999</v>
      </c>
      <c r="H121" s="136">
        <f t="shared" si="28"/>
        <v>1.1399999999999999</v>
      </c>
      <c r="I121" s="136">
        <f t="shared" si="28"/>
        <v>1.1399999999999999</v>
      </c>
      <c r="J121" s="136">
        <f t="shared" si="28"/>
        <v>1.1399999999999999</v>
      </c>
      <c r="K121" s="136">
        <f t="shared" si="28"/>
        <v>1.1399999999999999</v>
      </c>
      <c r="L121" s="136">
        <f t="shared" si="28"/>
        <v>1.1399999999999999</v>
      </c>
      <c r="M121" s="136">
        <f t="shared" si="28"/>
        <v>1.1399999999999999</v>
      </c>
      <c r="N121" s="136">
        <f t="shared" si="28"/>
        <v>1.1399999999999999</v>
      </c>
      <c r="O121" s="136">
        <f t="shared" si="28"/>
        <v>1.1399999999999999</v>
      </c>
      <c r="P121" s="136">
        <f t="shared" si="28"/>
        <v>1.1399999999999999</v>
      </c>
      <c r="Q121" s="136">
        <f t="shared" si="28"/>
        <v>1.1399999999999999</v>
      </c>
      <c r="R121" s="136">
        <f t="shared" si="27"/>
        <v>1.1399999999999999</v>
      </c>
      <c r="S121" s="136">
        <f t="shared" si="26"/>
        <v>1.1399999999999999</v>
      </c>
      <c r="T121" s="136">
        <f t="shared" si="26"/>
        <v>1.1399999999999999</v>
      </c>
      <c r="U121" s="136">
        <f t="shared" si="26"/>
        <v>1.1399999999999999</v>
      </c>
      <c r="V121" s="136">
        <f t="shared" si="26"/>
        <v>1.1399999999999999</v>
      </c>
      <c r="W121" s="136">
        <f t="shared" si="26"/>
        <v>1.1399999999999999</v>
      </c>
      <c r="X121" s="136">
        <f t="shared" si="26"/>
        <v>1.1399999999999999</v>
      </c>
      <c r="Y121" s="136">
        <f t="shared" si="26"/>
        <v>1.1399999999999999</v>
      </c>
      <c r="Z121" s="136">
        <f t="shared" si="26"/>
        <v>1.1399999999999999</v>
      </c>
      <c r="AA121" s="136">
        <f t="shared" si="26"/>
        <v>1.1399999999999999</v>
      </c>
      <c r="AB121" s="136">
        <f t="shared" si="26"/>
        <v>1.1399999999999999</v>
      </c>
      <c r="AC121" s="136">
        <f t="shared" si="26"/>
        <v>1.1399999999999999</v>
      </c>
      <c r="AD121" s="136">
        <f t="shared" si="26"/>
        <v>1.1399999999999999</v>
      </c>
      <c r="AE121" s="136">
        <f t="shared" si="26"/>
        <v>1.1399999999999999</v>
      </c>
      <c r="AF121" s="136">
        <f t="shared" si="26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8"/>
        <v>0.82</v>
      </c>
      <c r="D122" s="136">
        <f t="shared" si="28"/>
        <v>0.82</v>
      </c>
      <c r="E122" s="136">
        <f t="shared" si="28"/>
        <v>0.82</v>
      </c>
      <c r="F122" s="136">
        <f t="shared" si="28"/>
        <v>0.82</v>
      </c>
      <c r="G122" s="136">
        <f t="shared" si="28"/>
        <v>0.82</v>
      </c>
      <c r="H122" s="136">
        <f t="shared" si="28"/>
        <v>0.82</v>
      </c>
      <c r="I122" s="136">
        <f t="shared" si="28"/>
        <v>0.82</v>
      </c>
      <c r="J122" s="136">
        <f t="shared" si="28"/>
        <v>0.82</v>
      </c>
      <c r="K122" s="136">
        <f t="shared" si="28"/>
        <v>0.82</v>
      </c>
      <c r="L122" s="136">
        <f t="shared" si="28"/>
        <v>0.82</v>
      </c>
      <c r="M122" s="136">
        <f t="shared" si="28"/>
        <v>0.82</v>
      </c>
      <c r="N122" s="136">
        <f t="shared" si="28"/>
        <v>0.82</v>
      </c>
      <c r="O122" s="136">
        <f t="shared" si="28"/>
        <v>0.82</v>
      </c>
      <c r="P122" s="136">
        <f t="shared" si="28"/>
        <v>0.82</v>
      </c>
      <c r="Q122" s="136">
        <f t="shared" si="28"/>
        <v>0.82</v>
      </c>
      <c r="R122" s="136">
        <f t="shared" si="27"/>
        <v>0.82</v>
      </c>
      <c r="S122" s="136">
        <f t="shared" si="26"/>
        <v>0.82</v>
      </c>
      <c r="T122" s="136">
        <f t="shared" si="26"/>
        <v>0.82</v>
      </c>
      <c r="U122" s="136">
        <f t="shared" si="26"/>
        <v>0.82</v>
      </c>
      <c r="V122" s="136">
        <f t="shared" si="26"/>
        <v>0.82</v>
      </c>
      <c r="W122" s="136">
        <f t="shared" si="26"/>
        <v>0.82</v>
      </c>
      <c r="X122" s="136">
        <f t="shared" si="26"/>
        <v>0.82</v>
      </c>
      <c r="Y122" s="136">
        <f t="shared" si="26"/>
        <v>0.82</v>
      </c>
      <c r="Z122" s="136">
        <f t="shared" si="26"/>
        <v>0.82</v>
      </c>
      <c r="AA122" s="136">
        <f t="shared" si="26"/>
        <v>0.82</v>
      </c>
      <c r="AB122" s="136">
        <f t="shared" si="26"/>
        <v>0.82</v>
      </c>
      <c r="AC122" s="136">
        <f t="shared" si="26"/>
        <v>0.82</v>
      </c>
      <c r="AD122" s="136">
        <f t="shared" si="26"/>
        <v>0.82</v>
      </c>
      <c r="AE122" s="136">
        <f t="shared" si="26"/>
        <v>0.82</v>
      </c>
      <c r="AF122" s="136">
        <f t="shared" si="26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8"/>
        <v>2</v>
      </c>
      <c r="D123" s="136">
        <f t="shared" si="28"/>
        <v>2</v>
      </c>
      <c r="E123" s="136">
        <f t="shared" si="28"/>
        <v>2</v>
      </c>
      <c r="F123" s="136">
        <f t="shared" si="28"/>
        <v>2</v>
      </c>
      <c r="G123" s="136">
        <f t="shared" si="28"/>
        <v>2</v>
      </c>
      <c r="H123" s="136">
        <f t="shared" si="28"/>
        <v>2</v>
      </c>
      <c r="I123" s="136">
        <f t="shared" si="28"/>
        <v>2</v>
      </c>
      <c r="J123" s="136">
        <f t="shared" si="28"/>
        <v>2</v>
      </c>
      <c r="K123" s="136">
        <f t="shared" si="28"/>
        <v>2</v>
      </c>
      <c r="L123" s="136">
        <f t="shared" si="28"/>
        <v>2</v>
      </c>
      <c r="M123" s="136">
        <f t="shared" si="28"/>
        <v>2</v>
      </c>
      <c r="N123" s="136">
        <f t="shared" si="28"/>
        <v>2</v>
      </c>
      <c r="O123" s="136">
        <f t="shared" si="28"/>
        <v>2</v>
      </c>
      <c r="P123" s="136">
        <f t="shared" si="28"/>
        <v>2</v>
      </c>
      <c r="Q123" s="136">
        <f t="shared" si="28"/>
        <v>2</v>
      </c>
      <c r="R123" s="136">
        <f t="shared" si="27"/>
        <v>2</v>
      </c>
      <c r="S123" s="136">
        <f t="shared" si="26"/>
        <v>2</v>
      </c>
      <c r="T123" s="136">
        <f t="shared" si="26"/>
        <v>2</v>
      </c>
      <c r="U123" s="136">
        <f t="shared" si="26"/>
        <v>2</v>
      </c>
      <c r="V123" s="136">
        <f t="shared" ref="V123:AF146" si="29">U123</f>
        <v>2</v>
      </c>
      <c r="W123" s="136">
        <f t="shared" si="29"/>
        <v>2</v>
      </c>
      <c r="X123" s="136">
        <f t="shared" si="29"/>
        <v>2</v>
      </c>
      <c r="Y123" s="136">
        <f t="shared" si="29"/>
        <v>2</v>
      </c>
      <c r="Z123" s="136">
        <f t="shared" si="29"/>
        <v>2</v>
      </c>
      <c r="AA123" s="136">
        <f t="shared" si="29"/>
        <v>2</v>
      </c>
      <c r="AB123" s="136">
        <f t="shared" si="29"/>
        <v>2</v>
      </c>
      <c r="AC123" s="136">
        <f t="shared" si="29"/>
        <v>2</v>
      </c>
      <c r="AD123" s="136">
        <f t="shared" si="29"/>
        <v>2</v>
      </c>
      <c r="AE123" s="136">
        <f t="shared" si="29"/>
        <v>2</v>
      </c>
      <c r="AF123" s="136">
        <f t="shared" si="29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8"/>
        <v>5.61</v>
      </c>
      <c r="D124" s="136">
        <f t="shared" si="28"/>
        <v>5.61</v>
      </c>
      <c r="E124" s="136">
        <f t="shared" si="28"/>
        <v>5.61</v>
      </c>
      <c r="F124" s="136">
        <f t="shared" si="28"/>
        <v>5.61</v>
      </c>
      <c r="G124" s="136">
        <f t="shared" si="28"/>
        <v>5.61</v>
      </c>
      <c r="H124" s="136">
        <f t="shared" si="28"/>
        <v>5.61</v>
      </c>
      <c r="I124" s="136">
        <f t="shared" si="28"/>
        <v>5.61</v>
      </c>
      <c r="J124" s="136">
        <f t="shared" si="28"/>
        <v>5.61</v>
      </c>
      <c r="K124" s="136">
        <f t="shared" si="28"/>
        <v>5.61</v>
      </c>
      <c r="L124" s="136">
        <f t="shared" si="28"/>
        <v>5.61</v>
      </c>
      <c r="M124" s="136">
        <f t="shared" si="28"/>
        <v>5.61</v>
      </c>
      <c r="N124" s="136">
        <f t="shared" si="28"/>
        <v>5.61</v>
      </c>
      <c r="O124" s="136">
        <f t="shared" si="28"/>
        <v>5.61</v>
      </c>
      <c r="P124" s="136">
        <f t="shared" si="28"/>
        <v>5.61</v>
      </c>
      <c r="Q124" s="136">
        <f t="shared" si="28"/>
        <v>5.61</v>
      </c>
      <c r="R124" s="136">
        <f t="shared" si="27"/>
        <v>5.61</v>
      </c>
      <c r="S124" s="136">
        <f t="shared" si="27"/>
        <v>5.61</v>
      </c>
      <c r="T124" s="136">
        <f t="shared" si="27"/>
        <v>5.61</v>
      </c>
      <c r="U124" s="136">
        <f t="shared" si="27"/>
        <v>5.61</v>
      </c>
      <c r="V124" s="136">
        <f t="shared" si="29"/>
        <v>5.61</v>
      </c>
      <c r="W124" s="136">
        <f t="shared" si="29"/>
        <v>5.61</v>
      </c>
      <c r="X124" s="136">
        <f t="shared" si="29"/>
        <v>5.61</v>
      </c>
      <c r="Y124" s="136">
        <f t="shared" si="29"/>
        <v>5.61</v>
      </c>
      <c r="Z124" s="136">
        <f t="shared" si="29"/>
        <v>5.61</v>
      </c>
      <c r="AA124" s="136">
        <f t="shared" si="29"/>
        <v>5.61</v>
      </c>
      <c r="AB124" s="136">
        <f t="shared" si="29"/>
        <v>5.61</v>
      </c>
      <c r="AC124" s="136">
        <f t="shared" si="29"/>
        <v>5.61</v>
      </c>
      <c r="AD124" s="136">
        <f t="shared" si="29"/>
        <v>5.61</v>
      </c>
      <c r="AE124" s="136">
        <f t="shared" si="29"/>
        <v>5.61</v>
      </c>
      <c r="AF124" s="136">
        <f t="shared" si="29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8"/>
        <v>1.25</v>
      </c>
      <c r="D125" s="136">
        <f t="shared" si="28"/>
        <v>1.25</v>
      </c>
      <c r="E125" s="136">
        <f t="shared" si="28"/>
        <v>1.25</v>
      </c>
      <c r="F125" s="136">
        <f t="shared" si="28"/>
        <v>1.25</v>
      </c>
      <c r="G125" s="136">
        <f t="shared" si="28"/>
        <v>1.25</v>
      </c>
      <c r="H125" s="136">
        <f t="shared" si="28"/>
        <v>1.25</v>
      </c>
      <c r="I125" s="136">
        <f t="shared" si="28"/>
        <v>1.25</v>
      </c>
      <c r="J125" s="136">
        <f t="shared" si="28"/>
        <v>1.25</v>
      </c>
      <c r="K125" s="136">
        <f t="shared" si="28"/>
        <v>1.25</v>
      </c>
      <c r="L125" s="136">
        <f t="shared" si="28"/>
        <v>1.25</v>
      </c>
      <c r="M125" s="136">
        <f t="shared" si="28"/>
        <v>1.25</v>
      </c>
      <c r="N125" s="136">
        <f t="shared" si="28"/>
        <v>1.25</v>
      </c>
      <c r="O125" s="136">
        <f t="shared" si="28"/>
        <v>1.25</v>
      </c>
      <c r="P125" s="136">
        <f t="shared" si="28"/>
        <v>1.25</v>
      </c>
      <c r="Q125" s="136">
        <f t="shared" si="28"/>
        <v>1.25</v>
      </c>
      <c r="R125" s="136">
        <f t="shared" si="27"/>
        <v>1.25</v>
      </c>
      <c r="S125" s="136">
        <f t="shared" si="27"/>
        <v>1.25</v>
      </c>
      <c r="T125" s="136">
        <f t="shared" si="27"/>
        <v>1.25</v>
      </c>
      <c r="U125" s="136">
        <f t="shared" si="27"/>
        <v>1.25</v>
      </c>
      <c r="V125" s="136">
        <f t="shared" si="29"/>
        <v>1.25</v>
      </c>
      <c r="W125" s="136">
        <f t="shared" si="29"/>
        <v>1.25</v>
      </c>
      <c r="X125" s="136">
        <f t="shared" si="29"/>
        <v>1.25</v>
      </c>
      <c r="Y125" s="136">
        <f t="shared" si="29"/>
        <v>1.25</v>
      </c>
      <c r="Z125" s="136">
        <f t="shared" si="29"/>
        <v>1.25</v>
      </c>
      <c r="AA125" s="136">
        <f t="shared" si="29"/>
        <v>1.25</v>
      </c>
      <c r="AB125" s="136">
        <f t="shared" si="29"/>
        <v>1.25</v>
      </c>
      <c r="AC125" s="136">
        <f t="shared" si="29"/>
        <v>1.25</v>
      </c>
      <c r="AD125" s="136">
        <f t="shared" si="29"/>
        <v>1.25</v>
      </c>
      <c r="AE125" s="136">
        <f t="shared" si="29"/>
        <v>1.25</v>
      </c>
      <c r="AF125" s="136">
        <f t="shared" si="29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8"/>
        <v>1.25</v>
      </c>
      <c r="D126" s="136">
        <f t="shared" si="28"/>
        <v>1.25</v>
      </c>
      <c r="E126" s="136">
        <f t="shared" si="28"/>
        <v>1.25</v>
      </c>
      <c r="F126" s="136">
        <f t="shared" si="28"/>
        <v>1.25</v>
      </c>
      <c r="G126" s="136">
        <f t="shared" si="28"/>
        <v>1.25</v>
      </c>
      <c r="H126" s="136">
        <f t="shared" si="28"/>
        <v>1.25</v>
      </c>
      <c r="I126" s="136">
        <f t="shared" si="28"/>
        <v>1.25</v>
      </c>
      <c r="J126" s="136">
        <f t="shared" si="28"/>
        <v>1.25</v>
      </c>
      <c r="K126" s="136">
        <f t="shared" si="28"/>
        <v>1.25</v>
      </c>
      <c r="L126" s="136">
        <f t="shared" si="28"/>
        <v>1.25</v>
      </c>
      <c r="M126" s="136">
        <f t="shared" si="28"/>
        <v>1.25</v>
      </c>
      <c r="N126" s="136">
        <f t="shared" si="28"/>
        <v>1.25</v>
      </c>
      <c r="O126" s="136">
        <f t="shared" si="28"/>
        <v>1.25</v>
      </c>
      <c r="P126" s="136">
        <f t="shared" si="28"/>
        <v>1.25</v>
      </c>
      <c r="Q126" s="136">
        <f t="shared" si="28"/>
        <v>1.25</v>
      </c>
      <c r="R126" s="136">
        <f t="shared" si="27"/>
        <v>1.25</v>
      </c>
      <c r="S126" s="136">
        <f t="shared" si="27"/>
        <v>1.25</v>
      </c>
      <c r="T126" s="136">
        <f t="shared" si="27"/>
        <v>1.25</v>
      </c>
      <c r="U126" s="136">
        <f t="shared" si="27"/>
        <v>1.25</v>
      </c>
      <c r="V126" s="136">
        <f t="shared" si="29"/>
        <v>1.25</v>
      </c>
      <c r="W126" s="136">
        <f t="shared" si="29"/>
        <v>1.25</v>
      </c>
      <c r="X126" s="136">
        <f t="shared" si="29"/>
        <v>1.25</v>
      </c>
      <c r="Y126" s="136">
        <f t="shared" si="29"/>
        <v>1.25</v>
      </c>
      <c r="Z126" s="136">
        <f t="shared" si="29"/>
        <v>1.25</v>
      </c>
      <c r="AA126" s="136">
        <f t="shared" si="29"/>
        <v>1.25</v>
      </c>
      <c r="AB126" s="136">
        <f t="shared" si="29"/>
        <v>1.25</v>
      </c>
      <c r="AC126" s="136">
        <f t="shared" si="29"/>
        <v>1.25</v>
      </c>
      <c r="AD126" s="136">
        <f t="shared" si="29"/>
        <v>1.25</v>
      </c>
      <c r="AE126" s="136">
        <f t="shared" si="29"/>
        <v>1.25</v>
      </c>
      <c r="AF126" s="136">
        <f t="shared" si="29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8"/>
        <v>1.46</v>
      </c>
      <c r="D127" s="136">
        <f t="shared" si="28"/>
        <v>1.46</v>
      </c>
      <c r="E127" s="136">
        <f t="shared" si="28"/>
        <v>1.46</v>
      </c>
      <c r="F127" s="136">
        <f t="shared" si="28"/>
        <v>1.46</v>
      </c>
      <c r="G127" s="136">
        <f t="shared" si="28"/>
        <v>1.46</v>
      </c>
      <c r="H127" s="136">
        <f t="shared" si="28"/>
        <v>1.46</v>
      </c>
      <c r="I127" s="136">
        <f t="shared" si="28"/>
        <v>1.46</v>
      </c>
      <c r="J127" s="136">
        <f t="shared" si="28"/>
        <v>1.46</v>
      </c>
      <c r="K127" s="136">
        <f t="shared" si="28"/>
        <v>1.46</v>
      </c>
      <c r="L127" s="136">
        <f t="shared" si="28"/>
        <v>1.46</v>
      </c>
      <c r="M127" s="136">
        <f t="shared" si="28"/>
        <v>1.46</v>
      </c>
      <c r="N127" s="136">
        <f t="shared" si="28"/>
        <v>1.46</v>
      </c>
      <c r="O127" s="136">
        <f t="shared" si="28"/>
        <v>1.46</v>
      </c>
      <c r="P127" s="136">
        <f t="shared" si="28"/>
        <v>1.46</v>
      </c>
      <c r="Q127" s="136">
        <f t="shared" si="28"/>
        <v>1.46</v>
      </c>
      <c r="R127" s="136">
        <f t="shared" si="27"/>
        <v>1.46</v>
      </c>
      <c r="S127" s="136">
        <f t="shared" si="27"/>
        <v>1.46</v>
      </c>
      <c r="T127" s="136">
        <f t="shared" si="27"/>
        <v>1.46</v>
      </c>
      <c r="U127" s="136">
        <f t="shared" si="27"/>
        <v>1.46</v>
      </c>
      <c r="V127" s="136">
        <f t="shared" si="29"/>
        <v>1.46</v>
      </c>
      <c r="W127" s="136">
        <f t="shared" si="29"/>
        <v>1.46</v>
      </c>
      <c r="X127" s="136">
        <f t="shared" si="29"/>
        <v>1.46</v>
      </c>
      <c r="Y127" s="136">
        <f t="shared" si="29"/>
        <v>1.46</v>
      </c>
      <c r="Z127" s="136">
        <f t="shared" si="29"/>
        <v>1.46</v>
      </c>
      <c r="AA127" s="136">
        <f t="shared" si="29"/>
        <v>1.46</v>
      </c>
      <c r="AB127" s="136">
        <f t="shared" si="29"/>
        <v>1.46</v>
      </c>
      <c r="AC127" s="136">
        <f t="shared" si="29"/>
        <v>1.46</v>
      </c>
      <c r="AD127" s="136">
        <f t="shared" si="29"/>
        <v>1.46</v>
      </c>
      <c r="AE127" s="136">
        <f t="shared" si="29"/>
        <v>1.46</v>
      </c>
      <c r="AF127" s="136">
        <f t="shared" si="29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8"/>
        <v>3</v>
      </c>
      <c r="D128" s="136">
        <f t="shared" si="28"/>
        <v>3</v>
      </c>
      <c r="E128" s="136">
        <f t="shared" si="28"/>
        <v>3</v>
      </c>
      <c r="F128" s="136">
        <f t="shared" si="28"/>
        <v>3</v>
      </c>
      <c r="G128" s="136">
        <f t="shared" si="28"/>
        <v>3</v>
      </c>
      <c r="H128" s="136">
        <f t="shared" si="28"/>
        <v>3</v>
      </c>
      <c r="I128" s="136">
        <f t="shared" si="28"/>
        <v>3</v>
      </c>
      <c r="J128" s="136">
        <f t="shared" si="28"/>
        <v>3</v>
      </c>
      <c r="K128" s="136">
        <f t="shared" si="28"/>
        <v>3</v>
      </c>
      <c r="L128" s="136">
        <f t="shared" si="28"/>
        <v>3</v>
      </c>
      <c r="M128" s="136">
        <f t="shared" si="28"/>
        <v>3</v>
      </c>
      <c r="N128" s="136">
        <f t="shared" si="28"/>
        <v>3</v>
      </c>
      <c r="O128" s="136">
        <f t="shared" si="28"/>
        <v>3</v>
      </c>
      <c r="P128" s="136">
        <f t="shared" si="28"/>
        <v>3</v>
      </c>
      <c r="Q128" s="136">
        <f t="shared" si="28"/>
        <v>3</v>
      </c>
      <c r="R128" s="136">
        <f t="shared" si="27"/>
        <v>3</v>
      </c>
      <c r="S128" s="136">
        <f t="shared" si="27"/>
        <v>3</v>
      </c>
      <c r="T128" s="136">
        <f t="shared" si="27"/>
        <v>3</v>
      </c>
      <c r="U128" s="136">
        <f t="shared" si="27"/>
        <v>3</v>
      </c>
      <c r="V128" s="136">
        <f t="shared" si="29"/>
        <v>3</v>
      </c>
      <c r="W128" s="136">
        <f t="shared" si="29"/>
        <v>3</v>
      </c>
      <c r="X128" s="136">
        <f t="shared" si="29"/>
        <v>3</v>
      </c>
      <c r="Y128" s="136">
        <f t="shared" si="29"/>
        <v>3</v>
      </c>
      <c r="Z128" s="136">
        <f t="shared" si="29"/>
        <v>3</v>
      </c>
      <c r="AA128" s="136">
        <f t="shared" si="29"/>
        <v>3</v>
      </c>
      <c r="AB128" s="136">
        <f t="shared" si="29"/>
        <v>3</v>
      </c>
      <c r="AC128" s="136">
        <f t="shared" si="29"/>
        <v>3</v>
      </c>
      <c r="AD128" s="136">
        <f t="shared" si="29"/>
        <v>3</v>
      </c>
      <c r="AE128" s="136">
        <f t="shared" si="29"/>
        <v>3</v>
      </c>
      <c r="AF128" s="136">
        <f t="shared" si="29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8"/>
        <v>3.3</v>
      </c>
      <c r="D129" s="136">
        <f t="shared" si="28"/>
        <v>3.3</v>
      </c>
      <c r="E129" s="136">
        <f t="shared" si="28"/>
        <v>3.3</v>
      </c>
      <c r="F129" s="136">
        <f t="shared" si="28"/>
        <v>3.3</v>
      </c>
      <c r="G129" s="136">
        <f t="shared" si="28"/>
        <v>3.3</v>
      </c>
      <c r="H129" s="136">
        <f t="shared" si="28"/>
        <v>3.3</v>
      </c>
      <c r="I129" s="136">
        <f t="shared" si="28"/>
        <v>3.3</v>
      </c>
      <c r="J129" s="136">
        <f t="shared" si="28"/>
        <v>3.3</v>
      </c>
      <c r="K129" s="136">
        <f t="shared" si="28"/>
        <v>3.3</v>
      </c>
      <c r="L129" s="136">
        <f t="shared" si="28"/>
        <v>3.3</v>
      </c>
      <c r="M129" s="136">
        <f t="shared" si="28"/>
        <v>3.3</v>
      </c>
      <c r="N129" s="136">
        <f t="shared" si="28"/>
        <v>3.3</v>
      </c>
      <c r="O129" s="136">
        <f t="shared" si="28"/>
        <v>3.3</v>
      </c>
      <c r="P129" s="136">
        <f t="shared" si="28"/>
        <v>3.3</v>
      </c>
      <c r="Q129" s="136">
        <f t="shared" si="28"/>
        <v>3.3</v>
      </c>
      <c r="R129" s="136">
        <f t="shared" si="27"/>
        <v>3.3</v>
      </c>
      <c r="S129" s="136">
        <f t="shared" si="27"/>
        <v>3.3</v>
      </c>
      <c r="T129" s="136">
        <f t="shared" si="27"/>
        <v>3.3</v>
      </c>
      <c r="U129" s="136">
        <f t="shared" si="27"/>
        <v>3.3</v>
      </c>
      <c r="V129" s="136">
        <f t="shared" si="29"/>
        <v>3.3</v>
      </c>
      <c r="W129" s="136">
        <f t="shared" si="29"/>
        <v>3.3</v>
      </c>
      <c r="X129" s="136">
        <f t="shared" si="29"/>
        <v>3.3</v>
      </c>
      <c r="Y129" s="136">
        <f t="shared" si="29"/>
        <v>3.3</v>
      </c>
      <c r="Z129" s="136">
        <f t="shared" si="29"/>
        <v>3.3</v>
      </c>
      <c r="AA129" s="136">
        <f t="shared" si="29"/>
        <v>3.3</v>
      </c>
      <c r="AB129" s="136">
        <f t="shared" si="29"/>
        <v>3.3</v>
      </c>
      <c r="AC129" s="136">
        <f t="shared" si="29"/>
        <v>3.3</v>
      </c>
      <c r="AD129" s="136">
        <f t="shared" si="29"/>
        <v>3.3</v>
      </c>
      <c r="AE129" s="136">
        <f t="shared" si="29"/>
        <v>3.3</v>
      </c>
      <c r="AF129" s="136">
        <f t="shared" si="29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8"/>
        <v>1.76</v>
      </c>
      <c r="D130" s="136">
        <f t="shared" si="28"/>
        <v>1.76</v>
      </c>
      <c r="E130" s="136">
        <f t="shared" si="28"/>
        <v>1.76</v>
      </c>
      <c r="F130" s="136">
        <f t="shared" si="28"/>
        <v>1.76</v>
      </c>
      <c r="G130" s="136">
        <f t="shared" si="28"/>
        <v>1.76</v>
      </c>
      <c r="H130" s="136">
        <f t="shared" si="28"/>
        <v>1.76</v>
      </c>
      <c r="I130" s="136">
        <f t="shared" si="28"/>
        <v>1.76</v>
      </c>
      <c r="J130" s="136">
        <f t="shared" si="28"/>
        <v>1.76</v>
      </c>
      <c r="K130" s="136">
        <f t="shared" si="28"/>
        <v>1.76</v>
      </c>
      <c r="L130" s="136">
        <f t="shared" si="28"/>
        <v>1.76</v>
      </c>
      <c r="M130" s="136">
        <f t="shared" si="28"/>
        <v>1.76</v>
      </c>
      <c r="N130" s="136">
        <f t="shared" si="28"/>
        <v>1.76</v>
      </c>
      <c r="O130" s="136">
        <f t="shared" si="28"/>
        <v>1.76</v>
      </c>
      <c r="P130" s="136">
        <f t="shared" si="28"/>
        <v>1.76</v>
      </c>
      <c r="Q130" s="136">
        <f t="shared" si="28"/>
        <v>1.76</v>
      </c>
      <c r="R130" s="136">
        <f t="shared" si="27"/>
        <v>1.76</v>
      </c>
      <c r="S130" s="136">
        <f t="shared" si="27"/>
        <v>1.76</v>
      </c>
      <c r="T130" s="136">
        <f t="shared" si="27"/>
        <v>1.76</v>
      </c>
      <c r="U130" s="136">
        <f t="shared" si="27"/>
        <v>1.76</v>
      </c>
      <c r="V130" s="136">
        <f t="shared" si="29"/>
        <v>1.76</v>
      </c>
      <c r="W130" s="136">
        <f t="shared" si="29"/>
        <v>1.76</v>
      </c>
      <c r="X130" s="136">
        <f t="shared" si="29"/>
        <v>1.76</v>
      </c>
      <c r="Y130" s="136">
        <f t="shared" si="29"/>
        <v>1.76</v>
      </c>
      <c r="Z130" s="136">
        <f t="shared" si="29"/>
        <v>1.76</v>
      </c>
      <c r="AA130" s="136">
        <f t="shared" si="29"/>
        <v>1.76</v>
      </c>
      <c r="AB130" s="136">
        <f t="shared" si="29"/>
        <v>1.76</v>
      </c>
      <c r="AC130" s="136">
        <f t="shared" si="29"/>
        <v>1.76</v>
      </c>
      <c r="AD130" s="136">
        <f t="shared" si="29"/>
        <v>1.76</v>
      </c>
      <c r="AE130" s="136">
        <f t="shared" si="29"/>
        <v>1.76</v>
      </c>
      <c r="AF130" s="136">
        <f t="shared" si="29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8"/>
        <v>0</v>
      </c>
      <c r="D131" s="136">
        <f t="shared" si="28"/>
        <v>0</v>
      </c>
      <c r="E131" s="136">
        <f t="shared" si="28"/>
        <v>0</v>
      </c>
      <c r="F131" s="136">
        <f t="shared" si="28"/>
        <v>0</v>
      </c>
      <c r="G131" s="136">
        <f t="shared" si="28"/>
        <v>0</v>
      </c>
      <c r="H131" s="136">
        <f t="shared" si="28"/>
        <v>0</v>
      </c>
      <c r="I131" s="136">
        <f t="shared" si="28"/>
        <v>0</v>
      </c>
      <c r="J131" s="136">
        <f t="shared" si="28"/>
        <v>0</v>
      </c>
      <c r="K131" s="136">
        <f t="shared" si="28"/>
        <v>0</v>
      </c>
      <c r="L131" s="136">
        <f t="shared" si="28"/>
        <v>0</v>
      </c>
      <c r="M131" s="136">
        <f t="shared" si="28"/>
        <v>0</v>
      </c>
      <c r="N131" s="136">
        <f t="shared" si="28"/>
        <v>0</v>
      </c>
      <c r="O131" s="136">
        <f t="shared" si="28"/>
        <v>0</v>
      </c>
      <c r="P131" s="136">
        <f t="shared" si="28"/>
        <v>0</v>
      </c>
      <c r="Q131" s="136">
        <f t="shared" si="28"/>
        <v>0</v>
      </c>
      <c r="R131" s="136">
        <f t="shared" si="27"/>
        <v>0</v>
      </c>
      <c r="S131" s="136">
        <f t="shared" si="27"/>
        <v>0</v>
      </c>
      <c r="T131" s="136">
        <f t="shared" si="27"/>
        <v>0</v>
      </c>
      <c r="U131" s="136">
        <f t="shared" si="27"/>
        <v>0</v>
      </c>
      <c r="V131" s="136">
        <f t="shared" si="29"/>
        <v>0</v>
      </c>
      <c r="W131" s="136">
        <f t="shared" si="29"/>
        <v>0</v>
      </c>
      <c r="X131" s="136">
        <f t="shared" si="29"/>
        <v>0</v>
      </c>
      <c r="Y131" s="136">
        <f t="shared" si="29"/>
        <v>0</v>
      </c>
      <c r="Z131" s="136">
        <f t="shared" si="29"/>
        <v>0</v>
      </c>
      <c r="AA131" s="136">
        <f t="shared" si="29"/>
        <v>0</v>
      </c>
      <c r="AB131" s="136">
        <f t="shared" si="29"/>
        <v>0</v>
      </c>
      <c r="AC131" s="136">
        <f t="shared" si="29"/>
        <v>0</v>
      </c>
      <c r="AD131" s="136">
        <f t="shared" si="29"/>
        <v>0</v>
      </c>
      <c r="AE131" s="136">
        <f t="shared" si="29"/>
        <v>0</v>
      </c>
      <c r="AF131" s="136">
        <f t="shared" si="29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8"/>
        <v>0.1</v>
      </c>
      <c r="D132" s="136">
        <f t="shared" si="28"/>
        <v>0.1</v>
      </c>
      <c r="E132" s="136">
        <f t="shared" si="28"/>
        <v>0.1</v>
      </c>
      <c r="F132" s="136">
        <f t="shared" si="28"/>
        <v>0.1</v>
      </c>
      <c r="G132" s="136">
        <f t="shared" si="28"/>
        <v>0.1</v>
      </c>
      <c r="H132" s="136">
        <f t="shared" si="28"/>
        <v>0.1</v>
      </c>
      <c r="I132" s="136">
        <f t="shared" si="28"/>
        <v>0.1</v>
      </c>
      <c r="J132" s="136">
        <f t="shared" si="28"/>
        <v>0.1</v>
      </c>
      <c r="K132" s="136">
        <f t="shared" si="28"/>
        <v>0.1</v>
      </c>
      <c r="L132" s="136">
        <f t="shared" si="28"/>
        <v>0.1</v>
      </c>
      <c r="M132" s="136">
        <f t="shared" si="28"/>
        <v>0.1</v>
      </c>
      <c r="N132" s="136">
        <f t="shared" si="28"/>
        <v>0.1</v>
      </c>
      <c r="O132" s="136">
        <f t="shared" si="28"/>
        <v>0.1</v>
      </c>
      <c r="P132" s="136">
        <f t="shared" si="28"/>
        <v>0.1</v>
      </c>
      <c r="Q132" s="136">
        <f t="shared" si="28"/>
        <v>0.1</v>
      </c>
      <c r="R132" s="136">
        <f t="shared" si="27"/>
        <v>0.1</v>
      </c>
      <c r="S132" s="136">
        <f t="shared" si="27"/>
        <v>0.1</v>
      </c>
      <c r="T132" s="136">
        <f t="shared" si="27"/>
        <v>0.1</v>
      </c>
      <c r="U132" s="136">
        <f t="shared" si="27"/>
        <v>0.1</v>
      </c>
      <c r="V132" s="136">
        <f t="shared" si="29"/>
        <v>0.1</v>
      </c>
      <c r="W132" s="136">
        <f t="shared" si="29"/>
        <v>0.1</v>
      </c>
      <c r="X132" s="136">
        <f t="shared" si="29"/>
        <v>0.1</v>
      </c>
      <c r="Y132" s="136">
        <f t="shared" si="29"/>
        <v>0.1</v>
      </c>
      <c r="Z132" s="136">
        <f t="shared" si="29"/>
        <v>0.1</v>
      </c>
      <c r="AA132" s="136">
        <f t="shared" si="29"/>
        <v>0.1</v>
      </c>
      <c r="AB132" s="136">
        <f t="shared" si="29"/>
        <v>0.1</v>
      </c>
      <c r="AC132" s="136">
        <f t="shared" si="29"/>
        <v>0.1</v>
      </c>
      <c r="AD132" s="136">
        <f t="shared" si="29"/>
        <v>0.1</v>
      </c>
      <c r="AE132" s="136">
        <f t="shared" si="29"/>
        <v>0.1</v>
      </c>
      <c r="AF132" s="136">
        <f t="shared" si="29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8"/>
        <v>2.0499999999999998</v>
      </c>
      <c r="D133" s="136">
        <f t="shared" si="28"/>
        <v>2.0499999999999998</v>
      </c>
      <c r="E133" s="136">
        <f t="shared" si="28"/>
        <v>2.0499999999999998</v>
      </c>
      <c r="F133" s="136">
        <f t="shared" si="28"/>
        <v>2.0499999999999998</v>
      </c>
      <c r="G133" s="136">
        <f t="shared" si="28"/>
        <v>2.0499999999999998</v>
      </c>
      <c r="H133" s="136">
        <f t="shared" si="28"/>
        <v>2.0499999999999998</v>
      </c>
      <c r="I133" s="136">
        <f t="shared" si="28"/>
        <v>2.0499999999999998</v>
      </c>
      <c r="J133" s="136">
        <f t="shared" si="28"/>
        <v>2.0499999999999998</v>
      </c>
      <c r="K133" s="136">
        <f t="shared" si="28"/>
        <v>2.0499999999999998</v>
      </c>
      <c r="L133" s="136">
        <f t="shared" si="28"/>
        <v>2.0499999999999998</v>
      </c>
      <c r="M133" s="136">
        <f t="shared" si="28"/>
        <v>2.0499999999999998</v>
      </c>
      <c r="N133" s="136">
        <f t="shared" si="28"/>
        <v>2.0499999999999998</v>
      </c>
      <c r="O133" s="136">
        <f t="shared" si="28"/>
        <v>2.0499999999999998</v>
      </c>
      <c r="P133" s="136">
        <f t="shared" si="28"/>
        <v>2.0499999999999998</v>
      </c>
      <c r="Q133" s="136">
        <f t="shared" si="28"/>
        <v>2.0499999999999998</v>
      </c>
      <c r="R133" s="136">
        <f t="shared" si="27"/>
        <v>2.0499999999999998</v>
      </c>
      <c r="S133" s="136">
        <f t="shared" si="27"/>
        <v>2.0499999999999998</v>
      </c>
      <c r="T133" s="136">
        <f t="shared" si="27"/>
        <v>2.0499999999999998</v>
      </c>
      <c r="U133" s="136">
        <f t="shared" si="27"/>
        <v>2.0499999999999998</v>
      </c>
      <c r="V133" s="136">
        <f t="shared" si="29"/>
        <v>2.0499999999999998</v>
      </c>
      <c r="W133" s="136">
        <f t="shared" si="29"/>
        <v>2.0499999999999998</v>
      </c>
      <c r="X133" s="136">
        <f t="shared" si="29"/>
        <v>2.0499999999999998</v>
      </c>
      <c r="Y133" s="136">
        <f t="shared" si="29"/>
        <v>2.0499999999999998</v>
      </c>
      <c r="Z133" s="136">
        <f t="shared" si="29"/>
        <v>2.0499999999999998</v>
      </c>
      <c r="AA133" s="136">
        <f t="shared" si="29"/>
        <v>2.0499999999999998</v>
      </c>
      <c r="AB133" s="136">
        <f t="shared" si="29"/>
        <v>2.0499999999999998</v>
      </c>
      <c r="AC133" s="136">
        <f t="shared" si="29"/>
        <v>2.0499999999999998</v>
      </c>
      <c r="AD133" s="136">
        <f t="shared" si="29"/>
        <v>2.0499999999999998</v>
      </c>
      <c r="AE133" s="136">
        <f t="shared" si="29"/>
        <v>2.0499999999999998</v>
      </c>
      <c r="AF133" s="136">
        <f t="shared" si="29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8"/>
        <v>2.15</v>
      </c>
      <c r="D134" s="136">
        <f t="shared" si="28"/>
        <v>2.15</v>
      </c>
      <c r="E134" s="136">
        <f t="shared" si="28"/>
        <v>2.15</v>
      </c>
      <c r="F134" s="136">
        <f t="shared" si="28"/>
        <v>2.15</v>
      </c>
      <c r="G134" s="136">
        <f t="shared" si="28"/>
        <v>2.15</v>
      </c>
      <c r="H134" s="136">
        <f t="shared" si="28"/>
        <v>2.15</v>
      </c>
      <c r="I134" s="136">
        <f t="shared" si="28"/>
        <v>2.15</v>
      </c>
      <c r="J134" s="136">
        <f t="shared" si="28"/>
        <v>2.15</v>
      </c>
      <c r="K134" s="136">
        <f t="shared" si="28"/>
        <v>2.15</v>
      </c>
      <c r="L134" s="136">
        <f t="shared" si="28"/>
        <v>2.15</v>
      </c>
      <c r="M134" s="136">
        <f t="shared" si="28"/>
        <v>2.15</v>
      </c>
      <c r="N134" s="136">
        <f t="shared" si="28"/>
        <v>2.15</v>
      </c>
      <c r="O134" s="136">
        <f t="shared" si="28"/>
        <v>2.15</v>
      </c>
      <c r="P134" s="136">
        <f t="shared" si="28"/>
        <v>2.15</v>
      </c>
      <c r="Q134" s="136">
        <f t="shared" si="28"/>
        <v>2.15</v>
      </c>
      <c r="R134" s="136">
        <f t="shared" si="27"/>
        <v>2.15</v>
      </c>
      <c r="S134" s="136">
        <f t="shared" si="27"/>
        <v>2.15</v>
      </c>
      <c r="T134" s="136">
        <f t="shared" si="27"/>
        <v>2.15</v>
      </c>
      <c r="U134" s="136">
        <f t="shared" si="27"/>
        <v>2.15</v>
      </c>
      <c r="V134" s="136">
        <f t="shared" si="29"/>
        <v>2.15</v>
      </c>
      <c r="W134" s="136">
        <f t="shared" si="29"/>
        <v>2.15</v>
      </c>
      <c r="X134" s="136">
        <f t="shared" si="29"/>
        <v>2.15</v>
      </c>
      <c r="Y134" s="136">
        <f t="shared" si="29"/>
        <v>2.15</v>
      </c>
      <c r="Z134" s="136">
        <f t="shared" si="29"/>
        <v>2.15</v>
      </c>
      <c r="AA134" s="136">
        <f t="shared" si="29"/>
        <v>2.15</v>
      </c>
      <c r="AB134" s="136">
        <f t="shared" si="29"/>
        <v>2.15</v>
      </c>
      <c r="AC134" s="136">
        <f t="shared" si="29"/>
        <v>2.15</v>
      </c>
      <c r="AD134" s="136">
        <f t="shared" si="29"/>
        <v>2.15</v>
      </c>
      <c r="AE134" s="136">
        <f t="shared" si="29"/>
        <v>2.15</v>
      </c>
      <c r="AF134" s="136">
        <f t="shared" si="29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8"/>
        <v>2.7</v>
      </c>
      <c r="D135" s="136">
        <f t="shared" si="28"/>
        <v>2.7</v>
      </c>
      <c r="E135" s="136">
        <f t="shared" si="28"/>
        <v>2.7</v>
      </c>
      <c r="F135" s="136">
        <f t="shared" si="28"/>
        <v>2.7</v>
      </c>
      <c r="G135" s="136">
        <f t="shared" si="28"/>
        <v>2.7</v>
      </c>
      <c r="H135" s="136">
        <f t="shared" si="28"/>
        <v>2.7</v>
      </c>
      <c r="I135" s="136">
        <f t="shared" si="28"/>
        <v>2.7</v>
      </c>
      <c r="J135" s="136">
        <f t="shared" si="28"/>
        <v>2.7</v>
      </c>
      <c r="K135" s="136">
        <f t="shared" si="28"/>
        <v>2.7</v>
      </c>
      <c r="L135" s="136">
        <f t="shared" si="28"/>
        <v>2.7</v>
      </c>
      <c r="M135" s="136">
        <f t="shared" si="28"/>
        <v>2.7</v>
      </c>
      <c r="N135" s="136">
        <f t="shared" si="28"/>
        <v>2.7</v>
      </c>
      <c r="O135" s="136">
        <f t="shared" si="28"/>
        <v>2.7</v>
      </c>
      <c r="P135" s="136">
        <f t="shared" si="28"/>
        <v>2.7</v>
      </c>
      <c r="Q135" s="136">
        <f t="shared" si="28"/>
        <v>2.7</v>
      </c>
      <c r="R135" s="136">
        <f t="shared" si="27"/>
        <v>2.7</v>
      </c>
      <c r="S135" s="136">
        <f t="shared" si="27"/>
        <v>2.7</v>
      </c>
      <c r="T135" s="136">
        <f t="shared" si="27"/>
        <v>2.7</v>
      </c>
      <c r="U135" s="136">
        <f t="shared" si="27"/>
        <v>2.7</v>
      </c>
      <c r="V135" s="136">
        <f t="shared" si="29"/>
        <v>2.7</v>
      </c>
      <c r="W135" s="136">
        <f t="shared" si="29"/>
        <v>2.7</v>
      </c>
      <c r="X135" s="136">
        <f t="shared" si="29"/>
        <v>2.7</v>
      </c>
      <c r="Y135" s="136">
        <f t="shared" si="29"/>
        <v>2.7</v>
      </c>
      <c r="Z135" s="136">
        <f t="shared" si="29"/>
        <v>2.7</v>
      </c>
      <c r="AA135" s="136">
        <f t="shared" si="29"/>
        <v>2.7</v>
      </c>
      <c r="AB135" s="136">
        <f t="shared" si="29"/>
        <v>2.7</v>
      </c>
      <c r="AC135" s="136">
        <f t="shared" si="29"/>
        <v>2.7</v>
      </c>
      <c r="AD135" s="136">
        <f t="shared" si="29"/>
        <v>2.7</v>
      </c>
      <c r="AE135" s="136">
        <f t="shared" si="29"/>
        <v>2.7</v>
      </c>
      <c r="AF135" s="136">
        <f t="shared" si="29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8"/>
        <v>0.9</v>
      </c>
      <c r="D136" s="136">
        <f t="shared" si="28"/>
        <v>0.9</v>
      </c>
      <c r="E136" s="136">
        <f t="shared" si="28"/>
        <v>0.9</v>
      </c>
      <c r="F136" s="136">
        <f t="shared" si="28"/>
        <v>0.9</v>
      </c>
      <c r="G136" s="136">
        <f t="shared" si="28"/>
        <v>0.9</v>
      </c>
      <c r="H136" s="136">
        <f t="shared" si="28"/>
        <v>0.9</v>
      </c>
      <c r="I136" s="136">
        <f t="shared" si="28"/>
        <v>0.9</v>
      </c>
      <c r="J136" s="136">
        <f t="shared" si="28"/>
        <v>0.9</v>
      </c>
      <c r="K136" s="136">
        <f t="shared" si="28"/>
        <v>0.9</v>
      </c>
      <c r="L136" s="136">
        <f t="shared" si="28"/>
        <v>0.9</v>
      </c>
      <c r="M136" s="136">
        <f t="shared" si="28"/>
        <v>0.9</v>
      </c>
      <c r="N136" s="136">
        <f t="shared" si="28"/>
        <v>0.9</v>
      </c>
      <c r="O136" s="136">
        <f t="shared" si="28"/>
        <v>0.9</v>
      </c>
      <c r="P136" s="136">
        <f t="shared" si="28"/>
        <v>0.9</v>
      </c>
      <c r="Q136" s="136">
        <f t="shared" si="28"/>
        <v>0.9</v>
      </c>
      <c r="R136" s="136">
        <f t="shared" si="27"/>
        <v>0.9</v>
      </c>
      <c r="S136" s="136">
        <f t="shared" si="27"/>
        <v>0.9</v>
      </c>
      <c r="T136" s="136">
        <f t="shared" si="27"/>
        <v>0.9</v>
      </c>
      <c r="U136" s="136">
        <f t="shared" si="27"/>
        <v>0.9</v>
      </c>
      <c r="V136" s="136">
        <f t="shared" si="29"/>
        <v>0.9</v>
      </c>
      <c r="W136" s="136">
        <f t="shared" si="29"/>
        <v>0.9</v>
      </c>
      <c r="X136" s="136">
        <f t="shared" si="29"/>
        <v>0.9</v>
      </c>
      <c r="Y136" s="136">
        <f t="shared" si="29"/>
        <v>0.9</v>
      </c>
      <c r="Z136" s="136">
        <f t="shared" si="29"/>
        <v>0.9</v>
      </c>
      <c r="AA136" s="136">
        <f t="shared" si="29"/>
        <v>0.9</v>
      </c>
      <c r="AB136" s="136">
        <f t="shared" si="29"/>
        <v>0.9</v>
      </c>
      <c r="AC136" s="136">
        <f t="shared" si="29"/>
        <v>0.9</v>
      </c>
      <c r="AD136" s="136">
        <f t="shared" si="29"/>
        <v>0.9</v>
      </c>
      <c r="AE136" s="136">
        <f t="shared" si="29"/>
        <v>0.9</v>
      </c>
      <c r="AF136" s="136">
        <f t="shared" si="29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8"/>
        <v>1.08</v>
      </c>
      <c r="D137" s="136">
        <f t="shared" si="28"/>
        <v>1.08</v>
      </c>
      <c r="E137" s="136">
        <f t="shared" si="28"/>
        <v>1.08</v>
      </c>
      <c r="F137" s="136">
        <f t="shared" si="28"/>
        <v>1.08</v>
      </c>
      <c r="G137" s="136">
        <f t="shared" si="28"/>
        <v>1.08</v>
      </c>
      <c r="H137" s="136">
        <f t="shared" si="28"/>
        <v>1.08</v>
      </c>
      <c r="I137" s="136">
        <f t="shared" si="28"/>
        <v>1.08</v>
      </c>
      <c r="J137" s="136">
        <f t="shared" si="28"/>
        <v>1.08</v>
      </c>
      <c r="K137" s="136">
        <f t="shared" si="28"/>
        <v>1.08</v>
      </c>
      <c r="L137" s="136">
        <f t="shared" si="28"/>
        <v>1.08</v>
      </c>
      <c r="M137" s="136">
        <f t="shared" si="28"/>
        <v>1.08</v>
      </c>
      <c r="N137" s="136">
        <f t="shared" si="28"/>
        <v>1.08</v>
      </c>
      <c r="O137" s="136">
        <f t="shared" si="28"/>
        <v>1.08</v>
      </c>
      <c r="P137" s="136">
        <f t="shared" si="28"/>
        <v>1.08</v>
      </c>
      <c r="Q137" s="136">
        <f t="shared" si="28"/>
        <v>1.08</v>
      </c>
      <c r="R137" s="136">
        <f t="shared" si="27"/>
        <v>1.08</v>
      </c>
      <c r="S137" s="136">
        <f t="shared" si="27"/>
        <v>1.08</v>
      </c>
      <c r="T137" s="136">
        <f t="shared" si="27"/>
        <v>1.08</v>
      </c>
      <c r="U137" s="136">
        <f t="shared" si="27"/>
        <v>1.08</v>
      </c>
      <c r="V137" s="136">
        <f t="shared" si="29"/>
        <v>1.08</v>
      </c>
      <c r="W137" s="136">
        <f t="shared" si="29"/>
        <v>1.08</v>
      </c>
      <c r="X137" s="136">
        <f t="shared" si="29"/>
        <v>1.08</v>
      </c>
      <c r="Y137" s="136">
        <f t="shared" si="29"/>
        <v>1.08</v>
      </c>
      <c r="Z137" s="136">
        <f t="shared" si="29"/>
        <v>1.08</v>
      </c>
      <c r="AA137" s="136">
        <f t="shared" si="29"/>
        <v>1.08</v>
      </c>
      <c r="AB137" s="136">
        <f t="shared" si="29"/>
        <v>1.08</v>
      </c>
      <c r="AC137" s="136">
        <f t="shared" si="29"/>
        <v>1.08</v>
      </c>
      <c r="AD137" s="136">
        <f t="shared" si="29"/>
        <v>1.08</v>
      </c>
      <c r="AE137" s="136">
        <f t="shared" si="29"/>
        <v>1.08</v>
      </c>
      <c r="AF137" s="136">
        <f t="shared" si="29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30">B138</f>
        <v>2.37</v>
      </c>
      <c r="D138" s="136">
        <f t="shared" si="30"/>
        <v>2.37</v>
      </c>
      <c r="E138" s="136">
        <f t="shared" si="30"/>
        <v>2.37</v>
      </c>
      <c r="F138" s="136">
        <f t="shared" si="30"/>
        <v>2.37</v>
      </c>
      <c r="G138" s="136">
        <f t="shared" si="30"/>
        <v>2.37</v>
      </c>
      <c r="H138" s="136">
        <f t="shared" si="30"/>
        <v>2.37</v>
      </c>
      <c r="I138" s="136">
        <f t="shared" si="30"/>
        <v>2.37</v>
      </c>
      <c r="J138" s="136">
        <f t="shared" si="30"/>
        <v>2.37</v>
      </c>
      <c r="K138" s="136">
        <f t="shared" si="30"/>
        <v>2.37</v>
      </c>
      <c r="L138" s="136">
        <f t="shared" si="30"/>
        <v>2.37</v>
      </c>
      <c r="M138" s="136">
        <f t="shared" si="30"/>
        <v>2.37</v>
      </c>
      <c r="N138" s="136">
        <f t="shared" si="30"/>
        <v>2.37</v>
      </c>
      <c r="O138" s="136">
        <f t="shared" si="30"/>
        <v>2.37</v>
      </c>
      <c r="P138" s="136">
        <f t="shared" si="30"/>
        <v>2.37</v>
      </c>
      <c r="Q138" s="136">
        <f t="shared" si="30"/>
        <v>2.37</v>
      </c>
      <c r="R138" s="136">
        <f t="shared" si="27"/>
        <v>2.37</v>
      </c>
      <c r="S138" s="136">
        <f t="shared" si="27"/>
        <v>2.37</v>
      </c>
      <c r="T138" s="136">
        <f t="shared" si="27"/>
        <v>2.37</v>
      </c>
      <c r="U138" s="136">
        <f t="shared" si="27"/>
        <v>2.37</v>
      </c>
      <c r="V138" s="136">
        <f t="shared" si="29"/>
        <v>2.37</v>
      </c>
      <c r="W138" s="136">
        <f t="shared" si="29"/>
        <v>2.37</v>
      </c>
      <c r="X138" s="136">
        <f t="shared" si="29"/>
        <v>2.37</v>
      </c>
      <c r="Y138" s="136">
        <f t="shared" si="29"/>
        <v>2.37</v>
      </c>
      <c r="Z138" s="136">
        <f t="shared" si="29"/>
        <v>2.37</v>
      </c>
      <c r="AA138" s="136">
        <f t="shared" si="29"/>
        <v>2.37</v>
      </c>
      <c r="AB138" s="136">
        <f t="shared" si="29"/>
        <v>2.37</v>
      </c>
      <c r="AC138" s="136">
        <f t="shared" si="29"/>
        <v>2.37</v>
      </c>
      <c r="AD138" s="136">
        <f t="shared" si="29"/>
        <v>2.37</v>
      </c>
      <c r="AE138" s="136">
        <f t="shared" si="29"/>
        <v>2.37</v>
      </c>
      <c r="AF138" s="136">
        <f t="shared" si="29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30"/>
        <v>1.81</v>
      </c>
      <c r="D139" s="136">
        <f t="shared" si="30"/>
        <v>1.81</v>
      </c>
      <c r="E139" s="136">
        <f t="shared" si="30"/>
        <v>1.81</v>
      </c>
      <c r="F139" s="136">
        <f t="shared" si="30"/>
        <v>1.81</v>
      </c>
      <c r="G139" s="136">
        <f t="shared" si="30"/>
        <v>1.81</v>
      </c>
      <c r="H139" s="136">
        <f t="shared" si="30"/>
        <v>1.81</v>
      </c>
      <c r="I139" s="136">
        <f t="shared" si="30"/>
        <v>1.81</v>
      </c>
      <c r="J139" s="136">
        <f t="shared" si="30"/>
        <v>1.81</v>
      </c>
      <c r="K139" s="136">
        <f t="shared" si="30"/>
        <v>1.81</v>
      </c>
      <c r="L139" s="136">
        <f t="shared" si="30"/>
        <v>1.81</v>
      </c>
      <c r="M139" s="136">
        <f t="shared" si="30"/>
        <v>1.81</v>
      </c>
      <c r="N139" s="136">
        <f t="shared" si="30"/>
        <v>1.81</v>
      </c>
      <c r="O139" s="136">
        <f t="shared" si="30"/>
        <v>1.81</v>
      </c>
      <c r="P139" s="136">
        <f t="shared" si="30"/>
        <v>1.81</v>
      </c>
      <c r="Q139" s="136">
        <f t="shared" si="30"/>
        <v>1.81</v>
      </c>
      <c r="R139" s="136">
        <f t="shared" si="27"/>
        <v>1.81</v>
      </c>
      <c r="S139" s="136">
        <f t="shared" si="27"/>
        <v>1.81</v>
      </c>
      <c r="T139" s="136">
        <f t="shared" si="27"/>
        <v>1.81</v>
      </c>
      <c r="U139" s="136">
        <f t="shared" si="27"/>
        <v>1.81</v>
      </c>
      <c r="V139" s="136">
        <f t="shared" si="29"/>
        <v>1.81</v>
      </c>
      <c r="W139" s="136">
        <f t="shared" si="29"/>
        <v>1.81</v>
      </c>
      <c r="X139" s="136">
        <f t="shared" si="29"/>
        <v>1.81</v>
      </c>
      <c r="Y139" s="136">
        <f t="shared" si="29"/>
        <v>1.81</v>
      </c>
      <c r="Z139" s="136">
        <f t="shared" si="29"/>
        <v>1.81</v>
      </c>
      <c r="AA139" s="136">
        <f t="shared" si="29"/>
        <v>1.81</v>
      </c>
      <c r="AB139" s="136">
        <f t="shared" si="29"/>
        <v>1.81</v>
      </c>
      <c r="AC139" s="136">
        <f t="shared" si="29"/>
        <v>1.81</v>
      </c>
      <c r="AD139" s="136">
        <f t="shared" si="29"/>
        <v>1.81</v>
      </c>
      <c r="AE139" s="136">
        <f t="shared" si="29"/>
        <v>1.81</v>
      </c>
      <c r="AF139" s="136">
        <f t="shared" si="29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30"/>
        <v>1.0900000000000001</v>
      </c>
      <c r="D140" s="136">
        <f t="shared" si="30"/>
        <v>1.0900000000000001</v>
      </c>
      <c r="E140" s="136">
        <f t="shared" si="30"/>
        <v>1.0900000000000001</v>
      </c>
      <c r="F140" s="136">
        <f t="shared" si="30"/>
        <v>1.0900000000000001</v>
      </c>
      <c r="G140" s="136">
        <f t="shared" si="30"/>
        <v>1.0900000000000001</v>
      </c>
      <c r="H140" s="136">
        <f t="shared" si="30"/>
        <v>1.0900000000000001</v>
      </c>
      <c r="I140" s="136">
        <f t="shared" si="30"/>
        <v>1.0900000000000001</v>
      </c>
      <c r="J140" s="136">
        <f t="shared" si="30"/>
        <v>1.0900000000000001</v>
      </c>
      <c r="K140" s="136">
        <f t="shared" si="30"/>
        <v>1.0900000000000001</v>
      </c>
      <c r="L140" s="136">
        <f t="shared" si="30"/>
        <v>1.0900000000000001</v>
      </c>
      <c r="M140" s="136">
        <f t="shared" si="30"/>
        <v>1.0900000000000001</v>
      </c>
      <c r="N140" s="136">
        <f t="shared" si="30"/>
        <v>1.0900000000000001</v>
      </c>
      <c r="O140" s="136">
        <f t="shared" si="30"/>
        <v>1.0900000000000001</v>
      </c>
      <c r="P140" s="136">
        <f t="shared" si="30"/>
        <v>1.0900000000000001</v>
      </c>
      <c r="Q140" s="136">
        <f t="shared" si="30"/>
        <v>1.0900000000000001</v>
      </c>
      <c r="R140" s="136">
        <f t="shared" si="27"/>
        <v>1.0900000000000001</v>
      </c>
      <c r="S140" s="136">
        <f t="shared" si="27"/>
        <v>1.0900000000000001</v>
      </c>
      <c r="T140" s="136">
        <f t="shared" si="27"/>
        <v>1.0900000000000001</v>
      </c>
      <c r="U140" s="136">
        <f t="shared" si="27"/>
        <v>1.0900000000000001</v>
      </c>
      <c r="V140" s="136">
        <f t="shared" si="29"/>
        <v>1.0900000000000001</v>
      </c>
      <c r="W140" s="136">
        <f t="shared" si="29"/>
        <v>1.0900000000000001</v>
      </c>
      <c r="X140" s="136">
        <f t="shared" si="29"/>
        <v>1.0900000000000001</v>
      </c>
      <c r="Y140" s="136">
        <f t="shared" si="29"/>
        <v>1.0900000000000001</v>
      </c>
      <c r="Z140" s="136">
        <f t="shared" si="29"/>
        <v>1.0900000000000001</v>
      </c>
      <c r="AA140" s="136">
        <f t="shared" si="29"/>
        <v>1.0900000000000001</v>
      </c>
      <c r="AB140" s="136">
        <f t="shared" si="29"/>
        <v>1.0900000000000001</v>
      </c>
      <c r="AC140" s="136">
        <f t="shared" si="29"/>
        <v>1.0900000000000001</v>
      </c>
      <c r="AD140" s="136">
        <f t="shared" si="29"/>
        <v>1.0900000000000001</v>
      </c>
      <c r="AE140" s="136">
        <f t="shared" si="29"/>
        <v>1.0900000000000001</v>
      </c>
      <c r="AF140" s="136">
        <f t="shared" si="29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30"/>
        <v>1.58</v>
      </c>
      <c r="D141" s="136">
        <f t="shared" si="30"/>
        <v>1.58</v>
      </c>
      <c r="E141" s="136">
        <f t="shared" si="30"/>
        <v>1.58</v>
      </c>
      <c r="F141" s="136">
        <f t="shared" si="30"/>
        <v>1.58</v>
      </c>
      <c r="G141" s="136">
        <f t="shared" si="30"/>
        <v>1.58</v>
      </c>
      <c r="H141" s="136">
        <f t="shared" si="30"/>
        <v>1.58</v>
      </c>
      <c r="I141" s="136">
        <f t="shared" si="30"/>
        <v>1.58</v>
      </c>
      <c r="J141" s="136">
        <f t="shared" si="30"/>
        <v>1.58</v>
      </c>
      <c r="K141" s="136">
        <f t="shared" si="30"/>
        <v>1.58</v>
      </c>
      <c r="L141" s="136">
        <f t="shared" si="30"/>
        <v>1.58</v>
      </c>
      <c r="M141" s="136">
        <f t="shared" si="30"/>
        <v>1.58</v>
      </c>
      <c r="N141" s="136">
        <f t="shared" si="30"/>
        <v>1.58</v>
      </c>
      <c r="O141" s="136">
        <f t="shared" si="30"/>
        <v>1.58</v>
      </c>
      <c r="P141" s="136">
        <f t="shared" si="30"/>
        <v>1.58</v>
      </c>
      <c r="Q141" s="136">
        <f t="shared" si="30"/>
        <v>1.58</v>
      </c>
      <c r="R141" s="136">
        <f t="shared" si="27"/>
        <v>1.58</v>
      </c>
      <c r="S141" s="136">
        <f t="shared" si="27"/>
        <v>1.58</v>
      </c>
      <c r="T141" s="136">
        <f t="shared" si="27"/>
        <v>1.58</v>
      </c>
      <c r="U141" s="136">
        <f t="shared" si="27"/>
        <v>1.58</v>
      </c>
      <c r="V141" s="136">
        <f t="shared" si="29"/>
        <v>1.58</v>
      </c>
      <c r="W141" s="136">
        <f t="shared" si="29"/>
        <v>1.58</v>
      </c>
      <c r="X141" s="136">
        <f t="shared" si="29"/>
        <v>1.58</v>
      </c>
      <c r="Y141" s="136">
        <f t="shared" si="29"/>
        <v>1.58</v>
      </c>
      <c r="Z141" s="136">
        <f t="shared" si="29"/>
        <v>1.58</v>
      </c>
      <c r="AA141" s="136">
        <f t="shared" si="29"/>
        <v>1.58</v>
      </c>
      <c r="AB141" s="136">
        <f t="shared" si="29"/>
        <v>1.58</v>
      </c>
      <c r="AC141" s="136">
        <f t="shared" si="29"/>
        <v>1.58</v>
      </c>
      <c r="AD141" s="136">
        <f t="shared" si="29"/>
        <v>1.58</v>
      </c>
      <c r="AE141" s="136">
        <f t="shared" si="29"/>
        <v>1.58</v>
      </c>
      <c r="AF141" s="136">
        <f t="shared" si="29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30"/>
        <v>2</v>
      </c>
      <c r="D142" s="136">
        <f t="shared" si="30"/>
        <v>2</v>
      </c>
      <c r="E142" s="136">
        <f t="shared" si="30"/>
        <v>2</v>
      </c>
      <c r="F142" s="136">
        <f t="shared" si="30"/>
        <v>2</v>
      </c>
      <c r="G142" s="136">
        <f t="shared" si="30"/>
        <v>2</v>
      </c>
      <c r="H142" s="136">
        <f t="shared" si="30"/>
        <v>2</v>
      </c>
      <c r="I142" s="136">
        <f t="shared" si="30"/>
        <v>2</v>
      </c>
      <c r="J142" s="136">
        <f t="shared" si="30"/>
        <v>2</v>
      </c>
      <c r="K142" s="136">
        <f t="shared" si="30"/>
        <v>2</v>
      </c>
      <c r="L142" s="136">
        <f t="shared" si="30"/>
        <v>2</v>
      </c>
      <c r="M142" s="136">
        <f t="shared" si="30"/>
        <v>2</v>
      </c>
      <c r="N142" s="136">
        <f t="shared" si="30"/>
        <v>2</v>
      </c>
      <c r="O142" s="136">
        <f t="shared" si="30"/>
        <v>2</v>
      </c>
      <c r="P142" s="136">
        <f t="shared" si="30"/>
        <v>2</v>
      </c>
      <c r="Q142" s="136">
        <f t="shared" si="30"/>
        <v>2</v>
      </c>
      <c r="R142" s="136">
        <f t="shared" si="27"/>
        <v>2</v>
      </c>
      <c r="S142" s="136">
        <f t="shared" si="27"/>
        <v>2</v>
      </c>
      <c r="T142" s="136">
        <f t="shared" si="27"/>
        <v>2</v>
      </c>
      <c r="U142" s="136">
        <f t="shared" si="27"/>
        <v>2</v>
      </c>
      <c r="V142" s="136">
        <f t="shared" si="29"/>
        <v>2</v>
      </c>
      <c r="W142" s="136">
        <f t="shared" si="29"/>
        <v>2</v>
      </c>
      <c r="X142" s="136">
        <f t="shared" si="29"/>
        <v>2</v>
      </c>
      <c r="Y142" s="136">
        <f t="shared" si="29"/>
        <v>2</v>
      </c>
      <c r="Z142" s="136">
        <f t="shared" si="29"/>
        <v>2</v>
      </c>
      <c r="AA142" s="136">
        <f t="shared" si="29"/>
        <v>2</v>
      </c>
      <c r="AB142" s="136">
        <f t="shared" si="29"/>
        <v>2</v>
      </c>
      <c r="AC142" s="136">
        <f t="shared" si="29"/>
        <v>2</v>
      </c>
      <c r="AD142" s="136">
        <f t="shared" si="29"/>
        <v>2</v>
      </c>
      <c r="AE142" s="136">
        <f t="shared" si="29"/>
        <v>2</v>
      </c>
      <c r="AF142" s="136">
        <f t="shared" si="29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30"/>
        <v>0.47</v>
      </c>
      <c r="D143" s="136">
        <f t="shared" si="30"/>
        <v>0.47</v>
      </c>
      <c r="E143" s="136">
        <f t="shared" si="30"/>
        <v>0.47</v>
      </c>
      <c r="F143" s="136">
        <f t="shared" si="30"/>
        <v>0.47</v>
      </c>
      <c r="G143" s="136">
        <f t="shared" si="30"/>
        <v>0.47</v>
      </c>
      <c r="H143" s="136">
        <f t="shared" si="30"/>
        <v>0.47</v>
      </c>
      <c r="I143" s="136">
        <f t="shared" si="30"/>
        <v>0.47</v>
      </c>
      <c r="J143" s="136">
        <f t="shared" si="30"/>
        <v>0.47</v>
      </c>
      <c r="K143" s="136">
        <f t="shared" si="30"/>
        <v>0.47</v>
      </c>
      <c r="L143" s="136">
        <f t="shared" si="30"/>
        <v>0.47</v>
      </c>
      <c r="M143" s="136">
        <f t="shared" si="30"/>
        <v>0.47</v>
      </c>
      <c r="N143" s="136">
        <f t="shared" si="30"/>
        <v>0.47</v>
      </c>
      <c r="O143" s="136">
        <f t="shared" si="30"/>
        <v>0.47</v>
      </c>
      <c r="P143" s="136">
        <f t="shared" si="30"/>
        <v>0.47</v>
      </c>
      <c r="Q143" s="136">
        <f t="shared" si="30"/>
        <v>0.47</v>
      </c>
      <c r="R143" s="136">
        <f t="shared" si="27"/>
        <v>0.47</v>
      </c>
      <c r="S143" s="136">
        <f t="shared" si="27"/>
        <v>0.47</v>
      </c>
      <c r="T143" s="136">
        <f t="shared" si="27"/>
        <v>0.47</v>
      </c>
      <c r="U143" s="136">
        <f t="shared" si="27"/>
        <v>0.47</v>
      </c>
      <c r="V143" s="136">
        <f t="shared" si="29"/>
        <v>0.47</v>
      </c>
      <c r="W143" s="136">
        <f t="shared" si="29"/>
        <v>0.47</v>
      </c>
      <c r="X143" s="136">
        <f t="shared" si="29"/>
        <v>0.47</v>
      </c>
      <c r="Y143" s="136">
        <f t="shared" si="29"/>
        <v>0.47</v>
      </c>
      <c r="Z143" s="136">
        <f t="shared" si="29"/>
        <v>0.47</v>
      </c>
      <c r="AA143" s="136">
        <f t="shared" si="29"/>
        <v>0.47</v>
      </c>
      <c r="AB143" s="136">
        <f t="shared" si="29"/>
        <v>0.47</v>
      </c>
      <c r="AC143" s="136">
        <f t="shared" si="29"/>
        <v>0.47</v>
      </c>
      <c r="AD143" s="136">
        <f t="shared" si="29"/>
        <v>0.47</v>
      </c>
      <c r="AE143" s="136">
        <f t="shared" si="29"/>
        <v>0.47</v>
      </c>
      <c r="AF143" s="136">
        <f t="shared" si="29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30"/>
        <v>0</v>
      </c>
      <c r="D144" s="136">
        <f t="shared" si="30"/>
        <v>0</v>
      </c>
      <c r="E144" s="136">
        <f t="shared" si="30"/>
        <v>0</v>
      </c>
      <c r="F144" s="136">
        <f t="shared" si="30"/>
        <v>0</v>
      </c>
      <c r="G144" s="136">
        <f t="shared" si="30"/>
        <v>0</v>
      </c>
      <c r="H144" s="136">
        <f t="shared" si="30"/>
        <v>0</v>
      </c>
      <c r="I144" s="136">
        <f t="shared" si="30"/>
        <v>0</v>
      </c>
      <c r="J144" s="136">
        <f t="shared" si="30"/>
        <v>0</v>
      </c>
      <c r="K144" s="136">
        <f t="shared" si="30"/>
        <v>0</v>
      </c>
      <c r="L144" s="136">
        <f t="shared" si="30"/>
        <v>0</v>
      </c>
      <c r="M144" s="136">
        <f t="shared" si="30"/>
        <v>0</v>
      </c>
      <c r="N144" s="136">
        <f t="shared" si="30"/>
        <v>0</v>
      </c>
      <c r="O144" s="136">
        <f t="shared" si="30"/>
        <v>0</v>
      </c>
      <c r="P144" s="136">
        <f t="shared" si="30"/>
        <v>0</v>
      </c>
      <c r="Q144" s="136">
        <f t="shared" si="30"/>
        <v>0</v>
      </c>
      <c r="R144" s="136">
        <f t="shared" si="27"/>
        <v>0</v>
      </c>
      <c r="S144" s="136">
        <f t="shared" si="27"/>
        <v>0</v>
      </c>
      <c r="T144" s="136">
        <f t="shared" si="27"/>
        <v>0</v>
      </c>
      <c r="U144" s="136">
        <f t="shared" si="27"/>
        <v>0</v>
      </c>
      <c r="V144" s="136">
        <f t="shared" si="29"/>
        <v>0</v>
      </c>
      <c r="W144" s="136">
        <f t="shared" si="29"/>
        <v>0</v>
      </c>
      <c r="X144" s="136">
        <f t="shared" si="29"/>
        <v>0</v>
      </c>
      <c r="Y144" s="136">
        <f t="shared" si="29"/>
        <v>0</v>
      </c>
      <c r="Z144" s="136">
        <f t="shared" si="29"/>
        <v>0</v>
      </c>
      <c r="AA144" s="136">
        <f t="shared" si="29"/>
        <v>0</v>
      </c>
      <c r="AB144" s="136">
        <f t="shared" si="29"/>
        <v>0</v>
      </c>
      <c r="AC144" s="136">
        <f t="shared" si="29"/>
        <v>0</v>
      </c>
      <c r="AD144" s="136">
        <f t="shared" si="29"/>
        <v>0</v>
      </c>
      <c r="AE144" s="136">
        <f t="shared" si="29"/>
        <v>0</v>
      </c>
      <c r="AF144" s="136">
        <f t="shared" si="29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30"/>
        <v>0</v>
      </c>
      <c r="D145" s="136">
        <f t="shared" si="30"/>
        <v>0</v>
      </c>
      <c r="E145" s="136">
        <f t="shared" si="30"/>
        <v>0</v>
      </c>
      <c r="F145" s="136">
        <f t="shared" si="30"/>
        <v>0</v>
      </c>
      <c r="G145" s="136">
        <f t="shared" si="30"/>
        <v>0</v>
      </c>
      <c r="H145" s="136">
        <f t="shared" si="30"/>
        <v>0</v>
      </c>
      <c r="I145" s="136">
        <f t="shared" si="30"/>
        <v>0</v>
      </c>
      <c r="J145" s="136">
        <f t="shared" si="30"/>
        <v>0</v>
      </c>
      <c r="K145" s="136">
        <f t="shared" si="30"/>
        <v>0</v>
      </c>
      <c r="L145" s="136">
        <f t="shared" si="30"/>
        <v>0</v>
      </c>
      <c r="M145" s="136">
        <f t="shared" si="30"/>
        <v>0</v>
      </c>
      <c r="N145" s="136">
        <f t="shared" si="30"/>
        <v>0</v>
      </c>
      <c r="O145" s="136">
        <f t="shared" si="30"/>
        <v>0</v>
      </c>
      <c r="P145" s="136">
        <f t="shared" si="30"/>
        <v>0</v>
      </c>
      <c r="Q145" s="136">
        <f t="shared" si="30"/>
        <v>0</v>
      </c>
      <c r="R145" s="136">
        <f t="shared" si="27"/>
        <v>0</v>
      </c>
      <c r="S145" s="136">
        <f t="shared" si="27"/>
        <v>0</v>
      </c>
      <c r="T145" s="136">
        <f t="shared" si="27"/>
        <v>0</v>
      </c>
      <c r="U145" s="136">
        <f t="shared" si="27"/>
        <v>0</v>
      </c>
      <c r="V145" s="136">
        <f t="shared" si="29"/>
        <v>0</v>
      </c>
      <c r="W145" s="136">
        <f t="shared" si="29"/>
        <v>0</v>
      </c>
      <c r="X145" s="136">
        <f t="shared" si="29"/>
        <v>0</v>
      </c>
      <c r="Y145" s="136">
        <f t="shared" si="29"/>
        <v>0</v>
      </c>
      <c r="Z145" s="136">
        <f t="shared" si="29"/>
        <v>0</v>
      </c>
      <c r="AA145" s="136">
        <f t="shared" si="29"/>
        <v>0</v>
      </c>
      <c r="AB145" s="136">
        <f t="shared" si="29"/>
        <v>0</v>
      </c>
      <c r="AC145" s="136">
        <f t="shared" si="29"/>
        <v>0</v>
      </c>
      <c r="AD145" s="136">
        <f t="shared" si="29"/>
        <v>0</v>
      </c>
      <c r="AE145" s="136">
        <f t="shared" si="29"/>
        <v>0</v>
      </c>
      <c r="AF145" s="136">
        <f t="shared" si="29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30"/>
        <v>0.8</v>
      </c>
      <c r="D146" s="136">
        <f t="shared" si="30"/>
        <v>0.8</v>
      </c>
      <c r="E146" s="136">
        <f t="shared" si="30"/>
        <v>0.8</v>
      </c>
      <c r="F146" s="136">
        <f t="shared" si="30"/>
        <v>0.8</v>
      </c>
      <c r="G146" s="136">
        <f t="shared" si="30"/>
        <v>0.8</v>
      </c>
      <c r="H146" s="136">
        <f t="shared" si="30"/>
        <v>0.8</v>
      </c>
      <c r="I146" s="136">
        <f t="shared" si="30"/>
        <v>0.8</v>
      </c>
      <c r="J146" s="136">
        <f t="shared" si="30"/>
        <v>0.8</v>
      </c>
      <c r="K146" s="136">
        <f t="shared" si="30"/>
        <v>0.8</v>
      </c>
      <c r="L146" s="136">
        <f t="shared" si="30"/>
        <v>0.8</v>
      </c>
      <c r="M146" s="136">
        <f t="shared" si="30"/>
        <v>0.8</v>
      </c>
      <c r="N146" s="136">
        <f t="shared" si="30"/>
        <v>0.8</v>
      </c>
      <c r="O146" s="136">
        <f t="shared" si="30"/>
        <v>0.8</v>
      </c>
      <c r="P146" s="136">
        <f t="shared" si="30"/>
        <v>0.8</v>
      </c>
      <c r="Q146" s="136">
        <f t="shared" si="30"/>
        <v>0.8</v>
      </c>
      <c r="R146" s="136">
        <f t="shared" si="27"/>
        <v>0.8</v>
      </c>
      <c r="S146" s="136">
        <f t="shared" si="27"/>
        <v>0.8</v>
      </c>
      <c r="T146" s="136">
        <f t="shared" si="27"/>
        <v>0.8</v>
      </c>
      <c r="U146" s="136">
        <f t="shared" si="27"/>
        <v>0.8</v>
      </c>
      <c r="V146" s="136">
        <f t="shared" si="29"/>
        <v>0.8</v>
      </c>
      <c r="W146" s="136">
        <f t="shared" si="29"/>
        <v>0.8</v>
      </c>
      <c r="X146" s="136">
        <f t="shared" ref="X146:AF170" si="31">W146</f>
        <v>0.8</v>
      </c>
      <c r="Y146" s="136">
        <f t="shared" si="31"/>
        <v>0.8</v>
      </c>
      <c r="Z146" s="136">
        <f t="shared" si="31"/>
        <v>0.8</v>
      </c>
      <c r="AA146" s="136">
        <f t="shared" si="31"/>
        <v>0.8</v>
      </c>
      <c r="AB146" s="136">
        <f t="shared" si="31"/>
        <v>0.8</v>
      </c>
      <c r="AC146" s="136">
        <f t="shared" si="31"/>
        <v>0.8</v>
      </c>
      <c r="AD146" s="136">
        <f t="shared" si="31"/>
        <v>0.8</v>
      </c>
      <c r="AE146" s="136">
        <f t="shared" si="31"/>
        <v>0.8</v>
      </c>
      <c r="AF146" s="136">
        <f t="shared" si="31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30"/>
        <v>1.5</v>
      </c>
      <c r="D147" s="136">
        <f t="shared" si="30"/>
        <v>1.5</v>
      </c>
      <c r="E147" s="136">
        <f t="shared" si="30"/>
        <v>1.5</v>
      </c>
      <c r="F147" s="136">
        <f t="shared" si="30"/>
        <v>1.5</v>
      </c>
      <c r="G147" s="136">
        <f t="shared" si="30"/>
        <v>1.5</v>
      </c>
      <c r="H147" s="136">
        <f t="shared" si="30"/>
        <v>1.5</v>
      </c>
      <c r="I147" s="136">
        <f t="shared" si="30"/>
        <v>1.5</v>
      </c>
      <c r="J147" s="136">
        <f t="shared" si="30"/>
        <v>1.5</v>
      </c>
      <c r="K147" s="136">
        <f t="shared" si="30"/>
        <v>1.5</v>
      </c>
      <c r="L147" s="136">
        <f t="shared" si="30"/>
        <v>1.5</v>
      </c>
      <c r="M147" s="136">
        <f t="shared" si="30"/>
        <v>1.5</v>
      </c>
      <c r="N147" s="136">
        <f t="shared" si="30"/>
        <v>1.5</v>
      </c>
      <c r="O147" s="136">
        <f t="shared" si="30"/>
        <v>1.5</v>
      </c>
      <c r="P147" s="136">
        <f t="shared" si="30"/>
        <v>1.5</v>
      </c>
      <c r="Q147" s="136">
        <f t="shared" si="30"/>
        <v>1.5</v>
      </c>
      <c r="R147" s="136">
        <f t="shared" si="27"/>
        <v>1.5</v>
      </c>
      <c r="S147" s="136">
        <f t="shared" si="27"/>
        <v>1.5</v>
      </c>
      <c r="T147" s="136">
        <f t="shared" si="27"/>
        <v>1.5</v>
      </c>
      <c r="U147" s="136">
        <f t="shared" si="27"/>
        <v>1.5</v>
      </c>
      <c r="V147" s="136">
        <f t="shared" si="27"/>
        <v>1.5</v>
      </c>
      <c r="W147" s="136">
        <f t="shared" si="27"/>
        <v>1.5</v>
      </c>
      <c r="X147" s="136">
        <f t="shared" si="31"/>
        <v>1.5</v>
      </c>
      <c r="Y147" s="136">
        <f t="shared" si="31"/>
        <v>1.5</v>
      </c>
      <c r="Z147" s="136">
        <f t="shared" si="31"/>
        <v>1.5</v>
      </c>
      <c r="AA147" s="136">
        <f t="shared" si="31"/>
        <v>1.5</v>
      </c>
      <c r="AB147" s="136">
        <f t="shared" si="31"/>
        <v>1.5</v>
      </c>
      <c r="AC147" s="136">
        <f t="shared" si="31"/>
        <v>1.5</v>
      </c>
      <c r="AD147" s="136">
        <f t="shared" si="31"/>
        <v>1.5</v>
      </c>
      <c r="AE147" s="136">
        <f t="shared" si="31"/>
        <v>1.5</v>
      </c>
      <c r="AF147" s="136">
        <f t="shared" si="31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30"/>
        <v>1</v>
      </c>
      <c r="D148" s="136">
        <f t="shared" si="30"/>
        <v>1</v>
      </c>
      <c r="E148" s="136">
        <f t="shared" si="30"/>
        <v>1</v>
      </c>
      <c r="F148" s="136">
        <f t="shared" si="30"/>
        <v>1</v>
      </c>
      <c r="G148" s="136">
        <f t="shared" si="30"/>
        <v>1</v>
      </c>
      <c r="H148" s="136">
        <f t="shared" si="30"/>
        <v>1</v>
      </c>
      <c r="I148" s="136">
        <f t="shared" si="30"/>
        <v>1</v>
      </c>
      <c r="J148" s="136">
        <f t="shared" si="30"/>
        <v>1</v>
      </c>
      <c r="K148" s="136">
        <f t="shared" si="30"/>
        <v>1</v>
      </c>
      <c r="L148" s="136">
        <f t="shared" si="30"/>
        <v>1</v>
      </c>
      <c r="M148" s="136">
        <f t="shared" si="30"/>
        <v>1</v>
      </c>
      <c r="N148" s="136">
        <f t="shared" si="30"/>
        <v>1</v>
      </c>
      <c r="O148" s="136">
        <f t="shared" si="30"/>
        <v>1</v>
      </c>
      <c r="P148" s="136">
        <f t="shared" si="30"/>
        <v>1</v>
      </c>
      <c r="Q148" s="136">
        <f t="shared" si="30"/>
        <v>1</v>
      </c>
      <c r="R148" s="136">
        <f t="shared" si="27"/>
        <v>1</v>
      </c>
      <c r="S148" s="136">
        <f t="shared" si="27"/>
        <v>1</v>
      </c>
      <c r="T148" s="136">
        <f t="shared" si="27"/>
        <v>1</v>
      </c>
      <c r="U148" s="136">
        <f t="shared" si="27"/>
        <v>1</v>
      </c>
      <c r="V148" s="136">
        <f t="shared" si="27"/>
        <v>1</v>
      </c>
      <c r="W148" s="136">
        <f t="shared" si="27"/>
        <v>1</v>
      </c>
      <c r="X148" s="136">
        <f t="shared" si="31"/>
        <v>1</v>
      </c>
      <c r="Y148" s="136">
        <f t="shared" si="31"/>
        <v>1</v>
      </c>
      <c r="Z148" s="136">
        <f t="shared" si="31"/>
        <v>1</v>
      </c>
      <c r="AA148" s="136">
        <f t="shared" si="31"/>
        <v>1</v>
      </c>
      <c r="AB148" s="136">
        <f t="shared" si="31"/>
        <v>1</v>
      </c>
      <c r="AC148" s="136">
        <f t="shared" si="31"/>
        <v>1</v>
      </c>
      <c r="AD148" s="136">
        <f t="shared" si="31"/>
        <v>1</v>
      </c>
      <c r="AE148" s="136">
        <f t="shared" si="31"/>
        <v>1</v>
      </c>
      <c r="AF148" s="136">
        <f t="shared" si="31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30"/>
        <v>1</v>
      </c>
      <c r="D149" s="136">
        <f t="shared" si="30"/>
        <v>1</v>
      </c>
      <c r="E149" s="136">
        <f t="shared" si="30"/>
        <v>1</v>
      </c>
      <c r="F149" s="136">
        <f t="shared" si="30"/>
        <v>1</v>
      </c>
      <c r="G149" s="136">
        <f t="shared" si="30"/>
        <v>1</v>
      </c>
      <c r="H149" s="136">
        <f t="shared" si="30"/>
        <v>1</v>
      </c>
      <c r="I149" s="136">
        <f t="shared" si="30"/>
        <v>1</v>
      </c>
      <c r="J149" s="136">
        <f t="shared" si="30"/>
        <v>1</v>
      </c>
      <c r="K149" s="136">
        <f t="shared" si="30"/>
        <v>1</v>
      </c>
      <c r="L149" s="136">
        <f t="shared" si="30"/>
        <v>1</v>
      </c>
      <c r="M149" s="136">
        <f t="shared" si="30"/>
        <v>1</v>
      </c>
      <c r="N149" s="136">
        <f t="shared" si="30"/>
        <v>1</v>
      </c>
      <c r="O149" s="136">
        <f t="shared" si="30"/>
        <v>1</v>
      </c>
      <c r="P149" s="136">
        <f t="shared" si="30"/>
        <v>1</v>
      </c>
      <c r="Q149" s="136">
        <f t="shared" si="30"/>
        <v>1</v>
      </c>
      <c r="R149" s="136">
        <f t="shared" si="27"/>
        <v>1</v>
      </c>
      <c r="S149" s="136">
        <f t="shared" si="27"/>
        <v>1</v>
      </c>
      <c r="T149" s="136">
        <f t="shared" si="27"/>
        <v>1</v>
      </c>
      <c r="U149" s="136">
        <f t="shared" si="27"/>
        <v>1</v>
      </c>
      <c r="V149" s="136">
        <f t="shared" si="27"/>
        <v>1</v>
      </c>
      <c r="W149" s="136">
        <f t="shared" si="27"/>
        <v>1</v>
      </c>
      <c r="X149" s="136">
        <f t="shared" si="31"/>
        <v>1</v>
      </c>
      <c r="Y149" s="136">
        <f t="shared" si="31"/>
        <v>1</v>
      </c>
      <c r="Z149" s="136">
        <f t="shared" si="31"/>
        <v>1</v>
      </c>
      <c r="AA149" s="136">
        <f t="shared" si="31"/>
        <v>1</v>
      </c>
      <c r="AB149" s="136">
        <f t="shared" si="31"/>
        <v>1</v>
      </c>
      <c r="AC149" s="136">
        <f t="shared" si="31"/>
        <v>1</v>
      </c>
      <c r="AD149" s="136">
        <f t="shared" si="31"/>
        <v>1</v>
      </c>
      <c r="AE149" s="136">
        <f t="shared" si="31"/>
        <v>1</v>
      </c>
      <c r="AF149" s="136">
        <f t="shared" si="31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30"/>
        <v>0.42</v>
      </c>
      <c r="D150" s="136">
        <f t="shared" si="30"/>
        <v>0.42</v>
      </c>
      <c r="E150" s="136">
        <f t="shared" si="30"/>
        <v>0.42</v>
      </c>
      <c r="F150" s="136">
        <f t="shared" si="30"/>
        <v>0.42</v>
      </c>
      <c r="G150" s="136">
        <f t="shared" si="30"/>
        <v>0.42</v>
      </c>
      <c r="H150" s="136">
        <f t="shared" si="30"/>
        <v>0.42</v>
      </c>
      <c r="I150" s="136">
        <f t="shared" si="30"/>
        <v>0.42</v>
      </c>
      <c r="J150" s="136">
        <f t="shared" si="30"/>
        <v>0.42</v>
      </c>
      <c r="K150" s="136">
        <f t="shared" si="30"/>
        <v>0.42</v>
      </c>
      <c r="L150" s="136">
        <f t="shared" si="30"/>
        <v>0.42</v>
      </c>
      <c r="M150" s="136">
        <f t="shared" si="30"/>
        <v>0.42</v>
      </c>
      <c r="N150" s="136">
        <f t="shared" si="30"/>
        <v>0.42</v>
      </c>
      <c r="O150" s="136">
        <f t="shared" si="30"/>
        <v>0.42</v>
      </c>
      <c r="P150" s="136">
        <f t="shared" si="30"/>
        <v>0.42</v>
      </c>
      <c r="Q150" s="136">
        <f t="shared" si="30"/>
        <v>0.42</v>
      </c>
      <c r="R150" s="136">
        <f t="shared" si="27"/>
        <v>0.42</v>
      </c>
      <c r="S150" s="136">
        <f t="shared" si="27"/>
        <v>0.42</v>
      </c>
      <c r="T150" s="136">
        <f t="shared" si="27"/>
        <v>0.42</v>
      </c>
      <c r="U150" s="136">
        <f t="shared" si="27"/>
        <v>0.42</v>
      </c>
      <c r="V150" s="136">
        <f t="shared" si="27"/>
        <v>0.42</v>
      </c>
      <c r="W150" s="136">
        <f t="shared" si="27"/>
        <v>0.42</v>
      </c>
      <c r="X150" s="136">
        <f t="shared" si="31"/>
        <v>0.42</v>
      </c>
      <c r="Y150" s="136">
        <f t="shared" si="31"/>
        <v>0.42</v>
      </c>
      <c r="Z150" s="136">
        <f t="shared" si="31"/>
        <v>0.42</v>
      </c>
      <c r="AA150" s="136">
        <f t="shared" si="31"/>
        <v>0.42</v>
      </c>
      <c r="AB150" s="136">
        <f t="shared" si="31"/>
        <v>0.42</v>
      </c>
      <c r="AC150" s="136">
        <f t="shared" si="31"/>
        <v>0.42</v>
      </c>
      <c r="AD150" s="136">
        <f t="shared" si="31"/>
        <v>0.42</v>
      </c>
      <c r="AE150" s="136">
        <f t="shared" si="31"/>
        <v>0.42</v>
      </c>
      <c r="AF150" s="136">
        <f t="shared" si="31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30"/>
        <v>0.46</v>
      </c>
      <c r="D151" s="136">
        <f t="shared" si="30"/>
        <v>0.46</v>
      </c>
      <c r="E151" s="136">
        <f t="shared" si="30"/>
        <v>0.46</v>
      </c>
      <c r="F151" s="136">
        <f t="shared" si="30"/>
        <v>0.46</v>
      </c>
      <c r="G151" s="136">
        <f t="shared" si="30"/>
        <v>0.46</v>
      </c>
      <c r="H151" s="136">
        <f t="shared" si="30"/>
        <v>0.46</v>
      </c>
      <c r="I151" s="136">
        <f t="shared" si="30"/>
        <v>0.46</v>
      </c>
      <c r="J151" s="136">
        <f t="shared" si="30"/>
        <v>0.46</v>
      </c>
      <c r="K151" s="136">
        <f t="shared" si="30"/>
        <v>0.46</v>
      </c>
      <c r="L151" s="136">
        <f t="shared" si="30"/>
        <v>0.46</v>
      </c>
      <c r="M151" s="136">
        <f t="shared" si="30"/>
        <v>0.46</v>
      </c>
      <c r="N151" s="136">
        <f t="shared" si="30"/>
        <v>0.46</v>
      </c>
      <c r="O151" s="136">
        <f t="shared" si="30"/>
        <v>0.46</v>
      </c>
      <c r="P151" s="136">
        <f t="shared" si="30"/>
        <v>0.46</v>
      </c>
      <c r="Q151" s="136">
        <f t="shared" si="30"/>
        <v>0.46</v>
      </c>
      <c r="R151" s="136">
        <f t="shared" si="27"/>
        <v>0.46</v>
      </c>
      <c r="S151" s="136">
        <f t="shared" si="27"/>
        <v>0.46</v>
      </c>
      <c r="T151" s="136">
        <f t="shared" si="27"/>
        <v>0.46</v>
      </c>
      <c r="U151" s="136">
        <f t="shared" si="27"/>
        <v>0.46</v>
      </c>
      <c r="V151" s="136">
        <f t="shared" si="27"/>
        <v>0.46</v>
      </c>
      <c r="W151" s="136">
        <f t="shared" si="27"/>
        <v>0.46</v>
      </c>
      <c r="X151" s="136">
        <f t="shared" si="31"/>
        <v>0.46</v>
      </c>
      <c r="Y151" s="136">
        <f t="shared" si="31"/>
        <v>0.46</v>
      </c>
      <c r="Z151" s="136">
        <f t="shared" si="31"/>
        <v>0.46</v>
      </c>
      <c r="AA151" s="136">
        <f t="shared" si="31"/>
        <v>0.46</v>
      </c>
      <c r="AB151" s="136">
        <f t="shared" si="31"/>
        <v>0.46</v>
      </c>
      <c r="AC151" s="136">
        <f t="shared" si="31"/>
        <v>0.46</v>
      </c>
      <c r="AD151" s="136">
        <f t="shared" si="31"/>
        <v>0.46</v>
      </c>
      <c r="AE151" s="136">
        <f t="shared" si="31"/>
        <v>0.46</v>
      </c>
      <c r="AF151" s="136">
        <f t="shared" si="31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30"/>
        <v>0.85</v>
      </c>
      <c r="D152" s="136">
        <f t="shared" si="30"/>
        <v>0.85</v>
      </c>
      <c r="E152" s="136">
        <f t="shared" si="30"/>
        <v>0.85</v>
      </c>
      <c r="F152" s="136">
        <f t="shared" si="30"/>
        <v>0.85</v>
      </c>
      <c r="G152" s="136">
        <f t="shared" si="30"/>
        <v>0.85</v>
      </c>
      <c r="H152" s="136">
        <f t="shared" si="30"/>
        <v>0.85</v>
      </c>
      <c r="I152" s="136">
        <f t="shared" si="30"/>
        <v>0.85</v>
      </c>
      <c r="J152" s="136">
        <f t="shared" si="30"/>
        <v>0.85</v>
      </c>
      <c r="K152" s="136">
        <f t="shared" si="30"/>
        <v>0.85</v>
      </c>
      <c r="L152" s="136">
        <f t="shared" si="30"/>
        <v>0.85</v>
      </c>
      <c r="M152" s="136">
        <f t="shared" si="30"/>
        <v>0.85</v>
      </c>
      <c r="N152" s="136">
        <f t="shared" si="30"/>
        <v>0.85</v>
      </c>
      <c r="O152" s="136">
        <f t="shared" si="30"/>
        <v>0.85</v>
      </c>
      <c r="P152" s="136">
        <f t="shared" si="30"/>
        <v>0.85</v>
      </c>
      <c r="Q152" s="136">
        <f t="shared" si="30"/>
        <v>0.85</v>
      </c>
      <c r="R152" s="136">
        <f t="shared" si="27"/>
        <v>0.85</v>
      </c>
      <c r="S152" s="136">
        <f t="shared" si="27"/>
        <v>0.85</v>
      </c>
      <c r="T152" s="136">
        <f t="shared" si="27"/>
        <v>0.85</v>
      </c>
      <c r="U152" s="136">
        <f t="shared" si="27"/>
        <v>0.85</v>
      </c>
      <c r="V152" s="136">
        <f t="shared" si="27"/>
        <v>0.85</v>
      </c>
      <c r="W152" s="136">
        <f t="shared" si="27"/>
        <v>0.85</v>
      </c>
      <c r="X152" s="136">
        <f t="shared" si="31"/>
        <v>0.85</v>
      </c>
      <c r="Y152" s="136">
        <f t="shared" si="31"/>
        <v>0.85</v>
      </c>
      <c r="Z152" s="136">
        <f t="shared" si="31"/>
        <v>0.85</v>
      </c>
      <c r="AA152" s="136">
        <f t="shared" si="31"/>
        <v>0.85</v>
      </c>
      <c r="AB152" s="136">
        <f t="shared" si="31"/>
        <v>0.85</v>
      </c>
      <c r="AC152" s="136">
        <f t="shared" si="31"/>
        <v>0.85</v>
      </c>
      <c r="AD152" s="136">
        <f t="shared" si="31"/>
        <v>0.85</v>
      </c>
      <c r="AE152" s="136">
        <f t="shared" si="31"/>
        <v>0.85</v>
      </c>
      <c r="AF152" s="136">
        <f t="shared" si="31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30"/>
        <v>0.9</v>
      </c>
      <c r="D153" s="136">
        <f t="shared" si="30"/>
        <v>0.9</v>
      </c>
      <c r="E153" s="136">
        <f t="shared" si="30"/>
        <v>0.9</v>
      </c>
      <c r="F153" s="136">
        <f t="shared" si="30"/>
        <v>0.9</v>
      </c>
      <c r="G153" s="136">
        <f t="shared" si="30"/>
        <v>0.9</v>
      </c>
      <c r="H153" s="136">
        <f t="shared" si="30"/>
        <v>0.9</v>
      </c>
      <c r="I153" s="136">
        <f t="shared" si="30"/>
        <v>0.9</v>
      </c>
      <c r="J153" s="136">
        <f t="shared" si="30"/>
        <v>0.9</v>
      </c>
      <c r="K153" s="136">
        <f t="shared" si="30"/>
        <v>0.9</v>
      </c>
      <c r="L153" s="136">
        <f t="shared" si="30"/>
        <v>0.9</v>
      </c>
      <c r="M153" s="136">
        <f t="shared" si="30"/>
        <v>0.9</v>
      </c>
      <c r="N153" s="136">
        <f t="shared" si="30"/>
        <v>0.9</v>
      </c>
      <c r="O153" s="136">
        <f t="shared" si="30"/>
        <v>0.9</v>
      </c>
      <c r="P153" s="136">
        <f t="shared" si="30"/>
        <v>0.9</v>
      </c>
      <c r="Q153" s="136">
        <f t="shared" si="30"/>
        <v>0.9</v>
      </c>
      <c r="R153" s="136">
        <f t="shared" si="27"/>
        <v>0.9</v>
      </c>
      <c r="S153" s="136">
        <f t="shared" si="27"/>
        <v>0.9</v>
      </c>
      <c r="T153" s="136">
        <f t="shared" si="27"/>
        <v>0.9</v>
      </c>
      <c r="U153" s="136">
        <f t="shared" si="27"/>
        <v>0.9</v>
      </c>
      <c r="V153" s="136">
        <f t="shared" si="27"/>
        <v>0.9</v>
      </c>
      <c r="W153" s="136">
        <f t="shared" si="27"/>
        <v>0.9</v>
      </c>
      <c r="X153" s="136">
        <f t="shared" si="31"/>
        <v>0.9</v>
      </c>
      <c r="Y153" s="136">
        <f t="shared" si="31"/>
        <v>0.9</v>
      </c>
      <c r="Z153" s="136">
        <f t="shared" si="31"/>
        <v>0.9</v>
      </c>
      <c r="AA153" s="136">
        <f t="shared" si="31"/>
        <v>0.9</v>
      </c>
      <c r="AB153" s="136">
        <f t="shared" si="31"/>
        <v>0.9</v>
      </c>
      <c r="AC153" s="136">
        <f t="shared" si="31"/>
        <v>0.9</v>
      </c>
      <c r="AD153" s="136">
        <f t="shared" si="31"/>
        <v>0.9</v>
      </c>
      <c r="AE153" s="136">
        <f t="shared" si="31"/>
        <v>0.9</v>
      </c>
      <c r="AF153" s="136">
        <f t="shared" si="31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30"/>
        <v>0.44</v>
      </c>
      <c r="D154" s="136">
        <f t="shared" si="30"/>
        <v>0.44</v>
      </c>
      <c r="E154" s="136">
        <f t="shared" si="30"/>
        <v>0.44</v>
      </c>
      <c r="F154" s="136">
        <f t="shared" si="30"/>
        <v>0.44</v>
      </c>
      <c r="G154" s="136">
        <f t="shared" si="30"/>
        <v>0.44</v>
      </c>
      <c r="H154" s="136">
        <f t="shared" si="30"/>
        <v>0.44</v>
      </c>
      <c r="I154" s="136">
        <f t="shared" si="30"/>
        <v>0.44</v>
      </c>
      <c r="J154" s="136">
        <f t="shared" si="30"/>
        <v>0.44</v>
      </c>
      <c r="K154" s="136">
        <f t="shared" si="30"/>
        <v>0.44</v>
      </c>
      <c r="L154" s="136">
        <f t="shared" si="30"/>
        <v>0.44</v>
      </c>
      <c r="M154" s="136">
        <f t="shared" si="30"/>
        <v>0.44</v>
      </c>
      <c r="N154" s="136">
        <f t="shared" si="30"/>
        <v>0.44</v>
      </c>
      <c r="O154" s="136">
        <f t="shared" si="30"/>
        <v>0.44</v>
      </c>
      <c r="P154" s="136">
        <f t="shared" si="30"/>
        <v>0.44</v>
      </c>
      <c r="Q154" s="136">
        <f t="shared" si="30"/>
        <v>0.44</v>
      </c>
      <c r="R154" s="136">
        <f t="shared" si="27"/>
        <v>0.44</v>
      </c>
      <c r="S154" s="136">
        <f t="shared" si="27"/>
        <v>0.44</v>
      </c>
      <c r="T154" s="136">
        <f t="shared" si="27"/>
        <v>0.44</v>
      </c>
      <c r="U154" s="136">
        <f t="shared" si="27"/>
        <v>0.44</v>
      </c>
      <c r="V154" s="136">
        <f t="shared" si="27"/>
        <v>0.44</v>
      </c>
      <c r="W154" s="136">
        <f t="shared" si="27"/>
        <v>0.44</v>
      </c>
      <c r="X154" s="136">
        <f t="shared" si="31"/>
        <v>0.44</v>
      </c>
      <c r="Y154" s="136">
        <f t="shared" si="31"/>
        <v>0.44</v>
      </c>
      <c r="Z154" s="136">
        <f t="shared" si="31"/>
        <v>0.44</v>
      </c>
      <c r="AA154" s="136">
        <f t="shared" si="31"/>
        <v>0.44</v>
      </c>
      <c r="AB154" s="136">
        <f t="shared" si="31"/>
        <v>0.44</v>
      </c>
      <c r="AC154" s="136">
        <f t="shared" si="31"/>
        <v>0.44</v>
      </c>
      <c r="AD154" s="136">
        <f t="shared" si="31"/>
        <v>0.44</v>
      </c>
      <c r="AE154" s="136">
        <f t="shared" si="31"/>
        <v>0.44</v>
      </c>
      <c r="AF154" s="136">
        <f t="shared" si="31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2">B155</f>
        <v>0.9</v>
      </c>
      <c r="D155" s="136">
        <f t="shared" si="32"/>
        <v>0.9</v>
      </c>
      <c r="E155" s="136">
        <f t="shared" si="32"/>
        <v>0.9</v>
      </c>
      <c r="F155" s="136">
        <f t="shared" si="32"/>
        <v>0.9</v>
      </c>
      <c r="G155" s="136">
        <f t="shared" si="32"/>
        <v>0.9</v>
      </c>
      <c r="H155" s="136">
        <f t="shared" si="32"/>
        <v>0.9</v>
      </c>
      <c r="I155" s="136">
        <f t="shared" si="32"/>
        <v>0.9</v>
      </c>
      <c r="J155" s="136">
        <f t="shared" si="32"/>
        <v>0.9</v>
      </c>
      <c r="K155" s="136">
        <f t="shared" si="32"/>
        <v>0.9</v>
      </c>
      <c r="L155" s="136">
        <f t="shared" si="32"/>
        <v>0.9</v>
      </c>
      <c r="M155" s="136">
        <f t="shared" si="32"/>
        <v>0.9</v>
      </c>
      <c r="N155" s="136">
        <f t="shared" si="32"/>
        <v>0.9</v>
      </c>
      <c r="O155" s="136">
        <f t="shared" si="32"/>
        <v>0.9</v>
      </c>
      <c r="P155" s="136">
        <f t="shared" si="32"/>
        <v>0.9</v>
      </c>
      <c r="Q155" s="136">
        <f t="shared" si="32"/>
        <v>0.9</v>
      </c>
      <c r="R155" s="136">
        <f t="shared" si="27"/>
        <v>0.9</v>
      </c>
      <c r="S155" s="136">
        <f t="shared" si="27"/>
        <v>0.9</v>
      </c>
      <c r="T155" s="136">
        <f t="shared" si="27"/>
        <v>0.9</v>
      </c>
      <c r="U155" s="136">
        <f t="shared" si="27"/>
        <v>0.9</v>
      </c>
      <c r="V155" s="136">
        <f t="shared" si="27"/>
        <v>0.9</v>
      </c>
      <c r="W155" s="136">
        <f t="shared" si="27"/>
        <v>0.9</v>
      </c>
      <c r="X155" s="136">
        <f t="shared" si="31"/>
        <v>0.9</v>
      </c>
      <c r="Y155" s="136">
        <f t="shared" si="31"/>
        <v>0.9</v>
      </c>
      <c r="Z155" s="136">
        <f t="shared" si="31"/>
        <v>0.9</v>
      </c>
      <c r="AA155" s="136">
        <f t="shared" si="31"/>
        <v>0.9</v>
      </c>
      <c r="AB155" s="136">
        <f t="shared" si="31"/>
        <v>0.9</v>
      </c>
      <c r="AC155" s="136">
        <f t="shared" si="31"/>
        <v>0.9</v>
      </c>
      <c r="AD155" s="136">
        <f t="shared" si="31"/>
        <v>0.9</v>
      </c>
      <c r="AE155" s="136">
        <f t="shared" si="31"/>
        <v>0.9</v>
      </c>
      <c r="AF155" s="136">
        <f t="shared" si="31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2"/>
        <v>2.1</v>
      </c>
      <c r="D156" s="136">
        <f t="shared" si="32"/>
        <v>2.1</v>
      </c>
      <c r="E156" s="136">
        <f t="shared" si="32"/>
        <v>2.1</v>
      </c>
      <c r="F156" s="136">
        <f t="shared" si="32"/>
        <v>2.1</v>
      </c>
      <c r="G156" s="136">
        <f t="shared" si="32"/>
        <v>2.1</v>
      </c>
      <c r="H156" s="136">
        <f t="shared" si="32"/>
        <v>2.1</v>
      </c>
      <c r="I156" s="136">
        <f t="shared" si="32"/>
        <v>2.1</v>
      </c>
      <c r="J156" s="136">
        <f t="shared" si="32"/>
        <v>2.1</v>
      </c>
      <c r="K156" s="136">
        <f t="shared" si="32"/>
        <v>2.1</v>
      </c>
      <c r="L156" s="136">
        <f t="shared" si="32"/>
        <v>2.1</v>
      </c>
      <c r="M156" s="136">
        <f t="shared" si="32"/>
        <v>2.1</v>
      </c>
      <c r="N156" s="136">
        <f t="shared" si="32"/>
        <v>2.1</v>
      </c>
      <c r="O156" s="136">
        <f t="shared" si="32"/>
        <v>2.1</v>
      </c>
      <c r="P156" s="136">
        <f t="shared" si="32"/>
        <v>2.1</v>
      </c>
      <c r="Q156" s="136">
        <f t="shared" si="32"/>
        <v>2.1</v>
      </c>
      <c r="R156" s="136">
        <f t="shared" si="27"/>
        <v>2.1</v>
      </c>
      <c r="S156" s="136">
        <f t="shared" si="27"/>
        <v>2.1</v>
      </c>
      <c r="T156" s="136">
        <f t="shared" si="27"/>
        <v>2.1</v>
      </c>
      <c r="U156" s="136">
        <f t="shared" si="27"/>
        <v>2.1</v>
      </c>
      <c r="V156" s="136">
        <f t="shared" si="27"/>
        <v>2.1</v>
      </c>
      <c r="W156" s="136">
        <f t="shared" si="27"/>
        <v>2.1</v>
      </c>
      <c r="X156" s="136">
        <f t="shared" si="31"/>
        <v>2.1</v>
      </c>
      <c r="Y156" s="136">
        <f t="shared" si="31"/>
        <v>2.1</v>
      </c>
      <c r="Z156" s="136">
        <f t="shared" si="31"/>
        <v>2.1</v>
      </c>
      <c r="AA156" s="136">
        <f t="shared" si="31"/>
        <v>2.1</v>
      </c>
      <c r="AB156" s="136">
        <f t="shared" si="31"/>
        <v>2.1</v>
      </c>
      <c r="AC156" s="136">
        <f t="shared" si="31"/>
        <v>2.1</v>
      </c>
      <c r="AD156" s="136">
        <f t="shared" si="31"/>
        <v>2.1</v>
      </c>
      <c r="AE156" s="136">
        <f t="shared" si="31"/>
        <v>2.1</v>
      </c>
      <c r="AF156" s="136">
        <f t="shared" si="31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2"/>
        <v>0.9</v>
      </c>
      <c r="D157" s="136">
        <f t="shared" si="32"/>
        <v>0.9</v>
      </c>
      <c r="E157" s="136">
        <f t="shared" si="32"/>
        <v>0.9</v>
      </c>
      <c r="F157" s="136">
        <f t="shared" si="32"/>
        <v>0.9</v>
      </c>
      <c r="G157" s="136">
        <f t="shared" si="32"/>
        <v>0.9</v>
      </c>
      <c r="H157" s="136">
        <f t="shared" si="32"/>
        <v>0.9</v>
      </c>
      <c r="I157" s="136">
        <f t="shared" si="32"/>
        <v>0.9</v>
      </c>
      <c r="J157" s="136">
        <f t="shared" si="32"/>
        <v>0.9</v>
      </c>
      <c r="K157" s="136">
        <f t="shared" si="32"/>
        <v>0.9</v>
      </c>
      <c r="L157" s="136">
        <f t="shared" si="32"/>
        <v>0.9</v>
      </c>
      <c r="M157" s="136">
        <f t="shared" si="32"/>
        <v>0.9</v>
      </c>
      <c r="N157" s="136">
        <f t="shared" si="32"/>
        <v>0.9</v>
      </c>
      <c r="O157" s="136">
        <f t="shared" si="32"/>
        <v>0.9</v>
      </c>
      <c r="P157" s="136">
        <f t="shared" si="32"/>
        <v>0.9</v>
      </c>
      <c r="Q157" s="136">
        <f t="shared" si="32"/>
        <v>0.9</v>
      </c>
      <c r="R157" s="136">
        <f t="shared" si="27"/>
        <v>0.9</v>
      </c>
      <c r="S157" s="136">
        <f t="shared" si="27"/>
        <v>0.9</v>
      </c>
      <c r="T157" s="136">
        <f t="shared" si="27"/>
        <v>0.9</v>
      </c>
      <c r="U157" s="136">
        <f t="shared" si="27"/>
        <v>0.9</v>
      </c>
      <c r="V157" s="136">
        <f t="shared" si="27"/>
        <v>0.9</v>
      </c>
      <c r="W157" s="136">
        <f t="shared" si="27"/>
        <v>0.9</v>
      </c>
      <c r="X157" s="136">
        <f t="shared" si="31"/>
        <v>0.9</v>
      </c>
      <c r="Y157" s="136">
        <f t="shared" si="31"/>
        <v>0.9</v>
      </c>
      <c r="Z157" s="136">
        <f t="shared" si="31"/>
        <v>0.9</v>
      </c>
      <c r="AA157" s="136">
        <f t="shared" si="31"/>
        <v>0.9</v>
      </c>
      <c r="AB157" s="136">
        <f t="shared" si="31"/>
        <v>0.9</v>
      </c>
      <c r="AC157" s="136">
        <f t="shared" si="31"/>
        <v>0.9</v>
      </c>
      <c r="AD157" s="136">
        <f t="shared" si="31"/>
        <v>0.9</v>
      </c>
      <c r="AE157" s="136">
        <f t="shared" si="31"/>
        <v>0.9</v>
      </c>
      <c r="AF157" s="136">
        <f t="shared" si="31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2"/>
        <v>0.57999999999999996</v>
      </c>
      <c r="D158" s="136">
        <f t="shared" si="32"/>
        <v>0.57999999999999996</v>
      </c>
      <c r="E158" s="136">
        <f t="shared" si="32"/>
        <v>0.57999999999999996</v>
      </c>
      <c r="F158" s="136">
        <f t="shared" si="32"/>
        <v>0.57999999999999996</v>
      </c>
      <c r="G158" s="136">
        <f t="shared" si="32"/>
        <v>0.57999999999999996</v>
      </c>
      <c r="H158" s="136">
        <f t="shared" si="32"/>
        <v>0.57999999999999996</v>
      </c>
      <c r="I158" s="136">
        <f t="shared" si="32"/>
        <v>0.57999999999999996</v>
      </c>
      <c r="J158" s="136">
        <f t="shared" si="32"/>
        <v>0.57999999999999996</v>
      </c>
      <c r="K158" s="136">
        <f t="shared" si="32"/>
        <v>0.57999999999999996</v>
      </c>
      <c r="L158" s="136">
        <f t="shared" si="32"/>
        <v>0.57999999999999996</v>
      </c>
      <c r="M158" s="136">
        <f t="shared" si="32"/>
        <v>0.57999999999999996</v>
      </c>
      <c r="N158" s="136">
        <f t="shared" si="32"/>
        <v>0.57999999999999996</v>
      </c>
      <c r="O158" s="136">
        <f t="shared" si="32"/>
        <v>0.57999999999999996</v>
      </c>
      <c r="P158" s="136">
        <f t="shared" si="32"/>
        <v>0.57999999999999996</v>
      </c>
      <c r="Q158" s="136">
        <f t="shared" si="32"/>
        <v>0.57999999999999996</v>
      </c>
      <c r="R158" s="136">
        <f t="shared" si="27"/>
        <v>0.57999999999999996</v>
      </c>
      <c r="S158" s="136">
        <f t="shared" si="27"/>
        <v>0.57999999999999996</v>
      </c>
      <c r="T158" s="136">
        <f t="shared" si="27"/>
        <v>0.57999999999999996</v>
      </c>
      <c r="U158" s="136">
        <f t="shared" si="27"/>
        <v>0.57999999999999996</v>
      </c>
      <c r="V158" s="136">
        <f t="shared" si="27"/>
        <v>0.57999999999999996</v>
      </c>
      <c r="W158" s="136">
        <f t="shared" si="27"/>
        <v>0.57999999999999996</v>
      </c>
      <c r="X158" s="136">
        <f t="shared" si="31"/>
        <v>0.57999999999999996</v>
      </c>
      <c r="Y158" s="136">
        <f t="shared" si="31"/>
        <v>0.57999999999999996</v>
      </c>
      <c r="Z158" s="136">
        <f t="shared" si="31"/>
        <v>0.57999999999999996</v>
      </c>
      <c r="AA158" s="136">
        <f t="shared" si="31"/>
        <v>0.57999999999999996</v>
      </c>
      <c r="AB158" s="136">
        <f t="shared" si="31"/>
        <v>0.57999999999999996</v>
      </c>
      <c r="AC158" s="136">
        <f t="shared" si="31"/>
        <v>0.57999999999999996</v>
      </c>
      <c r="AD158" s="136">
        <f t="shared" si="31"/>
        <v>0.57999999999999996</v>
      </c>
      <c r="AE158" s="136">
        <f t="shared" si="31"/>
        <v>0.57999999999999996</v>
      </c>
      <c r="AF158" s="136">
        <f t="shared" si="31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2"/>
        <v>0.8</v>
      </c>
      <c r="D159" s="136">
        <f t="shared" si="32"/>
        <v>0.8</v>
      </c>
      <c r="E159" s="136">
        <f t="shared" si="32"/>
        <v>0.8</v>
      </c>
      <c r="F159" s="136">
        <f t="shared" si="32"/>
        <v>0.8</v>
      </c>
      <c r="G159" s="136">
        <f t="shared" si="32"/>
        <v>0.8</v>
      </c>
      <c r="H159" s="136">
        <f t="shared" si="32"/>
        <v>0.8</v>
      </c>
      <c r="I159" s="136">
        <f t="shared" si="32"/>
        <v>0.8</v>
      </c>
      <c r="J159" s="136">
        <f t="shared" si="32"/>
        <v>0.8</v>
      </c>
      <c r="K159" s="136">
        <f t="shared" si="32"/>
        <v>0.8</v>
      </c>
      <c r="L159" s="136">
        <f t="shared" si="32"/>
        <v>0.8</v>
      </c>
      <c r="M159" s="136">
        <f t="shared" si="32"/>
        <v>0.8</v>
      </c>
      <c r="N159" s="136">
        <f t="shared" si="32"/>
        <v>0.8</v>
      </c>
      <c r="O159" s="136">
        <f t="shared" si="32"/>
        <v>0.8</v>
      </c>
      <c r="P159" s="136">
        <f t="shared" si="32"/>
        <v>0.8</v>
      </c>
      <c r="Q159" s="136">
        <f t="shared" si="32"/>
        <v>0.8</v>
      </c>
      <c r="R159" s="136">
        <f t="shared" si="27"/>
        <v>0.8</v>
      </c>
      <c r="S159" s="136">
        <f t="shared" si="27"/>
        <v>0.8</v>
      </c>
      <c r="T159" s="136">
        <f t="shared" si="27"/>
        <v>0.8</v>
      </c>
      <c r="U159" s="136">
        <f t="shared" si="27"/>
        <v>0.8</v>
      </c>
      <c r="V159" s="136">
        <f t="shared" si="27"/>
        <v>0.8</v>
      </c>
      <c r="W159" s="136">
        <f t="shared" si="27"/>
        <v>0.8</v>
      </c>
      <c r="X159" s="136">
        <f t="shared" si="31"/>
        <v>0.8</v>
      </c>
      <c r="Y159" s="136">
        <f t="shared" si="31"/>
        <v>0.8</v>
      </c>
      <c r="Z159" s="136">
        <f t="shared" si="31"/>
        <v>0.8</v>
      </c>
      <c r="AA159" s="136">
        <f t="shared" si="31"/>
        <v>0.8</v>
      </c>
      <c r="AB159" s="136">
        <f t="shared" si="31"/>
        <v>0.8</v>
      </c>
      <c r="AC159" s="136">
        <f t="shared" si="31"/>
        <v>0.8</v>
      </c>
      <c r="AD159" s="136">
        <f t="shared" si="31"/>
        <v>0.8</v>
      </c>
      <c r="AE159" s="136">
        <f t="shared" si="31"/>
        <v>0.8</v>
      </c>
      <c r="AF159" s="136">
        <f t="shared" si="31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2"/>
        <v>0</v>
      </c>
      <c r="D160" s="136">
        <f t="shared" si="32"/>
        <v>0</v>
      </c>
      <c r="E160" s="136">
        <f t="shared" si="32"/>
        <v>0</v>
      </c>
      <c r="F160" s="136">
        <f t="shared" si="32"/>
        <v>0</v>
      </c>
      <c r="G160" s="136">
        <f t="shared" si="32"/>
        <v>0</v>
      </c>
      <c r="H160" s="136">
        <f t="shared" si="32"/>
        <v>0</v>
      </c>
      <c r="I160" s="136">
        <f t="shared" si="32"/>
        <v>0</v>
      </c>
      <c r="J160" s="136">
        <f t="shared" si="32"/>
        <v>0</v>
      </c>
      <c r="K160" s="136">
        <f t="shared" si="32"/>
        <v>0</v>
      </c>
      <c r="L160" s="136">
        <f t="shared" si="32"/>
        <v>0</v>
      </c>
      <c r="M160" s="136">
        <f t="shared" si="32"/>
        <v>0</v>
      </c>
      <c r="N160" s="136">
        <f t="shared" si="32"/>
        <v>0</v>
      </c>
      <c r="O160" s="136">
        <f t="shared" si="32"/>
        <v>0</v>
      </c>
      <c r="P160" s="136">
        <f t="shared" si="32"/>
        <v>0</v>
      </c>
      <c r="Q160" s="136">
        <f t="shared" si="32"/>
        <v>0</v>
      </c>
      <c r="R160" s="136">
        <f t="shared" si="27"/>
        <v>0</v>
      </c>
      <c r="S160" s="136">
        <f t="shared" si="27"/>
        <v>0</v>
      </c>
      <c r="T160" s="136">
        <f t="shared" si="27"/>
        <v>0</v>
      </c>
      <c r="U160" s="136">
        <f t="shared" si="27"/>
        <v>0</v>
      </c>
      <c r="V160" s="136">
        <f t="shared" si="27"/>
        <v>0</v>
      </c>
      <c r="W160" s="136">
        <f t="shared" si="27"/>
        <v>0</v>
      </c>
      <c r="X160" s="136">
        <f t="shared" si="31"/>
        <v>0</v>
      </c>
      <c r="Y160" s="136">
        <f t="shared" si="31"/>
        <v>0</v>
      </c>
      <c r="Z160" s="136">
        <f t="shared" si="31"/>
        <v>0</v>
      </c>
      <c r="AA160" s="136">
        <f t="shared" si="31"/>
        <v>0</v>
      </c>
      <c r="AB160" s="136">
        <f t="shared" si="31"/>
        <v>0</v>
      </c>
      <c r="AC160" s="136">
        <f t="shared" si="31"/>
        <v>0</v>
      </c>
      <c r="AD160" s="136">
        <f t="shared" si="31"/>
        <v>0</v>
      </c>
      <c r="AE160" s="136">
        <f t="shared" si="31"/>
        <v>0</v>
      </c>
      <c r="AF160" s="136">
        <f t="shared" si="31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2"/>
        <v>0.6</v>
      </c>
      <c r="D161" s="136">
        <f t="shared" si="32"/>
        <v>0.6</v>
      </c>
      <c r="E161" s="136">
        <f t="shared" si="32"/>
        <v>0.6</v>
      </c>
      <c r="F161" s="136">
        <f t="shared" si="32"/>
        <v>0.6</v>
      </c>
      <c r="G161" s="136">
        <f t="shared" si="32"/>
        <v>0.6</v>
      </c>
      <c r="H161" s="136">
        <f t="shared" si="32"/>
        <v>0.6</v>
      </c>
      <c r="I161" s="136">
        <f t="shared" si="32"/>
        <v>0.6</v>
      </c>
      <c r="J161" s="136">
        <f t="shared" si="32"/>
        <v>0.6</v>
      </c>
      <c r="K161" s="136">
        <f t="shared" si="32"/>
        <v>0.6</v>
      </c>
      <c r="L161" s="136">
        <f t="shared" si="32"/>
        <v>0.6</v>
      </c>
      <c r="M161" s="136">
        <f t="shared" si="32"/>
        <v>0.6</v>
      </c>
      <c r="N161" s="136">
        <f t="shared" si="32"/>
        <v>0.6</v>
      </c>
      <c r="O161" s="136">
        <f t="shared" si="32"/>
        <v>0.6</v>
      </c>
      <c r="P161" s="136">
        <f t="shared" si="32"/>
        <v>0.6</v>
      </c>
      <c r="Q161" s="136">
        <f t="shared" si="32"/>
        <v>0.6</v>
      </c>
      <c r="R161" s="136">
        <f t="shared" si="27"/>
        <v>0.6</v>
      </c>
      <c r="S161" s="136">
        <f t="shared" si="27"/>
        <v>0.6</v>
      </c>
      <c r="T161" s="136">
        <f t="shared" si="27"/>
        <v>0.6</v>
      </c>
      <c r="U161" s="136">
        <f t="shared" si="27"/>
        <v>0.6</v>
      </c>
      <c r="V161" s="136">
        <f t="shared" si="27"/>
        <v>0.6</v>
      </c>
      <c r="W161" s="136">
        <f t="shared" si="27"/>
        <v>0.6</v>
      </c>
      <c r="X161" s="136">
        <f t="shared" si="31"/>
        <v>0.6</v>
      </c>
      <c r="Y161" s="136">
        <f t="shared" si="31"/>
        <v>0.6</v>
      </c>
      <c r="Z161" s="136">
        <f t="shared" si="31"/>
        <v>0.6</v>
      </c>
      <c r="AA161" s="136">
        <f t="shared" si="31"/>
        <v>0.6</v>
      </c>
      <c r="AB161" s="136">
        <f t="shared" si="31"/>
        <v>0.6</v>
      </c>
      <c r="AC161" s="136">
        <f t="shared" si="31"/>
        <v>0.6</v>
      </c>
      <c r="AD161" s="136">
        <f t="shared" si="31"/>
        <v>0.6</v>
      </c>
      <c r="AE161" s="136">
        <f t="shared" si="31"/>
        <v>0.6</v>
      </c>
      <c r="AF161" s="136">
        <f t="shared" si="31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2"/>
        <v>0.6</v>
      </c>
      <c r="D162" s="136">
        <f t="shared" si="32"/>
        <v>0.6</v>
      </c>
      <c r="E162" s="136">
        <f t="shared" si="32"/>
        <v>0.6</v>
      </c>
      <c r="F162" s="136">
        <f t="shared" si="32"/>
        <v>0.6</v>
      </c>
      <c r="G162" s="136">
        <f t="shared" si="32"/>
        <v>0.6</v>
      </c>
      <c r="H162" s="136">
        <f t="shared" si="32"/>
        <v>0.6</v>
      </c>
      <c r="I162" s="136">
        <f t="shared" si="32"/>
        <v>0.6</v>
      </c>
      <c r="J162" s="136">
        <f t="shared" si="32"/>
        <v>0.6</v>
      </c>
      <c r="K162" s="136">
        <f t="shared" si="32"/>
        <v>0.6</v>
      </c>
      <c r="L162" s="136">
        <f t="shared" si="32"/>
        <v>0.6</v>
      </c>
      <c r="M162" s="136">
        <f t="shared" si="32"/>
        <v>0.6</v>
      </c>
      <c r="N162" s="136">
        <f t="shared" si="32"/>
        <v>0.6</v>
      </c>
      <c r="O162" s="136">
        <f t="shared" si="32"/>
        <v>0.6</v>
      </c>
      <c r="P162" s="136">
        <f t="shared" si="32"/>
        <v>0.6</v>
      </c>
      <c r="Q162" s="136">
        <f t="shared" si="32"/>
        <v>0.6</v>
      </c>
      <c r="R162" s="136">
        <f t="shared" si="27"/>
        <v>0.6</v>
      </c>
      <c r="S162" s="136">
        <f t="shared" si="27"/>
        <v>0.6</v>
      </c>
      <c r="T162" s="136">
        <f t="shared" si="27"/>
        <v>0.6</v>
      </c>
      <c r="U162" s="136">
        <f t="shared" si="27"/>
        <v>0.6</v>
      </c>
      <c r="V162" s="136">
        <f t="shared" si="27"/>
        <v>0.6</v>
      </c>
      <c r="W162" s="136">
        <f t="shared" si="27"/>
        <v>0.6</v>
      </c>
      <c r="X162" s="136">
        <f t="shared" si="31"/>
        <v>0.6</v>
      </c>
      <c r="Y162" s="136">
        <f t="shared" si="31"/>
        <v>0.6</v>
      </c>
      <c r="Z162" s="136">
        <f t="shared" si="31"/>
        <v>0.6</v>
      </c>
      <c r="AA162" s="136">
        <f t="shared" si="31"/>
        <v>0.6</v>
      </c>
      <c r="AB162" s="136">
        <f t="shared" si="31"/>
        <v>0.6</v>
      </c>
      <c r="AC162" s="136">
        <f t="shared" si="31"/>
        <v>0.6</v>
      </c>
      <c r="AD162" s="136">
        <f t="shared" si="31"/>
        <v>0.6</v>
      </c>
      <c r="AE162" s="136">
        <f t="shared" si="31"/>
        <v>0.6</v>
      </c>
      <c r="AF162" s="136">
        <f t="shared" si="31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2"/>
        <v>0.35</v>
      </c>
      <c r="D163" s="136">
        <f t="shared" si="32"/>
        <v>0.35</v>
      </c>
      <c r="E163" s="136">
        <f t="shared" si="32"/>
        <v>0.35</v>
      </c>
      <c r="F163" s="136">
        <f t="shared" si="32"/>
        <v>0.35</v>
      </c>
      <c r="G163" s="136">
        <f t="shared" si="32"/>
        <v>0.35</v>
      </c>
      <c r="H163" s="136">
        <f t="shared" si="32"/>
        <v>0.35</v>
      </c>
      <c r="I163" s="136">
        <f t="shared" si="32"/>
        <v>0.35</v>
      </c>
      <c r="J163" s="136">
        <f t="shared" si="32"/>
        <v>0.35</v>
      </c>
      <c r="K163" s="136">
        <f t="shared" si="32"/>
        <v>0.35</v>
      </c>
      <c r="L163" s="136">
        <f t="shared" si="32"/>
        <v>0.35</v>
      </c>
      <c r="M163" s="136">
        <f t="shared" si="32"/>
        <v>0.35</v>
      </c>
      <c r="N163" s="136">
        <f t="shared" si="32"/>
        <v>0.35</v>
      </c>
      <c r="O163" s="136">
        <f t="shared" si="32"/>
        <v>0.35</v>
      </c>
      <c r="P163" s="136">
        <f t="shared" si="32"/>
        <v>0.35</v>
      </c>
      <c r="Q163" s="136">
        <f t="shared" si="32"/>
        <v>0.35</v>
      </c>
      <c r="R163" s="136">
        <f t="shared" si="27"/>
        <v>0.35</v>
      </c>
      <c r="S163" s="136">
        <f t="shared" si="27"/>
        <v>0.35</v>
      </c>
      <c r="T163" s="136">
        <f t="shared" si="27"/>
        <v>0.35</v>
      </c>
      <c r="U163" s="136">
        <f t="shared" si="27"/>
        <v>0.35</v>
      </c>
      <c r="V163" s="136">
        <f t="shared" si="27"/>
        <v>0.35</v>
      </c>
      <c r="W163" s="136">
        <f t="shared" si="27"/>
        <v>0.35</v>
      </c>
      <c r="X163" s="136">
        <f t="shared" si="31"/>
        <v>0.35</v>
      </c>
      <c r="Y163" s="136">
        <f t="shared" si="31"/>
        <v>0.35</v>
      </c>
      <c r="Z163" s="136">
        <f t="shared" si="31"/>
        <v>0.35</v>
      </c>
      <c r="AA163" s="136">
        <f t="shared" si="31"/>
        <v>0.35</v>
      </c>
      <c r="AB163" s="136">
        <f t="shared" si="31"/>
        <v>0.35</v>
      </c>
      <c r="AC163" s="136">
        <f t="shared" si="31"/>
        <v>0.35</v>
      </c>
      <c r="AD163" s="136">
        <f t="shared" si="31"/>
        <v>0.35</v>
      </c>
      <c r="AE163" s="136">
        <f t="shared" si="31"/>
        <v>0.35</v>
      </c>
      <c r="AF163" s="136">
        <f t="shared" si="31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2"/>
        <v>0.28999999999999998</v>
      </c>
      <c r="D164" s="136">
        <f t="shared" si="32"/>
        <v>0.28999999999999998</v>
      </c>
      <c r="E164" s="136">
        <f t="shared" si="32"/>
        <v>0.28999999999999998</v>
      </c>
      <c r="F164" s="136">
        <f t="shared" si="32"/>
        <v>0.28999999999999998</v>
      </c>
      <c r="G164" s="136">
        <f t="shared" si="32"/>
        <v>0.28999999999999998</v>
      </c>
      <c r="H164" s="136">
        <f t="shared" si="32"/>
        <v>0.28999999999999998</v>
      </c>
      <c r="I164" s="136">
        <f t="shared" si="32"/>
        <v>0.28999999999999998</v>
      </c>
      <c r="J164" s="136">
        <f t="shared" si="32"/>
        <v>0.28999999999999998</v>
      </c>
      <c r="K164" s="136">
        <f t="shared" si="32"/>
        <v>0.28999999999999998</v>
      </c>
      <c r="L164" s="136">
        <f t="shared" si="32"/>
        <v>0.28999999999999998</v>
      </c>
      <c r="M164" s="136">
        <f t="shared" si="32"/>
        <v>0.28999999999999998</v>
      </c>
      <c r="N164" s="136">
        <f t="shared" si="32"/>
        <v>0.28999999999999998</v>
      </c>
      <c r="O164" s="136">
        <f t="shared" si="32"/>
        <v>0.28999999999999998</v>
      </c>
      <c r="P164" s="136">
        <f t="shared" si="32"/>
        <v>0.28999999999999998</v>
      </c>
      <c r="Q164" s="136">
        <f t="shared" si="32"/>
        <v>0.28999999999999998</v>
      </c>
      <c r="R164" s="136">
        <f t="shared" si="27"/>
        <v>0.28999999999999998</v>
      </c>
      <c r="S164" s="136">
        <f t="shared" si="27"/>
        <v>0.28999999999999998</v>
      </c>
      <c r="T164" s="136">
        <f t="shared" si="27"/>
        <v>0.28999999999999998</v>
      </c>
      <c r="U164" s="136">
        <f t="shared" si="27"/>
        <v>0.28999999999999998</v>
      </c>
      <c r="V164" s="136">
        <f t="shared" si="27"/>
        <v>0.28999999999999998</v>
      </c>
      <c r="W164" s="136">
        <f t="shared" si="27"/>
        <v>0.28999999999999998</v>
      </c>
      <c r="X164" s="136">
        <f t="shared" si="31"/>
        <v>0.28999999999999998</v>
      </c>
      <c r="Y164" s="136">
        <f t="shared" si="31"/>
        <v>0.28999999999999998</v>
      </c>
      <c r="Z164" s="136">
        <f t="shared" si="31"/>
        <v>0.28999999999999998</v>
      </c>
      <c r="AA164" s="136">
        <f t="shared" si="31"/>
        <v>0.28999999999999998</v>
      </c>
      <c r="AB164" s="136">
        <f t="shared" si="31"/>
        <v>0.28999999999999998</v>
      </c>
      <c r="AC164" s="136">
        <f t="shared" si="31"/>
        <v>0.28999999999999998</v>
      </c>
      <c r="AD164" s="136">
        <f t="shared" si="31"/>
        <v>0.28999999999999998</v>
      </c>
      <c r="AE164" s="136">
        <f t="shared" si="31"/>
        <v>0.28999999999999998</v>
      </c>
      <c r="AF164" s="136">
        <f t="shared" si="31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2"/>
        <v>0.06</v>
      </c>
      <c r="D165" s="136">
        <f t="shared" si="32"/>
        <v>0.06</v>
      </c>
      <c r="E165" s="136">
        <f t="shared" si="32"/>
        <v>0.06</v>
      </c>
      <c r="F165" s="136">
        <f t="shared" si="32"/>
        <v>0.06</v>
      </c>
      <c r="G165" s="136">
        <f t="shared" si="32"/>
        <v>0.06</v>
      </c>
      <c r="H165" s="136">
        <f t="shared" si="32"/>
        <v>0.06</v>
      </c>
      <c r="I165" s="136">
        <f t="shared" si="32"/>
        <v>0.06</v>
      </c>
      <c r="J165" s="136">
        <f t="shared" si="32"/>
        <v>0.06</v>
      </c>
      <c r="K165" s="136">
        <f t="shared" si="32"/>
        <v>0.06</v>
      </c>
      <c r="L165" s="136">
        <f t="shared" si="32"/>
        <v>0.06</v>
      </c>
      <c r="M165" s="136">
        <f t="shared" si="32"/>
        <v>0.06</v>
      </c>
      <c r="N165" s="136">
        <f t="shared" si="32"/>
        <v>0.06</v>
      </c>
      <c r="O165" s="136">
        <f t="shared" si="32"/>
        <v>0.06</v>
      </c>
      <c r="P165" s="136">
        <f t="shared" si="32"/>
        <v>0.06</v>
      </c>
      <c r="Q165" s="136">
        <f t="shared" si="32"/>
        <v>0.06</v>
      </c>
      <c r="R165" s="136">
        <f t="shared" si="27"/>
        <v>0.06</v>
      </c>
      <c r="S165" s="136">
        <f t="shared" si="27"/>
        <v>0.06</v>
      </c>
      <c r="T165" s="136">
        <f t="shared" si="27"/>
        <v>0.06</v>
      </c>
      <c r="U165" s="136">
        <f t="shared" si="27"/>
        <v>0.06</v>
      </c>
      <c r="V165" s="136">
        <f t="shared" si="27"/>
        <v>0.06</v>
      </c>
      <c r="W165" s="136">
        <f t="shared" si="27"/>
        <v>0.06</v>
      </c>
      <c r="X165" s="136">
        <f t="shared" si="31"/>
        <v>0.06</v>
      </c>
      <c r="Y165" s="136">
        <f t="shared" si="31"/>
        <v>0.06</v>
      </c>
      <c r="Z165" s="136">
        <f t="shared" si="31"/>
        <v>0.06</v>
      </c>
      <c r="AA165" s="136">
        <f t="shared" si="31"/>
        <v>0.06</v>
      </c>
      <c r="AB165" s="136">
        <f t="shared" si="31"/>
        <v>0.06</v>
      </c>
      <c r="AC165" s="136">
        <f t="shared" si="31"/>
        <v>0.06</v>
      </c>
      <c r="AD165" s="136">
        <f t="shared" si="31"/>
        <v>0.06</v>
      </c>
      <c r="AE165" s="136">
        <f t="shared" si="31"/>
        <v>0.06</v>
      </c>
      <c r="AF165" s="136">
        <f t="shared" si="31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2"/>
        <v>0.11</v>
      </c>
      <c r="D166" s="136">
        <f t="shared" si="32"/>
        <v>0.11</v>
      </c>
      <c r="E166" s="136">
        <f t="shared" si="32"/>
        <v>0.11</v>
      </c>
      <c r="F166" s="136">
        <f t="shared" si="32"/>
        <v>0.11</v>
      </c>
      <c r="G166" s="136">
        <f t="shared" si="32"/>
        <v>0.11</v>
      </c>
      <c r="H166" s="136">
        <f t="shared" si="32"/>
        <v>0.11</v>
      </c>
      <c r="I166" s="136">
        <f t="shared" si="32"/>
        <v>0.11</v>
      </c>
      <c r="J166" s="136">
        <f t="shared" si="32"/>
        <v>0.11</v>
      </c>
      <c r="K166" s="136">
        <f t="shared" si="32"/>
        <v>0.11</v>
      </c>
      <c r="L166" s="136">
        <f t="shared" si="32"/>
        <v>0.11</v>
      </c>
      <c r="M166" s="136">
        <f t="shared" si="32"/>
        <v>0.11</v>
      </c>
      <c r="N166" s="136">
        <f t="shared" si="32"/>
        <v>0.11</v>
      </c>
      <c r="O166" s="136">
        <f t="shared" si="32"/>
        <v>0.11</v>
      </c>
      <c r="P166" s="136">
        <f t="shared" si="32"/>
        <v>0.11</v>
      </c>
      <c r="Q166" s="136">
        <f t="shared" si="32"/>
        <v>0.11</v>
      </c>
      <c r="R166" s="136">
        <f t="shared" si="27"/>
        <v>0.11</v>
      </c>
      <c r="S166" s="136">
        <f t="shared" si="27"/>
        <v>0.11</v>
      </c>
      <c r="T166" s="136">
        <f t="shared" si="27"/>
        <v>0.11</v>
      </c>
      <c r="U166" s="136">
        <f t="shared" si="27"/>
        <v>0.11</v>
      </c>
      <c r="V166" s="136">
        <f t="shared" si="27"/>
        <v>0.11</v>
      </c>
      <c r="W166" s="136">
        <f t="shared" si="27"/>
        <v>0.11</v>
      </c>
      <c r="X166" s="136">
        <f t="shared" si="31"/>
        <v>0.11</v>
      </c>
      <c r="Y166" s="136">
        <f t="shared" si="31"/>
        <v>0.11</v>
      </c>
      <c r="Z166" s="136">
        <f t="shared" si="31"/>
        <v>0.11</v>
      </c>
      <c r="AA166" s="136">
        <f t="shared" si="31"/>
        <v>0.11</v>
      </c>
      <c r="AB166" s="136">
        <f t="shared" si="31"/>
        <v>0.11</v>
      </c>
      <c r="AC166" s="136">
        <f t="shared" si="31"/>
        <v>0.11</v>
      </c>
      <c r="AD166" s="136">
        <f t="shared" si="31"/>
        <v>0.11</v>
      </c>
      <c r="AE166" s="136">
        <f t="shared" si="31"/>
        <v>0.11</v>
      </c>
      <c r="AF166" s="136">
        <f t="shared" si="31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2"/>
        <v>0.1</v>
      </c>
      <c r="D167" s="136">
        <f t="shared" si="32"/>
        <v>0.1</v>
      </c>
      <c r="E167" s="136">
        <f t="shared" si="32"/>
        <v>0.1</v>
      </c>
      <c r="F167" s="136">
        <f t="shared" si="32"/>
        <v>0.1</v>
      </c>
      <c r="G167" s="136">
        <f t="shared" si="32"/>
        <v>0.1</v>
      </c>
      <c r="H167" s="136">
        <f t="shared" si="32"/>
        <v>0.1</v>
      </c>
      <c r="I167" s="136">
        <f t="shared" si="32"/>
        <v>0.1</v>
      </c>
      <c r="J167" s="136">
        <f t="shared" si="32"/>
        <v>0.1</v>
      </c>
      <c r="K167" s="136">
        <f t="shared" si="32"/>
        <v>0.1</v>
      </c>
      <c r="L167" s="136">
        <f t="shared" si="32"/>
        <v>0.1</v>
      </c>
      <c r="M167" s="136">
        <f t="shared" si="32"/>
        <v>0.1</v>
      </c>
      <c r="N167" s="136">
        <f t="shared" si="32"/>
        <v>0.1</v>
      </c>
      <c r="O167" s="136">
        <f t="shared" si="32"/>
        <v>0.1</v>
      </c>
      <c r="P167" s="136">
        <f t="shared" si="32"/>
        <v>0.1</v>
      </c>
      <c r="Q167" s="136">
        <f t="shared" si="32"/>
        <v>0.1</v>
      </c>
      <c r="R167" s="136">
        <f t="shared" si="27"/>
        <v>0.1</v>
      </c>
      <c r="S167" s="136">
        <f t="shared" si="27"/>
        <v>0.1</v>
      </c>
      <c r="T167" s="136">
        <f t="shared" si="27"/>
        <v>0.1</v>
      </c>
      <c r="U167" s="136">
        <f t="shared" si="27"/>
        <v>0.1</v>
      </c>
      <c r="V167" s="136">
        <f t="shared" si="27"/>
        <v>0.1</v>
      </c>
      <c r="W167" s="136">
        <f t="shared" si="27"/>
        <v>0.1</v>
      </c>
      <c r="X167" s="136">
        <f t="shared" si="31"/>
        <v>0.1</v>
      </c>
      <c r="Y167" s="136">
        <f t="shared" si="31"/>
        <v>0.1</v>
      </c>
      <c r="Z167" s="136">
        <f t="shared" si="31"/>
        <v>0.1</v>
      </c>
      <c r="AA167" s="136">
        <f t="shared" si="31"/>
        <v>0.1</v>
      </c>
      <c r="AB167" s="136">
        <f t="shared" si="31"/>
        <v>0.1</v>
      </c>
      <c r="AC167" s="136">
        <f t="shared" si="31"/>
        <v>0.1</v>
      </c>
      <c r="AD167" s="136">
        <f t="shared" si="31"/>
        <v>0.1</v>
      </c>
      <c r="AE167" s="136">
        <f t="shared" si="31"/>
        <v>0.1</v>
      </c>
      <c r="AF167" s="136">
        <f t="shared" si="31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2"/>
        <v>0.09</v>
      </c>
      <c r="D168" s="136">
        <f t="shared" si="32"/>
        <v>0.09</v>
      </c>
      <c r="E168" s="136">
        <f t="shared" si="32"/>
        <v>0.09</v>
      </c>
      <c r="F168" s="136">
        <f t="shared" si="32"/>
        <v>0.09</v>
      </c>
      <c r="G168" s="136">
        <f t="shared" si="32"/>
        <v>0.09</v>
      </c>
      <c r="H168" s="136">
        <f t="shared" si="32"/>
        <v>0.09</v>
      </c>
      <c r="I168" s="136">
        <f t="shared" si="32"/>
        <v>0.09</v>
      </c>
      <c r="J168" s="136">
        <f t="shared" si="32"/>
        <v>0.09</v>
      </c>
      <c r="K168" s="136">
        <f t="shared" si="32"/>
        <v>0.09</v>
      </c>
      <c r="L168" s="136">
        <f t="shared" si="32"/>
        <v>0.09</v>
      </c>
      <c r="M168" s="136">
        <f t="shared" si="32"/>
        <v>0.09</v>
      </c>
      <c r="N168" s="136">
        <f t="shared" si="32"/>
        <v>0.09</v>
      </c>
      <c r="O168" s="136">
        <f t="shared" si="32"/>
        <v>0.09</v>
      </c>
      <c r="P168" s="136">
        <f t="shared" si="32"/>
        <v>0.09</v>
      </c>
      <c r="Q168" s="136">
        <f t="shared" si="32"/>
        <v>0.09</v>
      </c>
      <c r="R168" s="136">
        <f t="shared" si="27"/>
        <v>0.09</v>
      </c>
      <c r="S168" s="136">
        <f t="shared" si="27"/>
        <v>0.09</v>
      </c>
      <c r="T168" s="136">
        <f t="shared" si="27"/>
        <v>0.09</v>
      </c>
      <c r="U168" s="136">
        <f t="shared" si="27"/>
        <v>0.09</v>
      </c>
      <c r="V168" s="136">
        <f t="shared" si="27"/>
        <v>0.09</v>
      </c>
      <c r="W168" s="136">
        <f t="shared" si="27"/>
        <v>0.09</v>
      </c>
      <c r="X168" s="136">
        <f t="shared" si="31"/>
        <v>0.09</v>
      </c>
      <c r="Y168" s="136">
        <f t="shared" si="31"/>
        <v>0.09</v>
      </c>
      <c r="Z168" s="136">
        <f t="shared" si="31"/>
        <v>0.09</v>
      </c>
      <c r="AA168" s="136">
        <f t="shared" si="31"/>
        <v>0.09</v>
      </c>
      <c r="AB168" s="136">
        <f t="shared" si="31"/>
        <v>0.09</v>
      </c>
      <c r="AC168" s="136">
        <f t="shared" si="31"/>
        <v>0.09</v>
      </c>
      <c r="AD168" s="136">
        <f t="shared" si="31"/>
        <v>0.09</v>
      </c>
      <c r="AE168" s="136">
        <f t="shared" si="31"/>
        <v>0.09</v>
      </c>
      <c r="AF168" s="136">
        <f t="shared" si="31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2"/>
        <v>0.04</v>
      </c>
      <c r="D169" s="136">
        <f t="shared" si="32"/>
        <v>0.04</v>
      </c>
      <c r="E169" s="136">
        <f t="shared" si="32"/>
        <v>0.04</v>
      </c>
      <c r="F169" s="136">
        <f t="shared" si="32"/>
        <v>0.04</v>
      </c>
      <c r="G169" s="136">
        <f t="shared" si="32"/>
        <v>0.04</v>
      </c>
      <c r="H169" s="136">
        <f t="shared" si="32"/>
        <v>0.04</v>
      </c>
      <c r="I169" s="136">
        <f t="shared" si="32"/>
        <v>0.04</v>
      </c>
      <c r="J169" s="136">
        <f t="shared" si="32"/>
        <v>0.04</v>
      </c>
      <c r="K169" s="136">
        <f t="shared" si="32"/>
        <v>0.04</v>
      </c>
      <c r="L169" s="136">
        <f t="shared" si="32"/>
        <v>0.04</v>
      </c>
      <c r="M169" s="136">
        <f t="shared" si="32"/>
        <v>0.04</v>
      </c>
      <c r="N169" s="136">
        <f t="shared" si="32"/>
        <v>0.04</v>
      </c>
      <c r="O169" s="136">
        <f t="shared" si="32"/>
        <v>0.04</v>
      </c>
      <c r="P169" s="136">
        <f t="shared" si="32"/>
        <v>0.04</v>
      </c>
      <c r="Q169" s="136">
        <f t="shared" si="32"/>
        <v>0.04</v>
      </c>
      <c r="R169" s="136">
        <f t="shared" si="27"/>
        <v>0.04</v>
      </c>
      <c r="S169" s="136">
        <f t="shared" si="27"/>
        <v>0.04</v>
      </c>
      <c r="T169" s="136">
        <f t="shared" si="27"/>
        <v>0.04</v>
      </c>
      <c r="U169" s="136">
        <f t="shared" si="27"/>
        <v>0.04</v>
      </c>
      <c r="V169" s="136">
        <f t="shared" si="27"/>
        <v>0.04</v>
      </c>
      <c r="W169" s="136">
        <f t="shared" si="27"/>
        <v>0.04</v>
      </c>
      <c r="X169" s="136">
        <f t="shared" si="31"/>
        <v>0.04</v>
      </c>
      <c r="Y169" s="136">
        <f t="shared" si="31"/>
        <v>0.04</v>
      </c>
      <c r="Z169" s="136">
        <f t="shared" si="31"/>
        <v>0.04</v>
      </c>
      <c r="AA169" s="136">
        <f t="shared" si="31"/>
        <v>0.04</v>
      </c>
      <c r="AB169" s="136">
        <f t="shared" si="31"/>
        <v>0.04</v>
      </c>
      <c r="AC169" s="136">
        <f t="shared" si="31"/>
        <v>0.04</v>
      </c>
      <c r="AD169" s="136">
        <f t="shared" si="31"/>
        <v>0.04</v>
      </c>
      <c r="AE169" s="136">
        <f t="shared" si="31"/>
        <v>0.04</v>
      </c>
      <c r="AF169" s="136">
        <f t="shared" si="31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2"/>
        <v>2.3E-2</v>
      </c>
      <c r="E170" s="136">
        <f t="shared" si="32"/>
        <v>2.3E-2</v>
      </c>
      <c r="F170" s="136">
        <f t="shared" si="32"/>
        <v>2.3E-2</v>
      </c>
      <c r="G170" s="136">
        <f t="shared" si="32"/>
        <v>2.3E-2</v>
      </c>
      <c r="H170" s="136">
        <f t="shared" si="32"/>
        <v>2.3E-2</v>
      </c>
      <c r="I170" s="136">
        <f t="shared" si="32"/>
        <v>2.3E-2</v>
      </c>
      <c r="J170" s="136">
        <f t="shared" si="32"/>
        <v>2.3E-2</v>
      </c>
      <c r="K170" s="136">
        <f t="shared" si="32"/>
        <v>2.3E-2</v>
      </c>
      <c r="L170" s="136">
        <f t="shared" si="32"/>
        <v>2.3E-2</v>
      </c>
      <c r="M170" s="136">
        <f t="shared" si="32"/>
        <v>2.3E-2</v>
      </c>
      <c r="N170" s="136">
        <f t="shared" si="32"/>
        <v>2.3E-2</v>
      </c>
      <c r="O170" s="136">
        <f t="shared" si="32"/>
        <v>2.3E-2</v>
      </c>
      <c r="P170" s="136">
        <f t="shared" si="32"/>
        <v>2.3E-2</v>
      </c>
      <c r="Q170" s="136">
        <f t="shared" si="32"/>
        <v>2.3E-2</v>
      </c>
      <c r="R170" s="136">
        <f t="shared" si="27"/>
        <v>2.3E-2</v>
      </c>
      <c r="S170" s="136">
        <f t="shared" si="27"/>
        <v>2.3E-2</v>
      </c>
      <c r="T170" s="136">
        <f t="shared" si="27"/>
        <v>2.3E-2</v>
      </c>
      <c r="U170" s="136">
        <f t="shared" si="27"/>
        <v>2.3E-2</v>
      </c>
      <c r="V170" s="136">
        <f t="shared" si="27"/>
        <v>2.3E-2</v>
      </c>
      <c r="W170" s="136">
        <f t="shared" si="27"/>
        <v>2.3E-2</v>
      </c>
      <c r="X170" s="136">
        <f t="shared" si="31"/>
        <v>2.3E-2</v>
      </c>
      <c r="Y170" s="136">
        <f t="shared" si="31"/>
        <v>2.3E-2</v>
      </c>
      <c r="Z170" s="136">
        <f t="shared" si="31"/>
        <v>2.3E-2</v>
      </c>
      <c r="AA170" s="136">
        <f t="shared" si="31"/>
        <v>2.3E-2</v>
      </c>
      <c r="AB170" s="136">
        <f t="shared" si="31"/>
        <v>2.3E-2</v>
      </c>
      <c r="AC170" s="136">
        <f t="shared" si="31"/>
        <v>2.3E-2</v>
      </c>
      <c r="AD170" s="136">
        <f t="shared" si="31"/>
        <v>2.3E-2</v>
      </c>
      <c r="AE170" s="136">
        <f t="shared" si="31"/>
        <v>2.3E-2</v>
      </c>
      <c r="AF170" s="136">
        <f t="shared" si="31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3">SUM(B89:B170)</f>
        <v>195.60600000000002</v>
      </c>
      <c r="C171" s="141">
        <f t="shared" si="33"/>
        <v>195.60600000000002</v>
      </c>
      <c r="D171" s="141">
        <f t="shared" si="33"/>
        <v>195.60600000000002</v>
      </c>
      <c r="E171" s="141">
        <f t="shared" si="33"/>
        <v>195.60600000000002</v>
      </c>
      <c r="F171" s="141">
        <f t="shared" si="33"/>
        <v>195.60600000000002</v>
      </c>
      <c r="G171" s="141">
        <f t="shared" si="33"/>
        <v>195.60600000000002</v>
      </c>
      <c r="H171" s="141">
        <f t="shared" si="33"/>
        <v>195.60600000000002</v>
      </c>
      <c r="I171" s="141">
        <f t="shared" si="33"/>
        <v>193.00600000000006</v>
      </c>
      <c r="J171" s="141">
        <f t="shared" si="33"/>
        <v>193.00600000000006</v>
      </c>
      <c r="K171" s="141">
        <f t="shared" si="33"/>
        <v>193.00600000000006</v>
      </c>
      <c r="L171" s="141">
        <f t="shared" si="33"/>
        <v>193.00600000000006</v>
      </c>
      <c r="M171" s="141">
        <f t="shared" si="33"/>
        <v>193.00600000000006</v>
      </c>
      <c r="N171" s="141">
        <f t="shared" si="33"/>
        <v>193.00600000000006</v>
      </c>
      <c r="O171" s="141">
        <f t="shared" si="33"/>
        <v>193.00600000000006</v>
      </c>
      <c r="P171" s="141">
        <f t="shared" si="33"/>
        <v>193.00600000000006</v>
      </c>
      <c r="Q171" s="141">
        <f t="shared" si="33"/>
        <v>193.00600000000006</v>
      </c>
      <c r="R171" s="141">
        <f t="shared" si="33"/>
        <v>193.00600000000006</v>
      </c>
      <c r="S171" s="141">
        <f t="shared" si="33"/>
        <v>193.00600000000006</v>
      </c>
      <c r="T171" s="141">
        <f t="shared" si="33"/>
        <v>193.00600000000006</v>
      </c>
      <c r="U171" s="141">
        <f t="shared" si="33"/>
        <v>193.00600000000006</v>
      </c>
      <c r="V171" s="141">
        <f t="shared" si="33"/>
        <v>193.00600000000006</v>
      </c>
      <c r="W171" s="141">
        <f t="shared" si="33"/>
        <v>193.00600000000006</v>
      </c>
      <c r="X171" s="141">
        <f t="shared" si="33"/>
        <v>193.00600000000006</v>
      </c>
      <c r="Y171" s="141">
        <f t="shared" si="33"/>
        <v>193.00600000000006</v>
      </c>
      <c r="Z171" s="141">
        <f t="shared" si="33"/>
        <v>193.00600000000006</v>
      </c>
      <c r="AA171" s="141">
        <f t="shared" si="33"/>
        <v>193.00600000000006</v>
      </c>
      <c r="AB171" s="141">
        <f t="shared" si="33"/>
        <v>193.00600000000006</v>
      </c>
      <c r="AC171" s="141">
        <f t="shared" si="33"/>
        <v>193.00600000000006</v>
      </c>
      <c r="AD171" s="141">
        <f t="shared" si="33"/>
        <v>193.00600000000006</v>
      </c>
      <c r="AE171" s="141">
        <f t="shared" si="33"/>
        <v>193.00600000000006</v>
      </c>
      <c r="AF171" s="141">
        <f t="shared" si="33"/>
        <v>193.00600000000006</v>
      </c>
      <c r="AG171" s="142">
        <f t="shared" si="33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4">B173</f>
        <v>0.3</v>
      </c>
      <c r="D173" s="143">
        <f t="shared" si="34"/>
        <v>0.3</v>
      </c>
      <c r="E173" s="143">
        <f t="shared" si="34"/>
        <v>0.3</v>
      </c>
      <c r="F173" s="143">
        <f t="shared" si="34"/>
        <v>0.3</v>
      </c>
      <c r="G173" s="143">
        <f t="shared" si="34"/>
        <v>0.3</v>
      </c>
      <c r="H173" s="143">
        <f t="shared" si="34"/>
        <v>0.3</v>
      </c>
      <c r="I173" s="143">
        <f t="shared" si="34"/>
        <v>0.3</v>
      </c>
      <c r="J173" s="143">
        <f t="shared" si="34"/>
        <v>0.3</v>
      </c>
      <c r="K173" s="143">
        <f t="shared" si="34"/>
        <v>0.3</v>
      </c>
      <c r="L173" s="143">
        <f t="shared" si="34"/>
        <v>0.3</v>
      </c>
      <c r="M173" s="143">
        <f t="shared" si="34"/>
        <v>0.3</v>
      </c>
      <c r="N173" s="143">
        <f t="shared" si="34"/>
        <v>0.3</v>
      </c>
      <c r="O173" s="143">
        <f t="shared" si="34"/>
        <v>0.3</v>
      </c>
      <c r="P173" s="143">
        <f t="shared" si="34"/>
        <v>0.3</v>
      </c>
      <c r="Q173" s="143">
        <f t="shared" si="34"/>
        <v>0.3</v>
      </c>
      <c r="R173" s="143">
        <f t="shared" si="34"/>
        <v>0.3</v>
      </c>
      <c r="S173" s="143">
        <f t="shared" ref="S173:AF178" si="35">R173</f>
        <v>0.3</v>
      </c>
      <c r="T173" s="143">
        <f t="shared" si="35"/>
        <v>0.3</v>
      </c>
      <c r="U173" s="143">
        <f t="shared" si="35"/>
        <v>0.3</v>
      </c>
      <c r="V173" s="143">
        <f t="shared" si="35"/>
        <v>0.3</v>
      </c>
      <c r="W173" s="143">
        <f t="shared" si="35"/>
        <v>0.3</v>
      </c>
      <c r="X173" s="143">
        <f t="shared" si="35"/>
        <v>0.3</v>
      </c>
      <c r="Y173" s="143">
        <f t="shared" si="35"/>
        <v>0.3</v>
      </c>
      <c r="Z173" s="143">
        <f t="shared" si="35"/>
        <v>0.3</v>
      </c>
      <c r="AA173" s="143">
        <f t="shared" si="35"/>
        <v>0.3</v>
      </c>
      <c r="AB173" s="143">
        <f t="shared" si="35"/>
        <v>0.3</v>
      </c>
      <c r="AC173" s="143">
        <f t="shared" si="35"/>
        <v>0.3</v>
      </c>
      <c r="AD173" s="143">
        <f t="shared" si="35"/>
        <v>0.3</v>
      </c>
      <c r="AE173" s="143">
        <f t="shared" si="35"/>
        <v>0.3</v>
      </c>
      <c r="AF173" s="143">
        <f t="shared" si="35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4"/>
        <v>0.4</v>
      </c>
      <c r="D174" s="136">
        <f t="shared" si="34"/>
        <v>0.4</v>
      </c>
      <c r="E174" s="136">
        <f t="shared" si="34"/>
        <v>0.4</v>
      </c>
      <c r="F174" s="136">
        <f t="shared" si="34"/>
        <v>0.4</v>
      </c>
      <c r="G174" s="136">
        <f t="shared" si="34"/>
        <v>0.4</v>
      </c>
      <c r="H174" s="136">
        <f t="shared" si="34"/>
        <v>0.4</v>
      </c>
      <c r="I174" s="136">
        <f t="shared" si="34"/>
        <v>0.4</v>
      </c>
      <c r="J174" s="136">
        <f t="shared" si="34"/>
        <v>0.4</v>
      </c>
      <c r="K174" s="136">
        <f t="shared" si="34"/>
        <v>0.4</v>
      </c>
      <c r="L174" s="136">
        <f t="shared" si="34"/>
        <v>0.4</v>
      </c>
      <c r="M174" s="136">
        <f t="shared" si="34"/>
        <v>0.4</v>
      </c>
      <c r="N174" s="136">
        <f t="shared" si="34"/>
        <v>0.4</v>
      </c>
      <c r="O174" s="136">
        <f t="shared" si="34"/>
        <v>0.4</v>
      </c>
      <c r="P174" s="136">
        <f t="shared" si="34"/>
        <v>0.4</v>
      </c>
      <c r="Q174" s="136">
        <f t="shared" si="34"/>
        <v>0.4</v>
      </c>
      <c r="R174" s="136">
        <f t="shared" si="34"/>
        <v>0.4</v>
      </c>
      <c r="S174" s="136">
        <f t="shared" si="35"/>
        <v>0.4</v>
      </c>
      <c r="T174" s="136">
        <f t="shared" si="35"/>
        <v>0.4</v>
      </c>
      <c r="U174" s="136">
        <f t="shared" si="35"/>
        <v>0.4</v>
      </c>
      <c r="V174" s="136">
        <f>U174</f>
        <v>0.4</v>
      </c>
      <c r="W174" s="136">
        <f>V174</f>
        <v>0.4</v>
      </c>
      <c r="X174" s="136">
        <f t="shared" si="35"/>
        <v>0.4</v>
      </c>
      <c r="Y174" s="136">
        <f t="shared" si="35"/>
        <v>0.4</v>
      </c>
      <c r="Z174" s="136">
        <f t="shared" si="35"/>
        <v>0.4</v>
      </c>
      <c r="AA174" s="136">
        <f t="shared" si="35"/>
        <v>0.4</v>
      </c>
      <c r="AB174" s="136">
        <f t="shared" si="35"/>
        <v>0.4</v>
      </c>
      <c r="AC174" s="136">
        <f t="shared" si="35"/>
        <v>0.4</v>
      </c>
      <c r="AD174" s="136">
        <f t="shared" si="35"/>
        <v>0.4</v>
      </c>
      <c r="AE174" s="136">
        <f t="shared" si="35"/>
        <v>0.4</v>
      </c>
      <c r="AF174" s="136">
        <f t="shared" si="35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4"/>
        <v>1.5</v>
      </c>
      <c r="D175" s="136">
        <f t="shared" si="34"/>
        <v>1.5</v>
      </c>
      <c r="E175" s="136">
        <f t="shared" si="34"/>
        <v>1.5</v>
      </c>
      <c r="F175" s="136">
        <f t="shared" si="34"/>
        <v>1.5</v>
      </c>
      <c r="G175" s="136">
        <f t="shared" si="34"/>
        <v>1.5</v>
      </c>
      <c r="H175" s="136">
        <f t="shared" si="34"/>
        <v>1.5</v>
      </c>
      <c r="I175" s="136">
        <f t="shared" si="34"/>
        <v>1.5</v>
      </c>
      <c r="J175" s="136">
        <f t="shared" si="34"/>
        <v>1.5</v>
      </c>
      <c r="K175" s="136">
        <f t="shared" si="34"/>
        <v>1.5</v>
      </c>
      <c r="L175" s="136">
        <f t="shared" si="34"/>
        <v>1.5</v>
      </c>
      <c r="M175" s="136">
        <f t="shared" si="34"/>
        <v>1.5</v>
      </c>
      <c r="N175" s="136">
        <f t="shared" si="34"/>
        <v>1.5</v>
      </c>
      <c r="O175" s="136">
        <f t="shared" si="34"/>
        <v>1.5</v>
      </c>
      <c r="P175" s="136">
        <f t="shared" si="34"/>
        <v>1.5</v>
      </c>
      <c r="Q175" s="136">
        <f t="shared" si="34"/>
        <v>1.5</v>
      </c>
      <c r="R175" s="136">
        <f t="shared" si="34"/>
        <v>1.5</v>
      </c>
      <c r="S175" s="136">
        <f t="shared" si="35"/>
        <v>1.5</v>
      </c>
      <c r="T175" s="136">
        <f t="shared" si="35"/>
        <v>1.5</v>
      </c>
      <c r="U175" s="136">
        <f t="shared" si="35"/>
        <v>1.5</v>
      </c>
      <c r="V175" s="136">
        <f t="shared" si="35"/>
        <v>1.5</v>
      </c>
      <c r="W175" s="136">
        <f t="shared" si="35"/>
        <v>1.5</v>
      </c>
      <c r="X175" s="136">
        <f t="shared" si="35"/>
        <v>1.5</v>
      </c>
      <c r="Y175" s="136">
        <f t="shared" si="35"/>
        <v>1.5</v>
      </c>
      <c r="Z175" s="136">
        <f t="shared" si="35"/>
        <v>1.5</v>
      </c>
      <c r="AA175" s="136">
        <f t="shared" si="35"/>
        <v>1.5</v>
      </c>
      <c r="AB175" s="136">
        <f t="shared" si="35"/>
        <v>1.5</v>
      </c>
      <c r="AC175" s="136">
        <f t="shared" si="35"/>
        <v>1.5</v>
      </c>
      <c r="AD175" s="136">
        <f t="shared" si="35"/>
        <v>1.5</v>
      </c>
      <c r="AE175" s="136">
        <f t="shared" si="35"/>
        <v>1.5</v>
      </c>
      <c r="AF175" s="136">
        <f t="shared" si="35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4"/>
        <v>0.3</v>
      </c>
      <c r="D176" s="136">
        <f t="shared" si="34"/>
        <v>0.3</v>
      </c>
      <c r="E176" s="136">
        <f t="shared" si="34"/>
        <v>0.3</v>
      </c>
      <c r="F176" s="136">
        <f t="shared" si="34"/>
        <v>0.3</v>
      </c>
      <c r="G176" s="136">
        <f t="shared" si="34"/>
        <v>0.3</v>
      </c>
      <c r="H176" s="136">
        <f t="shared" si="34"/>
        <v>0.3</v>
      </c>
      <c r="I176" s="136">
        <f t="shared" si="34"/>
        <v>0.3</v>
      </c>
      <c r="J176" s="136">
        <f t="shared" si="34"/>
        <v>0.3</v>
      </c>
      <c r="K176" s="136">
        <f t="shared" si="34"/>
        <v>0.3</v>
      </c>
      <c r="L176" s="136">
        <f t="shared" si="34"/>
        <v>0.3</v>
      </c>
      <c r="M176" s="136">
        <f t="shared" si="34"/>
        <v>0.3</v>
      </c>
      <c r="N176" s="136">
        <f t="shared" si="34"/>
        <v>0.3</v>
      </c>
      <c r="O176" s="136">
        <f t="shared" si="34"/>
        <v>0.3</v>
      </c>
      <c r="P176" s="136">
        <f t="shared" si="34"/>
        <v>0.3</v>
      </c>
      <c r="Q176" s="136">
        <f t="shared" si="34"/>
        <v>0.3</v>
      </c>
      <c r="R176" s="136">
        <f t="shared" si="34"/>
        <v>0.3</v>
      </c>
      <c r="S176" s="136">
        <f t="shared" si="35"/>
        <v>0.3</v>
      </c>
      <c r="T176" s="136">
        <f t="shared" si="35"/>
        <v>0.3</v>
      </c>
      <c r="U176" s="136">
        <f t="shared" si="35"/>
        <v>0.3</v>
      </c>
      <c r="V176" s="136">
        <f t="shared" si="35"/>
        <v>0.3</v>
      </c>
      <c r="W176" s="136">
        <f t="shared" si="35"/>
        <v>0.3</v>
      </c>
      <c r="X176" s="136">
        <f t="shared" si="35"/>
        <v>0.3</v>
      </c>
      <c r="Y176" s="136">
        <f t="shared" si="35"/>
        <v>0.3</v>
      </c>
      <c r="Z176" s="136">
        <f t="shared" si="35"/>
        <v>0.3</v>
      </c>
      <c r="AA176" s="136">
        <f t="shared" si="35"/>
        <v>0.3</v>
      </c>
      <c r="AB176" s="136">
        <f t="shared" si="35"/>
        <v>0.3</v>
      </c>
      <c r="AC176" s="136">
        <f t="shared" si="35"/>
        <v>0.3</v>
      </c>
      <c r="AD176" s="136">
        <f t="shared" si="35"/>
        <v>0.3</v>
      </c>
      <c r="AE176" s="136">
        <f t="shared" si="35"/>
        <v>0.3</v>
      </c>
      <c r="AF176" s="136">
        <f t="shared" si="35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4"/>
        <v>0.4</v>
      </c>
      <c r="D177" s="136">
        <f t="shared" si="34"/>
        <v>0.4</v>
      </c>
      <c r="E177" s="136">
        <f t="shared" si="34"/>
        <v>0.4</v>
      </c>
      <c r="F177" s="136">
        <f t="shared" si="34"/>
        <v>0.4</v>
      </c>
      <c r="G177" s="136">
        <f t="shared" si="34"/>
        <v>0.4</v>
      </c>
      <c r="H177" s="136">
        <f t="shared" si="34"/>
        <v>0.4</v>
      </c>
      <c r="I177" s="136">
        <f t="shared" si="34"/>
        <v>0.4</v>
      </c>
      <c r="J177" s="136">
        <f t="shared" si="34"/>
        <v>0.4</v>
      </c>
      <c r="K177" s="136">
        <f t="shared" si="34"/>
        <v>0.4</v>
      </c>
      <c r="L177" s="136">
        <f t="shared" si="34"/>
        <v>0.4</v>
      </c>
      <c r="M177" s="136">
        <f t="shared" si="34"/>
        <v>0.4</v>
      </c>
      <c r="N177" s="136">
        <f t="shared" si="34"/>
        <v>0.4</v>
      </c>
      <c r="O177" s="136">
        <f t="shared" si="34"/>
        <v>0.4</v>
      </c>
      <c r="P177" s="136">
        <f t="shared" si="34"/>
        <v>0.4</v>
      </c>
      <c r="Q177" s="136">
        <f t="shared" si="34"/>
        <v>0.4</v>
      </c>
      <c r="R177" s="136">
        <f t="shared" si="34"/>
        <v>0.4</v>
      </c>
      <c r="S177" s="136">
        <f t="shared" si="35"/>
        <v>0.4</v>
      </c>
      <c r="T177" s="136">
        <f t="shared" si="35"/>
        <v>0.4</v>
      </c>
      <c r="U177" s="136">
        <f t="shared" si="35"/>
        <v>0.4</v>
      </c>
      <c r="V177" s="136">
        <f t="shared" si="35"/>
        <v>0.4</v>
      </c>
      <c r="W177" s="136">
        <f t="shared" si="35"/>
        <v>0.4</v>
      </c>
      <c r="X177" s="136">
        <f t="shared" si="35"/>
        <v>0.4</v>
      </c>
      <c r="Y177" s="136">
        <f t="shared" si="35"/>
        <v>0.4</v>
      </c>
      <c r="Z177" s="136">
        <f t="shared" si="35"/>
        <v>0.4</v>
      </c>
      <c r="AA177" s="136">
        <f t="shared" si="35"/>
        <v>0.4</v>
      </c>
      <c r="AB177" s="136">
        <f t="shared" si="35"/>
        <v>0.4</v>
      </c>
      <c r="AC177" s="136">
        <f t="shared" si="35"/>
        <v>0.4</v>
      </c>
      <c r="AD177" s="136">
        <f t="shared" si="35"/>
        <v>0.4</v>
      </c>
      <c r="AE177" s="136">
        <f t="shared" si="35"/>
        <v>0.4</v>
      </c>
      <c r="AF177" s="136">
        <f t="shared" si="35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4"/>
        <v>0.64</v>
      </c>
      <c r="D178" s="146">
        <f t="shared" si="34"/>
        <v>0.64</v>
      </c>
      <c r="E178" s="146">
        <f t="shared" si="34"/>
        <v>0.64</v>
      </c>
      <c r="F178" s="146">
        <f t="shared" si="34"/>
        <v>0.64</v>
      </c>
      <c r="G178" s="146">
        <f t="shared" si="34"/>
        <v>0.64</v>
      </c>
      <c r="H178" s="146">
        <f t="shared" si="34"/>
        <v>0.64</v>
      </c>
      <c r="I178" s="146">
        <f t="shared" si="34"/>
        <v>0.64</v>
      </c>
      <c r="J178" s="146">
        <f t="shared" si="34"/>
        <v>0.64</v>
      </c>
      <c r="K178" s="146">
        <f t="shared" si="34"/>
        <v>0.64</v>
      </c>
      <c r="L178" s="146">
        <f t="shared" si="34"/>
        <v>0.64</v>
      </c>
      <c r="M178" s="146">
        <f t="shared" si="34"/>
        <v>0.64</v>
      </c>
      <c r="N178" s="146">
        <f t="shared" si="34"/>
        <v>0.64</v>
      </c>
      <c r="O178" s="146">
        <f t="shared" si="34"/>
        <v>0.64</v>
      </c>
      <c r="P178" s="146">
        <f t="shared" si="34"/>
        <v>0.64</v>
      </c>
      <c r="Q178" s="146">
        <f t="shared" si="34"/>
        <v>0.64</v>
      </c>
      <c r="R178" s="146">
        <f t="shared" si="34"/>
        <v>0.64</v>
      </c>
      <c r="S178" s="146">
        <f t="shared" si="35"/>
        <v>0.64</v>
      </c>
      <c r="T178" s="146">
        <f t="shared" si="35"/>
        <v>0.64</v>
      </c>
      <c r="U178" s="146">
        <f t="shared" si="35"/>
        <v>0.64</v>
      </c>
      <c r="V178" s="146">
        <f t="shared" si="35"/>
        <v>0.64</v>
      </c>
      <c r="W178" s="146">
        <f t="shared" si="35"/>
        <v>0.64</v>
      </c>
      <c r="X178" s="146">
        <f t="shared" si="35"/>
        <v>0.64</v>
      </c>
      <c r="Y178" s="146">
        <f t="shared" si="35"/>
        <v>0.64</v>
      </c>
      <c r="Z178" s="146">
        <f t="shared" si="35"/>
        <v>0.64</v>
      </c>
      <c r="AA178" s="146">
        <f t="shared" si="35"/>
        <v>0.64</v>
      </c>
      <c r="AB178" s="146">
        <f t="shared" si="35"/>
        <v>0.64</v>
      </c>
      <c r="AC178" s="146">
        <f t="shared" si="35"/>
        <v>0.64</v>
      </c>
      <c r="AD178" s="146">
        <f t="shared" si="35"/>
        <v>0.64</v>
      </c>
      <c r="AE178" s="146">
        <f t="shared" si="35"/>
        <v>0.64</v>
      </c>
      <c r="AF178" s="146">
        <f t="shared" si="35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6">SUM(C173:C178)</f>
        <v>3.54</v>
      </c>
      <c r="D179" s="149">
        <f t="shared" si="36"/>
        <v>3.54</v>
      </c>
      <c r="E179" s="149">
        <f t="shared" si="36"/>
        <v>3.54</v>
      </c>
      <c r="F179" s="149">
        <f t="shared" si="36"/>
        <v>3.54</v>
      </c>
      <c r="G179" s="149">
        <f t="shared" si="36"/>
        <v>3.54</v>
      </c>
      <c r="H179" s="149">
        <f t="shared" si="36"/>
        <v>3.54</v>
      </c>
      <c r="I179" s="149">
        <f t="shared" si="36"/>
        <v>3.54</v>
      </c>
      <c r="J179" s="149">
        <f t="shared" si="36"/>
        <v>3.54</v>
      </c>
      <c r="K179" s="149">
        <f t="shared" si="36"/>
        <v>3.54</v>
      </c>
      <c r="L179" s="149">
        <f>SUM(L173:L178)</f>
        <v>3.54</v>
      </c>
      <c r="M179" s="149">
        <f t="shared" ref="M179:R179" si="37">SUM(M173:M178)</f>
        <v>3.54</v>
      </c>
      <c r="N179" s="149">
        <f t="shared" si="37"/>
        <v>3.54</v>
      </c>
      <c r="O179" s="149">
        <f t="shared" si="37"/>
        <v>3.54</v>
      </c>
      <c r="P179" s="149">
        <f t="shared" si="37"/>
        <v>3.54</v>
      </c>
      <c r="Q179" s="149">
        <f t="shared" si="37"/>
        <v>3.54</v>
      </c>
      <c r="R179" s="149">
        <f t="shared" si="37"/>
        <v>3.54</v>
      </c>
      <c r="S179" s="149">
        <f>SUM(S173:S178)</f>
        <v>3.54</v>
      </c>
      <c r="T179" s="149">
        <f t="shared" ref="T179:AG179" si="38">SUM(T173:T178)</f>
        <v>3.54</v>
      </c>
      <c r="U179" s="149">
        <f t="shared" si="38"/>
        <v>3.54</v>
      </c>
      <c r="V179" s="149">
        <f t="shared" si="38"/>
        <v>3.54</v>
      </c>
      <c r="W179" s="149">
        <f t="shared" si="38"/>
        <v>3.54</v>
      </c>
      <c r="X179" s="149">
        <f t="shared" si="38"/>
        <v>3.54</v>
      </c>
      <c r="Y179" s="149">
        <f t="shared" si="38"/>
        <v>3.54</v>
      </c>
      <c r="Z179" s="149">
        <f t="shared" si="38"/>
        <v>3.54</v>
      </c>
      <c r="AA179" s="149">
        <f t="shared" si="38"/>
        <v>3.54</v>
      </c>
      <c r="AB179" s="149">
        <f t="shared" si="38"/>
        <v>3.54</v>
      </c>
      <c r="AC179" s="149">
        <f t="shared" si="38"/>
        <v>3.54</v>
      </c>
      <c r="AD179" s="149">
        <f t="shared" si="38"/>
        <v>3.54</v>
      </c>
      <c r="AE179" s="149">
        <f t="shared" si="38"/>
        <v>3.54</v>
      </c>
      <c r="AF179" s="149">
        <f t="shared" si="38"/>
        <v>3.54</v>
      </c>
      <c r="AG179" s="150">
        <f t="shared" si="38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1110.1399999999999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23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23)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23)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9">B65</f>
        <v>1034.94</v>
      </c>
      <c r="U193" s="173">
        <f t="shared" si="39"/>
        <v>1025.1400000000001</v>
      </c>
      <c r="V193" s="173">
        <f t="shared" si="39"/>
        <v>980.04</v>
      </c>
      <c r="W193" s="173">
        <f t="shared" si="39"/>
        <v>974.04</v>
      </c>
      <c r="X193" s="173">
        <f t="shared" si="39"/>
        <v>949.96</v>
      </c>
      <c r="Y193" s="173">
        <f t="shared" si="39"/>
        <v>919.44</v>
      </c>
      <c r="Z193" s="173">
        <f t="shared" si="39"/>
        <v>930.54</v>
      </c>
      <c r="AA193" s="173">
        <f t="shared" si="39"/>
        <v>950.99</v>
      </c>
      <c r="AB193" s="173">
        <f t="shared" si="39"/>
        <v>977.3900000000001</v>
      </c>
      <c r="AC193" s="173">
        <f t="shared" si="39"/>
        <v>1036.19</v>
      </c>
      <c r="AD193" s="173">
        <f t="shared" si="39"/>
        <v>1067.3799999999999</v>
      </c>
      <c r="AE193" s="173">
        <f t="shared" si="39"/>
        <v>1110.1399999999999</v>
      </c>
      <c r="AF193" s="173">
        <f t="shared" si="39"/>
        <v>1160.8400000000001</v>
      </c>
      <c r="AG193" s="173">
        <f t="shared" si="39"/>
        <v>1145.74</v>
      </c>
      <c r="AH193" s="173">
        <f t="shared" si="39"/>
        <v>1166.9399999999998</v>
      </c>
      <c r="AI193" s="173">
        <f t="shared" si="39"/>
        <v>1134.3400000000001</v>
      </c>
      <c r="AJ193" s="173">
        <f t="shared" si="39"/>
        <v>1108.8399999999999</v>
      </c>
      <c r="AK193" s="173">
        <f t="shared" si="39"/>
        <v>1160.3400000000001</v>
      </c>
      <c r="AL193" s="173">
        <f t="shared" si="39"/>
        <v>1110.3899999999999</v>
      </c>
      <c r="AM193" s="173">
        <f t="shared" si="39"/>
        <v>1011.2</v>
      </c>
      <c r="AN193" s="173">
        <f t="shared" si="39"/>
        <v>1018.96</v>
      </c>
      <c r="AO193" s="173">
        <f t="shared" si="39"/>
        <v>1010.01</v>
      </c>
      <c r="AP193" s="173">
        <f t="shared" si="39"/>
        <v>1053.44</v>
      </c>
      <c r="AQ193" s="173">
        <f t="shared" si="39"/>
        <v>1038.8000000000002</v>
      </c>
      <c r="AR193" s="173">
        <f t="shared" si="39"/>
        <v>1194.51</v>
      </c>
      <c r="AS193" s="173">
        <f t="shared" si="39"/>
        <v>1203.0100000000002</v>
      </c>
      <c r="AT193" s="173">
        <f t="shared" si="39"/>
        <v>1226.3400000000001</v>
      </c>
      <c r="AU193" s="173">
        <f t="shared" si="39"/>
        <v>1170.94</v>
      </c>
      <c r="AV193" s="173">
        <f t="shared" si="39"/>
        <v>1087.53</v>
      </c>
      <c r="AW193" s="173">
        <f t="shared" si="39"/>
        <v>1063.3400000000001</v>
      </c>
      <c r="AX193" s="173">
        <f t="shared" si="39"/>
        <v>1046.0100000000002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40">B178</f>
        <v>0.64</v>
      </c>
      <c r="C214" s="176">
        <f t="shared" si="40"/>
        <v>0.64</v>
      </c>
      <c r="D214" s="176">
        <f t="shared" si="40"/>
        <v>0.64</v>
      </c>
      <c r="E214" s="176">
        <f t="shared" si="40"/>
        <v>0.64</v>
      </c>
      <c r="F214" s="176">
        <f t="shared" si="40"/>
        <v>0.64</v>
      </c>
      <c r="G214" s="176">
        <f t="shared" si="40"/>
        <v>0.64</v>
      </c>
      <c r="H214" s="176">
        <f t="shared" si="40"/>
        <v>0.64</v>
      </c>
      <c r="I214" s="176">
        <f t="shared" si="40"/>
        <v>0.64</v>
      </c>
      <c r="J214" s="176">
        <f t="shared" si="40"/>
        <v>0.64</v>
      </c>
      <c r="K214" s="176">
        <f t="shared" si="40"/>
        <v>0.64</v>
      </c>
      <c r="L214" s="176">
        <f t="shared" si="40"/>
        <v>0.64</v>
      </c>
      <c r="M214" s="176">
        <f t="shared" si="40"/>
        <v>0.64</v>
      </c>
      <c r="N214" s="176">
        <f t="shared" si="40"/>
        <v>0.64</v>
      </c>
      <c r="O214" s="176">
        <f t="shared" si="40"/>
        <v>0.64</v>
      </c>
      <c r="P214" s="176">
        <f t="shared" si="40"/>
        <v>0.64</v>
      </c>
      <c r="Q214" s="176">
        <f t="shared" si="40"/>
        <v>0.64</v>
      </c>
      <c r="R214" s="176">
        <f t="shared" si="40"/>
        <v>0.64</v>
      </c>
      <c r="S214" s="176">
        <f t="shared" si="40"/>
        <v>0.64</v>
      </c>
      <c r="T214" s="176">
        <f t="shared" si="40"/>
        <v>0.64</v>
      </c>
      <c r="U214" s="176">
        <f t="shared" si="40"/>
        <v>0.64</v>
      </c>
      <c r="V214" s="176">
        <f t="shared" si="40"/>
        <v>0.64</v>
      </c>
      <c r="W214" s="176">
        <f t="shared" si="40"/>
        <v>0.64</v>
      </c>
      <c r="X214" s="176">
        <f t="shared" si="40"/>
        <v>0.64</v>
      </c>
      <c r="Y214" s="176">
        <f t="shared" si="40"/>
        <v>0.64</v>
      </c>
      <c r="Z214" s="176">
        <f t="shared" si="40"/>
        <v>0.64</v>
      </c>
      <c r="AA214" s="176">
        <f t="shared" si="40"/>
        <v>0.64</v>
      </c>
      <c r="AB214" s="176">
        <f t="shared" si="40"/>
        <v>0.64</v>
      </c>
      <c r="AC214" s="176">
        <f t="shared" si="40"/>
        <v>0.64</v>
      </c>
      <c r="AD214" s="176">
        <f t="shared" si="40"/>
        <v>0.64</v>
      </c>
      <c r="AE214" s="176">
        <f t="shared" si="40"/>
        <v>0.64</v>
      </c>
      <c r="AF214" s="176">
        <f t="shared" si="40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41">IF(C182&lt;100,"",C182-520)</f>
        <v/>
      </c>
      <c r="D215" s="120" t="str">
        <f t="shared" si="41"/>
        <v/>
      </c>
      <c r="E215" s="120" t="str">
        <f t="shared" si="41"/>
        <v/>
      </c>
      <c r="F215" s="120" t="str">
        <f t="shared" si="41"/>
        <v/>
      </c>
      <c r="G215" s="120" t="str">
        <f t="shared" si="41"/>
        <v/>
      </c>
      <c r="H215" s="120" t="str">
        <f t="shared" si="41"/>
        <v/>
      </c>
      <c r="I215" s="120" t="str">
        <f t="shared" si="41"/>
        <v/>
      </c>
      <c r="J215" s="120" t="str">
        <f t="shared" si="41"/>
        <v/>
      </c>
      <c r="K215" s="120" t="str">
        <f t="shared" si="41"/>
        <v/>
      </c>
      <c r="L215" s="120" t="str">
        <f t="shared" si="41"/>
        <v/>
      </c>
      <c r="M215" s="120" t="str">
        <f t="shared" si="41"/>
        <v/>
      </c>
      <c r="N215" s="120" t="str">
        <f t="shared" si="41"/>
        <v/>
      </c>
      <c r="O215" s="120" t="str">
        <f t="shared" si="41"/>
        <v/>
      </c>
      <c r="P215" s="120" t="str">
        <f t="shared" si="41"/>
        <v/>
      </c>
      <c r="Q215" s="120" t="str">
        <f t="shared" si="41"/>
        <v/>
      </c>
      <c r="R215" s="120" t="str">
        <f t="shared" si="41"/>
        <v/>
      </c>
      <c r="S215" s="120" t="str">
        <f t="shared" si="41"/>
        <v/>
      </c>
      <c r="T215" s="120" t="str">
        <f t="shared" si="41"/>
        <v/>
      </c>
      <c r="U215" s="120" t="str">
        <f t="shared" si="41"/>
        <v/>
      </c>
      <c r="V215" s="120" t="str">
        <f t="shared" si="41"/>
        <v/>
      </c>
      <c r="W215" s="120" t="str">
        <f t="shared" si="41"/>
        <v/>
      </c>
      <c r="X215" s="120" t="str">
        <f t="shared" si="41"/>
        <v/>
      </c>
      <c r="Y215" s="120" t="str">
        <f t="shared" si="41"/>
        <v/>
      </c>
      <c r="Z215" s="120" t="str">
        <f t="shared" si="41"/>
        <v/>
      </c>
      <c r="AA215" s="120" t="str">
        <f t="shared" si="41"/>
        <v/>
      </c>
      <c r="AB215" s="120" t="str">
        <f t="shared" si="41"/>
        <v/>
      </c>
      <c r="AC215" s="120" t="str">
        <f t="shared" si="41"/>
        <v/>
      </c>
      <c r="AD215" s="120" t="str">
        <f t="shared" si="41"/>
        <v/>
      </c>
      <c r="AE215" s="120" t="str">
        <f t="shared" si="41"/>
        <v/>
      </c>
      <c r="AF215" s="120" t="str">
        <f t="shared" si="41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2">IF(B183&lt;100,"",B183-620)</f>
        <v/>
      </c>
      <c r="C216" s="120" t="str">
        <f t="shared" si="42"/>
        <v/>
      </c>
      <c r="D216" s="120" t="str">
        <f t="shared" si="42"/>
        <v/>
      </c>
      <c r="E216" s="120" t="str">
        <f t="shared" si="42"/>
        <v/>
      </c>
      <c r="F216" s="120" t="str">
        <f t="shared" si="42"/>
        <v/>
      </c>
      <c r="G216" s="120" t="str">
        <f t="shared" si="42"/>
        <v/>
      </c>
      <c r="H216" s="120" t="str">
        <f t="shared" si="42"/>
        <v/>
      </c>
      <c r="I216" s="120" t="str">
        <f t="shared" si="42"/>
        <v/>
      </c>
      <c r="J216" s="120" t="str">
        <f t="shared" si="42"/>
        <v/>
      </c>
      <c r="K216" s="120" t="str">
        <f t="shared" si="42"/>
        <v/>
      </c>
      <c r="L216" s="120" t="str">
        <f t="shared" si="42"/>
        <v/>
      </c>
      <c r="M216" s="120" t="str">
        <f t="shared" si="42"/>
        <v/>
      </c>
      <c r="N216" s="120" t="str">
        <f t="shared" si="42"/>
        <v/>
      </c>
      <c r="O216" s="120" t="str">
        <f t="shared" si="42"/>
        <v/>
      </c>
      <c r="P216" s="120" t="str">
        <f t="shared" si="42"/>
        <v/>
      </c>
      <c r="Q216" s="120" t="str">
        <f t="shared" si="42"/>
        <v/>
      </c>
      <c r="R216" s="120" t="str">
        <f t="shared" si="42"/>
        <v/>
      </c>
      <c r="S216" s="120" t="str">
        <f t="shared" si="42"/>
        <v/>
      </c>
      <c r="T216" s="120" t="str">
        <f t="shared" si="42"/>
        <v/>
      </c>
      <c r="U216" s="120" t="str">
        <f t="shared" si="42"/>
        <v/>
      </c>
      <c r="V216" s="120" t="str">
        <f t="shared" si="42"/>
        <v/>
      </c>
      <c r="W216" s="120" t="str">
        <f t="shared" si="42"/>
        <v/>
      </c>
      <c r="X216" s="120" t="str">
        <f t="shared" si="42"/>
        <v/>
      </c>
      <c r="Y216" s="120" t="str">
        <f t="shared" si="42"/>
        <v/>
      </c>
      <c r="Z216" s="120" t="str">
        <f t="shared" si="42"/>
        <v/>
      </c>
      <c r="AA216" s="120" t="str">
        <f t="shared" si="42"/>
        <v/>
      </c>
      <c r="AB216" s="120" t="str">
        <f t="shared" si="42"/>
        <v/>
      </c>
      <c r="AC216" s="120" t="str">
        <f t="shared" si="42"/>
        <v/>
      </c>
      <c r="AD216" s="120" t="str">
        <f t="shared" si="42"/>
        <v/>
      </c>
      <c r="AE216" s="120" t="str">
        <f t="shared" si="42"/>
        <v/>
      </c>
      <c r="AF216" s="120" t="str">
        <f t="shared" si="42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3">IF(B184&lt;100,"",B184-330)</f>
        <v/>
      </c>
      <c r="C217" s="120" t="str">
        <f t="shared" si="43"/>
        <v/>
      </c>
      <c r="D217" s="120" t="str">
        <f t="shared" si="43"/>
        <v/>
      </c>
      <c r="E217" s="120" t="str">
        <f t="shared" si="43"/>
        <v/>
      </c>
      <c r="F217" s="120" t="str">
        <f t="shared" si="43"/>
        <v/>
      </c>
      <c r="G217" s="120" t="str">
        <f t="shared" si="43"/>
        <v/>
      </c>
      <c r="H217" s="120" t="str">
        <f t="shared" si="43"/>
        <v/>
      </c>
      <c r="I217" s="120" t="str">
        <f t="shared" si="43"/>
        <v/>
      </c>
      <c r="J217" s="120" t="str">
        <f t="shared" si="43"/>
        <v/>
      </c>
      <c r="K217" s="120" t="str">
        <f t="shared" si="43"/>
        <v/>
      </c>
      <c r="L217" s="120" t="str">
        <f t="shared" si="43"/>
        <v/>
      </c>
      <c r="M217" s="120" t="str">
        <f t="shared" si="43"/>
        <v/>
      </c>
      <c r="N217" s="120" t="str">
        <f t="shared" si="43"/>
        <v/>
      </c>
      <c r="O217" s="120" t="str">
        <f t="shared" si="43"/>
        <v/>
      </c>
      <c r="P217" s="120" t="str">
        <f t="shared" si="43"/>
        <v/>
      </c>
      <c r="Q217" s="120" t="str">
        <f t="shared" si="43"/>
        <v/>
      </c>
      <c r="R217" s="120" t="str">
        <f t="shared" si="43"/>
        <v/>
      </c>
      <c r="S217" s="120" t="str">
        <f t="shared" si="43"/>
        <v/>
      </c>
      <c r="T217" s="120" t="str">
        <f t="shared" si="43"/>
        <v/>
      </c>
      <c r="U217" s="120" t="str">
        <f t="shared" si="43"/>
        <v/>
      </c>
      <c r="V217" s="120" t="str">
        <f t="shared" si="43"/>
        <v/>
      </c>
      <c r="W217" s="120" t="str">
        <f t="shared" si="43"/>
        <v/>
      </c>
      <c r="X217" s="120" t="str">
        <f t="shared" si="43"/>
        <v/>
      </c>
      <c r="Y217" s="120" t="str">
        <f t="shared" si="43"/>
        <v/>
      </c>
      <c r="Z217" s="120" t="str">
        <f t="shared" si="43"/>
        <v/>
      </c>
      <c r="AA217" s="120" t="str">
        <f t="shared" si="43"/>
        <v/>
      </c>
      <c r="AB217" s="120" t="str">
        <f t="shared" si="43"/>
        <v/>
      </c>
      <c r="AC217" s="120" t="str">
        <f t="shared" si="43"/>
        <v/>
      </c>
      <c r="AD217" s="120" t="str">
        <f t="shared" si="43"/>
        <v/>
      </c>
      <c r="AE217" s="120" t="str">
        <f t="shared" si="43"/>
        <v/>
      </c>
      <c r="AF217" s="120" t="str">
        <f t="shared" si="43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4">IF(C185&lt;100,"",C185-1500)</f>
        <v/>
      </c>
      <c r="D218" s="120" t="str">
        <f t="shared" si="44"/>
        <v/>
      </c>
      <c r="E218" s="120" t="str">
        <f t="shared" si="44"/>
        <v/>
      </c>
      <c r="F218" s="120" t="str">
        <f t="shared" si="44"/>
        <v/>
      </c>
      <c r="G218" s="120" t="str">
        <f t="shared" si="44"/>
        <v/>
      </c>
      <c r="H218" s="120" t="str">
        <f t="shared" si="44"/>
        <v/>
      </c>
      <c r="I218" s="120" t="str">
        <f t="shared" si="44"/>
        <v/>
      </c>
      <c r="J218" s="120" t="str">
        <f t="shared" si="44"/>
        <v/>
      </c>
      <c r="K218" s="120" t="str">
        <f t="shared" si="44"/>
        <v/>
      </c>
      <c r="L218" s="120" t="str">
        <f t="shared" si="44"/>
        <v/>
      </c>
      <c r="M218" s="120" t="str">
        <f t="shared" si="44"/>
        <v/>
      </c>
      <c r="N218" s="120" t="str">
        <f t="shared" si="44"/>
        <v/>
      </c>
      <c r="O218" s="120" t="str">
        <f t="shared" si="44"/>
        <v/>
      </c>
      <c r="P218" s="120" t="str">
        <f t="shared" si="44"/>
        <v/>
      </c>
      <c r="Q218" s="120" t="str">
        <f t="shared" si="44"/>
        <v/>
      </c>
      <c r="R218" s="120" t="str">
        <f t="shared" si="44"/>
        <v/>
      </c>
      <c r="S218" s="120" t="str">
        <f t="shared" si="44"/>
        <v/>
      </c>
      <c r="T218" s="120" t="str">
        <f t="shared" si="44"/>
        <v/>
      </c>
      <c r="U218" s="120" t="str">
        <f t="shared" si="44"/>
        <v/>
      </c>
      <c r="V218" s="120" t="str">
        <f t="shared" si="44"/>
        <v/>
      </c>
      <c r="W218" s="120" t="str">
        <f t="shared" si="44"/>
        <v/>
      </c>
      <c r="X218" s="120" t="str">
        <f t="shared" si="44"/>
        <v/>
      </c>
      <c r="Y218" s="120" t="str">
        <f t="shared" si="44"/>
        <v/>
      </c>
      <c r="Z218" s="120" t="str">
        <f t="shared" si="44"/>
        <v/>
      </c>
      <c r="AA218" s="120" t="str">
        <f t="shared" si="44"/>
        <v/>
      </c>
      <c r="AB218" s="120" t="str">
        <f t="shared" si="44"/>
        <v/>
      </c>
      <c r="AC218" s="120" t="str">
        <f t="shared" si="44"/>
        <v/>
      </c>
      <c r="AD218" s="120" t="str">
        <f t="shared" si="44"/>
        <v/>
      </c>
      <c r="AE218" s="120" t="str">
        <f t="shared" si="44"/>
        <v/>
      </c>
      <c r="AF218" s="120" t="str">
        <f t="shared" si="44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28" priority="294">
      <formula>S$9&gt;=20/24</formula>
    </cfRule>
    <cfRule type="expression" dxfId="1927" priority="295">
      <formula>AND(S$9&gt;=14/24,S$9&lt;20/24)</formula>
    </cfRule>
    <cfRule type="expression" dxfId="1926" priority="296">
      <formula>AND(S$9&gt;=8/24,S$9&lt;14/24)</formula>
    </cfRule>
    <cfRule type="expression" dxfId="1925" priority="297">
      <formula>S$9&lt;8/24</formula>
    </cfRule>
  </conditionalFormatting>
  <conditionalFormatting sqref="B8:AF10 AA70:AF70 C70:Q70 L31:Q31 C47:AF47 C71:AF71 C72:Q72 C173:AF179 L29:Q29 N35:Q39 L34:Q34 L49:T50 R11:T11 C59:AF69 C48:K52 L32:Z33 S34:Z34 V35:Z35 U11:AF12 L44:AF46 AA72:AF79 C73:Z79 L51:O52 P51:Q58 AA48:AF58">
    <cfRule type="expression" dxfId="1924" priority="290">
      <formula>B$9&gt;=20/24</formula>
    </cfRule>
    <cfRule type="expression" dxfId="1923" priority="291">
      <formula>AND(B$9&gt;=14/24,B$9&lt;20/24)</formula>
    </cfRule>
    <cfRule type="expression" dxfId="1922" priority="292">
      <formula>AND(B$9&gt;=8/24,B$9&lt;14/24)</formula>
    </cfRule>
    <cfRule type="expression" dxfId="1921" priority="293">
      <formula>B$9&lt;8/24</formula>
    </cfRule>
  </conditionalFormatting>
  <conditionalFormatting sqref="B171:AF171">
    <cfRule type="expression" dxfId="1920" priority="286">
      <formula>B$9&gt;=20/24</formula>
    </cfRule>
    <cfRule type="expression" dxfId="1919" priority="287">
      <formula>AND(B$9&gt;=14/24,B$9&lt;20/24)</formula>
    </cfRule>
    <cfRule type="expression" dxfId="1918" priority="288">
      <formula>AND(B$9&gt;=8/24,B$9&lt;14/24)</formula>
    </cfRule>
    <cfRule type="expression" dxfId="1917" priority="289">
      <formula>B$9&lt;8/24</formula>
    </cfRule>
  </conditionalFormatting>
  <conditionalFormatting sqref="AL4:AL6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916" priority="281">
      <formula>L$9&gt;=20/24</formula>
    </cfRule>
    <cfRule type="expression" dxfId="1915" priority="282">
      <formula>AND(L$9&gt;=14/24,L$9&lt;20/24)</formula>
    </cfRule>
    <cfRule type="expression" dxfId="1914" priority="283">
      <formula>AND(L$9&gt;=8/24,L$9&lt;14/24)</formula>
    </cfRule>
    <cfRule type="expression" dxfId="1913" priority="284">
      <formula>L$9&lt;8/24</formula>
    </cfRule>
  </conditionalFormatting>
  <conditionalFormatting sqref="L35:M35">
    <cfRule type="expression" dxfId="1912" priority="277">
      <formula>L$9&gt;=20/24</formula>
    </cfRule>
    <cfRule type="expression" dxfId="1911" priority="278">
      <formula>AND(L$9&gt;=14/24,L$9&lt;20/24)</formula>
    </cfRule>
    <cfRule type="expression" dxfId="1910" priority="279">
      <formula>AND(L$9&gt;=8/24,L$9&lt;14/24)</formula>
    </cfRule>
    <cfRule type="expression" dxfId="1909" priority="280">
      <formula>L$9&lt;8/24</formula>
    </cfRule>
  </conditionalFormatting>
  <conditionalFormatting sqref="U13:AF13">
    <cfRule type="expression" dxfId="1908" priority="273">
      <formula>U$9&gt;=20/24</formula>
    </cfRule>
    <cfRule type="expression" dxfId="1907" priority="274">
      <formula>AND(U$9&gt;=14/24,U$9&lt;20/24)</formula>
    </cfRule>
    <cfRule type="expression" dxfId="1906" priority="275">
      <formula>AND(U$9&gt;=8/24,U$9&lt;14/24)</formula>
    </cfRule>
    <cfRule type="expression" dxfId="1905" priority="276">
      <formula>U$9&lt;8/24</formula>
    </cfRule>
  </conditionalFormatting>
  <conditionalFormatting sqref="R31:Z31">
    <cfRule type="expression" dxfId="1904" priority="269">
      <formula>R$9&gt;=20/24</formula>
    </cfRule>
    <cfRule type="expression" dxfId="1903" priority="270">
      <formula>AND(R$9&gt;=14/24,R$9&lt;20/24)</formula>
    </cfRule>
    <cfRule type="expression" dxfId="1902" priority="271">
      <formula>AND(R$9&gt;=8/24,R$9&lt;14/24)</formula>
    </cfRule>
    <cfRule type="expression" dxfId="1901" priority="272">
      <formula>R$9&lt;8/24</formula>
    </cfRule>
  </conditionalFormatting>
  <conditionalFormatting sqref="R48:Z48">
    <cfRule type="expression" dxfId="1900" priority="265">
      <formula>R$9&gt;=20/24</formula>
    </cfRule>
    <cfRule type="expression" dxfId="1899" priority="266">
      <formula>AND(R$9&gt;=14/24,R$9&lt;20/24)</formula>
    </cfRule>
    <cfRule type="expression" dxfId="1898" priority="267">
      <formula>AND(R$9&gt;=8/24,R$9&lt;14/24)</formula>
    </cfRule>
    <cfRule type="expression" dxfId="1897" priority="268">
      <formula>R$9&lt;8/24</formula>
    </cfRule>
  </conditionalFormatting>
  <conditionalFormatting sqref="R70:Z70">
    <cfRule type="expression" dxfId="1896" priority="261">
      <formula>R$9&gt;=20/24</formula>
    </cfRule>
    <cfRule type="expression" dxfId="1895" priority="262">
      <formula>AND(R$9&gt;=14/24,R$9&lt;20/24)</formula>
    </cfRule>
    <cfRule type="expression" dxfId="1894" priority="263">
      <formula>AND(R$9&gt;=8/24,R$9&lt;14/24)</formula>
    </cfRule>
    <cfRule type="expression" dxfId="1893" priority="264">
      <formula>R$9&lt;8/24</formula>
    </cfRule>
  </conditionalFormatting>
  <conditionalFormatting sqref="R72:Z72">
    <cfRule type="expression" dxfId="1892" priority="257">
      <formula>R$9&gt;=20/24</formula>
    </cfRule>
    <cfRule type="expression" dxfId="1891" priority="258">
      <formula>AND(R$9&gt;=14/24,R$9&lt;20/24)</formula>
    </cfRule>
    <cfRule type="expression" dxfId="1890" priority="259">
      <formula>AND(R$9&gt;=8/24,R$9&lt;14/24)</formula>
    </cfRule>
    <cfRule type="expression" dxfId="1889" priority="260">
      <formula>R$9&lt;8/24</formula>
    </cfRule>
  </conditionalFormatting>
  <conditionalFormatting sqref="L11:Q27 AA22:AF26">
    <cfRule type="expression" dxfId="1888" priority="253">
      <formula>L$9&gt;=20/24</formula>
    </cfRule>
    <cfRule type="expression" dxfId="1887" priority="254">
      <formula>AND(L$9&gt;=14/24,L$9&lt;20/24)</formula>
    </cfRule>
    <cfRule type="expression" dxfId="1886" priority="255">
      <formula>AND(L$9&gt;=8/24,L$9&lt;14/24)</formula>
    </cfRule>
    <cfRule type="expression" dxfId="1885" priority="256">
      <formula>L$9&lt;8/24</formula>
    </cfRule>
  </conditionalFormatting>
  <conditionalFormatting sqref="L40:Q40">
    <cfRule type="expression" dxfId="1884" priority="249">
      <formula>L$9&gt;=20/24</formula>
    </cfRule>
    <cfRule type="expression" dxfId="1883" priority="250">
      <formula>AND(L$9&gt;=14/24,L$9&lt;20/24)</formula>
    </cfRule>
    <cfRule type="expression" dxfId="1882" priority="251">
      <formula>AND(L$9&gt;=8/24,L$9&lt;14/24)</formula>
    </cfRule>
    <cfRule type="expression" dxfId="1881" priority="252">
      <formula>L$9&lt;8/24</formula>
    </cfRule>
  </conditionalFormatting>
  <conditionalFormatting sqref="N38:Q38 L36:M39 M37:N37">
    <cfRule type="expression" dxfId="1880" priority="245">
      <formula>L$9&gt;=20/24</formula>
    </cfRule>
    <cfRule type="expression" dxfId="1879" priority="246">
      <formula>AND(L$9&gt;=14/24,L$9&lt;20/24)</formula>
    </cfRule>
    <cfRule type="expression" dxfId="1878" priority="247">
      <formula>AND(L$9&gt;=8/24,L$9&lt;14/24)</formula>
    </cfRule>
    <cfRule type="expression" dxfId="1877" priority="248">
      <formula>L$9&lt;8/24</formula>
    </cfRule>
  </conditionalFormatting>
  <conditionalFormatting sqref="R29:T29 V29:AD29">
    <cfRule type="expression" dxfId="1876" priority="241">
      <formula>R$9&gt;=20/24</formula>
    </cfRule>
    <cfRule type="expression" dxfId="1875" priority="242">
      <formula>AND(R$9&gt;=14/24,R$9&lt;20/24)</formula>
    </cfRule>
    <cfRule type="expression" dxfId="1874" priority="243">
      <formula>AND(R$9&gt;=8/24,R$9&lt;14/24)</formula>
    </cfRule>
    <cfRule type="expression" dxfId="1873" priority="244">
      <formula>R$9&lt;8/24</formula>
    </cfRule>
  </conditionalFormatting>
  <conditionalFormatting sqref="R12:T19 AA20:AF27 U14:AF19">
    <cfRule type="expression" dxfId="1872" priority="237">
      <formula>R$9&gt;=20/24</formula>
    </cfRule>
    <cfRule type="expression" dxfId="1871" priority="238">
      <formula>AND(R$9&gt;=14/24,R$9&lt;20/24)</formula>
    </cfRule>
    <cfRule type="expression" dxfId="1870" priority="239">
      <formula>AND(R$9&gt;=8/24,R$9&lt;14/24)</formula>
    </cfRule>
    <cfRule type="expression" dxfId="1869" priority="240">
      <formula>R$9&lt;8/24</formula>
    </cfRule>
  </conditionalFormatting>
  <conditionalFormatting sqref="R34:R39 S35:U39 V36:Z39 AA37:AF39">
    <cfRule type="expression" dxfId="1868" priority="233">
      <formula>R$9&gt;=20/24</formula>
    </cfRule>
    <cfRule type="expression" dxfId="1867" priority="234">
      <formula>AND(R$9&gt;=14/24,R$9&lt;20/24)</formula>
    </cfRule>
    <cfRule type="expression" dxfId="1866" priority="235">
      <formula>AND(R$9&gt;=8/24,R$9&lt;14/24)</formula>
    </cfRule>
    <cfRule type="expression" dxfId="1865" priority="236">
      <formula>R$9&lt;8/24</formula>
    </cfRule>
  </conditionalFormatting>
  <conditionalFormatting sqref="R40:AF40">
    <cfRule type="expression" dxfId="1864" priority="229">
      <formula>R$9&gt;=20/24</formula>
    </cfRule>
    <cfRule type="expression" dxfId="1863" priority="230">
      <formula>AND(R$9&gt;=14/24,R$9&lt;20/24)</formula>
    </cfRule>
    <cfRule type="expression" dxfId="1862" priority="231">
      <formula>AND(R$9&gt;=8/24,R$9&lt;14/24)</formula>
    </cfRule>
    <cfRule type="expression" dxfId="1861" priority="232">
      <formula>R$9&lt;8/24</formula>
    </cfRule>
  </conditionalFormatting>
  <conditionalFormatting sqref="R41:AF41">
    <cfRule type="expression" dxfId="1860" priority="225">
      <formula>R$9&gt;=20/24</formula>
    </cfRule>
    <cfRule type="expression" dxfId="1859" priority="226">
      <formula>AND(R$9&gt;=14/24,R$9&lt;20/24)</formula>
    </cfRule>
    <cfRule type="expression" dxfId="1858" priority="227">
      <formula>AND(R$9&gt;=8/24,R$9&lt;14/24)</formula>
    </cfRule>
    <cfRule type="expression" dxfId="1857" priority="228">
      <formula>R$9&lt;8/24</formula>
    </cfRule>
  </conditionalFormatting>
  <conditionalFormatting sqref="R51:U51 S52:S53">
    <cfRule type="expression" dxfId="1856" priority="221">
      <formula>R$9&gt;=20/24</formula>
    </cfRule>
    <cfRule type="expression" dxfId="1855" priority="222">
      <formula>AND(R$9&gt;=14/24,R$9&lt;20/24)</formula>
    </cfRule>
    <cfRule type="expression" dxfId="1854" priority="223">
      <formula>AND(R$9&gt;=8/24,R$9&lt;14/24)</formula>
    </cfRule>
    <cfRule type="expression" dxfId="1853" priority="224">
      <formula>R$9&lt;8/24</formula>
    </cfRule>
  </conditionalFormatting>
  <conditionalFormatting sqref="AB83:AF86">
    <cfRule type="expression" dxfId="1852" priority="217">
      <formula>AB$9&gt;=20/24</formula>
    </cfRule>
    <cfRule type="expression" dxfId="1851" priority="218">
      <formula>AND(AB$9&gt;=14/24,AB$9&lt;20/24)</formula>
    </cfRule>
    <cfRule type="expression" dxfId="1850" priority="219">
      <formula>AND(AB$9&gt;=8/24,AB$9&lt;14/24)</formula>
    </cfRule>
    <cfRule type="expression" dxfId="1849" priority="220">
      <formula>AB$9&lt;8/24</formula>
    </cfRule>
  </conditionalFormatting>
  <conditionalFormatting sqref="C53:O58">
    <cfRule type="expression" dxfId="1848" priority="213">
      <formula>C$9&gt;=20/24</formula>
    </cfRule>
    <cfRule type="expression" dxfId="1847" priority="214">
      <formula>AND(C$9&gt;=14/24,C$9&lt;20/24)</formula>
    </cfRule>
    <cfRule type="expression" dxfId="1846" priority="215">
      <formula>AND(C$9&gt;=8/24,C$9&lt;14/24)</formula>
    </cfRule>
    <cfRule type="expression" dxfId="1845" priority="216">
      <formula>C$9&lt;8/24</formula>
    </cfRule>
  </conditionalFormatting>
  <conditionalFormatting sqref="C83:K86">
    <cfRule type="expression" dxfId="1844" priority="209">
      <formula>C$9&gt;=20/24</formula>
    </cfRule>
    <cfRule type="expression" dxfId="1843" priority="210">
      <formula>AND(C$9&gt;=14/24,C$9&lt;20/24)</formula>
    </cfRule>
    <cfRule type="expression" dxfId="1842" priority="211">
      <formula>AND(C$9&gt;=8/24,C$9&lt;14/24)</formula>
    </cfRule>
    <cfRule type="expression" dxfId="1841" priority="212">
      <formula>C$9&lt;8/24</formula>
    </cfRule>
  </conditionalFormatting>
  <conditionalFormatting sqref="L83:Q86">
    <cfRule type="expression" dxfId="1840" priority="205">
      <formula>L$9&gt;=20/24</formula>
    </cfRule>
    <cfRule type="expression" dxfId="1839" priority="206">
      <formula>AND(L$9&gt;=14/24,L$9&lt;20/24)</formula>
    </cfRule>
    <cfRule type="expression" dxfId="1838" priority="207">
      <formula>AND(L$9&gt;=8/24,L$9&lt;14/24)</formula>
    </cfRule>
    <cfRule type="expression" dxfId="1837" priority="208">
      <formula>L$9&lt;8/24</formula>
    </cfRule>
  </conditionalFormatting>
  <conditionalFormatting sqref="R83:Y86">
    <cfRule type="expression" dxfId="1836" priority="201">
      <formula>R$9&gt;=20/24</formula>
    </cfRule>
    <cfRule type="expression" dxfId="1835" priority="202">
      <formula>AND(R$9&gt;=14/24,R$9&lt;20/24)</formula>
    </cfRule>
    <cfRule type="expression" dxfId="1834" priority="203">
      <formula>AND(R$9&gt;=8/24,R$9&lt;14/24)</formula>
    </cfRule>
    <cfRule type="expression" dxfId="1833" priority="204">
      <formula>R$9&lt;8/24</formula>
    </cfRule>
  </conditionalFormatting>
  <conditionalFormatting sqref="AG42 H36:J36 C42:AF47 D31:J35 K31:K36 C30:AF30 L20:Q27 C28:Q28 C29:T29 V29:AF29 AA20:AF28 R41:AF41 L11:AF19 L31:AF40">
    <cfRule type="expression" dxfId="1832" priority="200">
      <formula>C11&gt;$AG11</formula>
    </cfRule>
  </conditionalFormatting>
  <conditionalFormatting sqref="T192:AX192">
    <cfRule type="expression" dxfId="1831" priority="196">
      <formula>T$9&gt;=20/24</formula>
    </cfRule>
    <cfRule type="expression" dxfId="1830" priority="197">
      <formula>AND(T$9&gt;=14/24,T$9&lt;20/24)</formula>
    </cfRule>
    <cfRule type="expression" dxfId="1829" priority="198">
      <formula>AND(T$9&gt;=8/24,T$9&lt;14/24)</formula>
    </cfRule>
    <cfRule type="expression" dxfId="1828" priority="199">
      <formula>T$9&lt;8/24</formula>
    </cfRule>
  </conditionalFormatting>
  <conditionalFormatting sqref="A11:A86 A88:A180">
    <cfRule type="expression" dxfId="1827" priority="195">
      <formula>$AH11=0</formula>
    </cfRule>
  </conditionalFormatting>
  <conditionalFormatting sqref="AB87:AF87">
    <cfRule type="expression" dxfId="1826" priority="191">
      <formula>AB$9&gt;=20/24</formula>
    </cfRule>
    <cfRule type="expression" dxfId="1825" priority="192">
      <formula>AND(AB$9&gt;=14/24,AB$9&lt;20/24)</formula>
    </cfRule>
    <cfRule type="expression" dxfId="1824" priority="193">
      <formula>AND(AB$9&gt;=8/24,AB$9&lt;14/24)</formula>
    </cfRule>
    <cfRule type="expression" dxfId="1823" priority="194">
      <formula>AB$9&lt;8/24</formula>
    </cfRule>
  </conditionalFormatting>
  <conditionalFormatting sqref="C87:K87">
    <cfRule type="expression" dxfId="1822" priority="187">
      <formula>C$9&gt;=20/24</formula>
    </cfRule>
    <cfRule type="expression" dxfId="1821" priority="188">
      <formula>AND(C$9&gt;=14/24,C$9&lt;20/24)</formula>
    </cfRule>
    <cfRule type="expression" dxfId="1820" priority="189">
      <formula>AND(C$9&gt;=8/24,C$9&lt;14/24)</formula>
    </cfRule>
    <cfRule type="expression" dxfId="1819" priority="190">
      <formula>C$9&lt;8/24</formula>
    </cfRule>
  </conditionalFormatting>
  <conditionalFormatting sqref="L87:Q87">
    <cfRule type="expression" dxfId="1818" priority="183">
      <formula>L$9&gt;=20/24</formula>
    </cfRule>
    <cfRule type="expression" dxfId="1817" priority="184">
      <formula>AND(L$9&gt;=14/24,L$9&lt;20/24)</formula>
    </cfRule>
    <cfRule type="expression" dxfId="1816" priority="185">
      <formula>AND(L$9&gt;=8/24,L$9&lt;14/24)</formula>
    </cfRule>
    <cfRule type="expression" dxfId="1815" priority="186">
      <formula>L$9&lt;8/24</formula>
    </cfRule>
  </conditionalFormatting>
  <conditionalFormatting sqref="R87:Z87">
    <cfRule type="expression" dxfId="1814" priority="179">
      <formula>R$9&gt;=20/24</formula>
    </cfRule>
    <cfRule type="expression" dxfId="1813" priority="180">
      <formula>AND(R$9&gt;=14/24,R$9&lt;20/24)</formula>
    </cfRule>
    <cfRule type="expression" dxfId="1812" priority="181">
      <formula>AND(R$9&gt;=8/24,R$9&lt;14/24)</formula>
    </cfRule>
    <cfRule type="expression" dxfId="1811" priority="182">
      <formula>R$9&lt;8/24</formula>
    </cfRule>
  </conditionalFormatting>
  <conditionalFormatting sqref="A87">
    <cfRule type="expression" dxfId="1810" priority="178">
      <formula>$AH87=0</formula>
    </cfRule>
  </conditionalFormatting>
  <conditionalFormatting sqref="C28:Q28 AA28:AF28">
    <cfRule type="expression" dxfId="1809" priority="174">
      <formula>C$9&gt;=20/24</formula>
    </cfRule>
    <cfRule type="expression" dxfId="1808" priority="175">
      <formula>AND(C$9&gt;=14/24,C$9&lt;20/24)</formula>
    </cfRule>
    <cfRule type="expression" dxfId="1807" priority="176">
      <formula>AND(C$9&gt;=8/24,C$9&lt;14/24)</formula>
    </cfRule>
    <cfRule type="expression" dxfId="1806" priority="177">
      <formula>C$9&lt;8/24</formula>
    </cfRule>
  </conditionalFormatting>
  <conditionalFormatting sqref="AA28:AF28">
    <cfRule type="expression" dxfId="1805" priority="170">
      <formula>AA$9&gt;=20/24</formula>
    </cfRule>
    <cfRule type="expression" dxfId="1804" priority="171">
      <formula>AND(AA$9&gt;=14/24,AA$9&lt;20/24)</formula>
    </cfRule>
    <cfRule type="expression" dxfId="1803" priority="172">
      <formula>AND(AA$9&gt;=8/24,AA$9&lt;14/24)</formula>
    </cfRule>
    <cfRule type="expression" dxfId="1802" priority="173">
      <formula>AA$9&lt;8/24</formula>
    </cfRule>
  </conditionalFormatting>
  <conditionalFormatting sqref="B59:B79 B44:B51">
    <cfRule type="expression" dxfId="1801" priority="166">
      <formula>B$9&gt;=20/24</formula>
    </cfRule>
    <cfRule type="expression" dxfId="1800" priority="167">
      <formula>AND(B$9&gt;=14/24,B$9&lt;20/24)</formula>
    </cfRule>
    <cfRule type="expression" dxfId="1799" priority="168">
      <formula>AND(B$9&gt;=8/24,B$9&lt;14/24)</formula>
    </cfRule>
    <cfRule type="expression" dxfId="1798" priority="169">
      <formula>B$9&lt;8/24</formula>
    </cfRule>
  </conditionalFormatting>
  <conditionalFormatting sqref="B14:K27">
    <cfRule type="expression" dxfId="1797" priority="162">
      <formula>B$9&gt;=20/24</formula>
    </cfRule>
    <cfRule type="expression" dxfId="1796" priority="163">
      <formula>AND(B$9&gt;=14/24,B$9&lt;20/24)</formula>
    </cfRule>
    <cfRule type="expression" dxfId="1795" priority="164">
      <formula>AND(B$9&gt;=8/24,B$9&lt;14/24)</formula>
    </cfRule>
    <cfRule type="expression" dxfId="1794" priority="165">
      <formula>B$9&lt;8/24</formula>
    </cfRule>
  </conditionalFormatting>
  <conditionalFormatting sqref="B14:K27">
    <cfRule type="expression" dxfId="1793" priority="158">
      <formula>B$9&gt;=20/24</formula>
    </cfRule>
    <cfRule type="expression" dxfId="1792" priority="159">
      <formula>AND(B$9&gt;=14/24,B$9&lt;20/24)</formula>
    </cfRule>
    <cfRule type="expression" dxfId="1791" priority="160">
      <formula>AND(B$9&gt;=8/24,B$9&lt;14/24)</formula>
    </cfRule>
    <cfRule type="expression" dxfId="1790" priority="161">
      <formula>B$9&lt;8/24</formula>
    </cfRule>
  </conditionalFormatting>
  <conditionalFormatting sqref="B52:B58">
    <cfRule type="expression" dxfId="1789" priority="154">
      <formula>B$9&gt;=20/24</formula>
    </cfRule>
    <cfRule type="expression" dxfId="1788" priority="155">
      <formula>AND(B$9&gt;=14/24,B$9&lt;20/24)</formula>
    </cfRule>
    <cfRule type="expression" dxfId="1787" priority="156">
      <formula>AND(B$9&gt;=8/24,B$9&lt;14/24)</formula>
    </cfRule>
    <cfRule type="expression" dxfId="1786" priority="157">
      <formula>B$9&lt;8/24</formula>
    </cfRule>
  </conditionalFormatting>
  <conditionalFormatting sqref="B83:B86">
    <cfRule type="expression" dxfId="1785" priority="150">
      <formula>B$9&gt;=20/24</formula>
    </cfRule>
    <cfRule type="expression" dxfId="1784" priority="151">
      <formula>AND(B$9&gt;=14/24,B$9&lt;20/24)</formula>
    </cfRule>
    <cfRule type="expression" dxfId="1783" priority="152">
      <formula>AND(B$9&gt;=8/24,B$9&lt;14/24)</formula>
    </cfRule>
    <cfRule type="expression" dxfId="1782" priority="153">
      <formula>B$9&lt;8/24</formula>
    </cfRule>
  </conditionalFormatting>
  <conditionalFormatting sqref="B11:B47 D36:G36 C31:C41 B14:I14 C11:K27 D41:Q41 D37:K40">
    <cfRule type="expression" dxfId="1781" priority="149">
      <formula>B11&gt;$AG11</formula>
    </cfRule>
  </conditionalFormatting>
  <conditionalFormatting sqref="B87">
    <cfRule type="expression" dxfId="1780" priority="145">
      <formula>B$9&gt;=20/24</formula>
    </cfRule>
    <cfRule type="expression" dxfId="1779" priority="146">
      <formula>AND(B$9&gt;=14/24,B$9&lt;20/24)</formula>
    </cfRule>
    <cfRule type="expression" dxfId="1778" priority="147">
      <formula>AND(B$9&gt;=8/24,B$9&lt;14/24)</formula>
    </cfRule>
    <cfRule type="expression" dxfId="1777" priority="148">
      <formula>B$9&lt;8/24</formula>
    </cfRule>
  </conditionalFormatting>
  <conditionalFormatting sqref="B28">
    <cfRule type="expression" dxfId="1776" priority="141">
      <formula>B$9&gt;=20/24</formula>
    </cfRule>
    <cfRule type="expression" dxfId="1775" priority="142">
      <formula>AND(B$9&gt;=14/24,B$9&lt;20/24)</formula>
    </cfRule>
    <cfRule type="expression" dxfId="1774" priority="143">
      <formula>AND(B$9&gt;=8/24,B$9&lt;14/24)</formula>
    </cfRule>
    <cfRule type="expression" dxfId="1773" priority="144">
      <formula>B$9&lt;8/24</formula>
    </cfRule>
  </conditionalFormatting>
  <conditionalFormatting sqref="Z83:Z86">
    <cfRule type="expression" dxfId="1772" priority="137">
      <formula>Z$9&gt;=20/24</formula>
    </cfRule>
    <cfRule type="expression" dxfId="1771" priority="138">
      <formula>AND(Z$9&gt;=14/24,Z$9&lt;20/24)</formula>
    </cfRule>
    <cfRule type="expression" dxfId="1770" priority="139">
      <formula>AND(Z$9&gt;=8/24,Z$9&lt;14/24)</formula>
    </cfRule>
    <cfRule type="expression" dxfId="1769" priority="140">
      <formula>Z$9&lt;8/24</formula>
    </cfRule>
  </conditionalFormatting>
  <conditionalFormatting sqref="AA87">
    <cfRule type="expression" dxfId="1768" priority="133">
      <formula>AA$9&gt;=20/24</formula>
    </cfRule>
    <cfRule type="expression" dxfId="1767" priority="134">
      <formula>AND(AA$9&gt;=14/24,AA$9&lt;20/24)</formula>
    </cfRule>
    <cfRule type="expression" dxfId="1766" priority="135">
      <formula>AND(AA$9&gt;=8/24,AA$9&lt;14/24)</formula>
    </cfRule>
    <cfRule type="expression" dxfId="1765" priority="136">
      <formula>AA$9&lt;8/24</formula>
    </cfRule>
  </conditionalFormatting>
  <conditionalFormatting sqref="AA83:AA86">
    <cfRule type="expression" dxfId="1764" priority="129">
      <formula>AA$9&gt;=20/24</formula>
    </cfRule>
    <cfRule type="expression" dxfId="1763" priority="130">
      <formula>AND(AA$9&gt;=14/24,AA$9&lt;20/24)</formula>
    </cfRule>
    <cfRule type="expression" dxfId="1762" priority="131">
      <formula>AND(AA$9&gt;=8/24,AA$9&lt;14/24)</formula>
    </cfRule>
    <cfRule type="expression" dxfId="1761" priority="132">
      <formula>AA$9&lt;8/24</formula>
    </cfRule>
  </conditionalFormatting>
  <conditionalFormatting sqref="R20:R27">
    <cfRule type="expression" dxfId="1760" priority="125">
      <formula>R$9&gt;=20/24</formula>
    </cfRule>
    <cfRule type="expression" dxfId="1759" priority="126">
      <formula>AND(R$9&gt;=14/24,R$9&lt;20/24)</formula>
    </cfRule>
    <cfRule type="expression" dxfId="1758" priority="127">
      <formula>AND(R$9&gt;=8/24,R$9&lt;14/24)</formula>
    </cfRule>
    <cfRule type="expression" dxfId="1757" priority="128">
      <formula>R$9&lt;8/24</formula>
    </cfRule>
  </conditionalFormatting>
  <conditionalFormatting sqref="R20:R28">
    <cfRule type="expression" dxfId="1756" priority="124">
      <formula>R20&gt;$AG20</formula>
    </cfRule>
  </conditionalFormatting>
  <conditionalFormatting sqref="R28">
    <cfRule type="expression" dxfId="1755" priority="120">
      <formula>R$9&gt;=20/24</formula>
    </cfRule>
    <cfRule type="expression" dxfId="1754" priority="121">
      <formula>AND(R$9&gt;=14/24,R$9&lt;20/24)</formula>
    </cfRule>
    <cfRule type="expression" dxfId="1753" priority="122">
      <formula>AND(R$9&gt;=8/24,R$9&lt;14/24)</formula>
    </cfRule>
    <cfRule type="expression" dxfId="1752" priority="123">
      <formula>R$9&lt;8/24</formula>
    </cfRule>
  </conditionalFormatting>
  <conditionalFormatting sqref="R52:R58">
    <cfRule type="expression" dxfId="1751" priority="116">
      <formula>R$9&gt;=20/24</formula>
    </cfRule>
    <cfRule type="expression" dxfId="1750" priority="117">
      <formula>AND(R$9&gt;=14/24,R$9&lt;20/24)</formula>
    </cfRule>
    <cfRule type="expression" dxfId="1749" priority="118">
      <formula>AND(R$9&gt;=8/24,R$9&lt;14/24)</formula>
    </cfRule>
    <cfRule type="expression" dxfId="1748" priority="119">
      <formula>R$9&lt;8/24</formula>
    </cfRule>
  </conditionalFormatting>
  <conditionalFormatting sqref="S20:S27">
    <cfRule type="expression" dxfId="1747" priority="112">
      <formula>S$9&gt;=20/24</formula>
    </cfRule>
    <cfRule type="expression" dxfId="1746" priority="113">
      <formula>AND(S$9&gt;=14/24,S$9&lt;20/24)</formula>
    </cfRule>
    <cfRule type="expression" dxfId="1745" priority="114">
      <formula>AND(S$9&gt;=8/24,S$9&lt;14/24)</formula>
    </cfRule>
    <cfRule type="expression" dxfId="1744" priority="115">
      <formula>S$9&lt;8/24</formula>
    </cfRule>
  </conditionalFormatting>
  <conditionalFormatting sqref="S20:S28">
    <cfRule type="expression" dxfId="1743" priority="111">
      <formula>S20&gt;$AG20</formula>
    </cfRule>
  </conditionalFormatting>
  <conditionalFormatting sqref="S28">
    <cfRule type="expression" dxfId="1742" priority="107">
      <formula>S$9&gt;=20/24</formula>
    </cfRule>
    <cfRule type="expression" dxfId="1741" priority="108">
      <formula>AND(S$9&gt;=14/24,S$9&lt;20/24)</formula>
    </cfRule>
    <cfRule type="expression" dxfId="1740" priority="109">
      <formula>AND(S$9&gt;=8/24,S$9&lt;14/24)</formula>
    </cfRule>
    <cfRule type="expression" dxfId="1739" priority="110">
      <formula>S$9&lt;8/24</formula>
    </cfRule>
  </conditionalFormatting>
  <conditionalFormatting sqref="S54:S58">
    <cfRule type="expression" dxfId="1738" priority="103">
      <formula>S$9&gt;=20/24</formula>
    </cfRule>
    <cfRule type="expression" dxfId="1737" priority="104">
      <formula>AND(S$9&gt;=14/24,S$9&lt;20/24)</formula>
    </cfRule>
    <cfRule type="expression" dxfId="1736" priority="105">
      <formula>AND(S$9&gt;=8/24,S$9&lt;14/24)</formula>
    </cfRule>
    <cfRule type="expression" dxfId="1735" priority="106">
      <formula>S$9&lt;8/24</formula>
    </cfRule>
  </conditionalFormatting>
  <conditionalFormatting sqref="T20:T27">
    <cfRule type="expression" dxfId="1734" priority="99">
      <formula>T$9&gt;=20/24</formula>
    </cfRule>
    <cfRule type="expression" dxfId="1733" priority="100">
      <formula>AND(T$9&gt;=14/24,T$9&lt;20/24)</formula>
    </cfRule>
    <cfRule type="expression" dxfId="1732" priority="101">
      <formula>AND(T$9&gt;=8/24,T$9&lt;14/24)</formula>
    </cfRule>
    <cfRule type="expression" dxfId="1731" priority="102">
      <formula>T$9&lt;8/24</formula>
    </cfRule>
  </conditionalFormatting>
  <conditionalFormatting sqref="T20:T28">
    <cfRule type="expression" dxfId="1730" priority="98">
      <formula>T20&gt;$AG20</formula>
    </cfRule>
  </conditionalFormatting>
  <conditionalFormatting sqref="T28">
    <cfRule type="expression" dxfId="1729" priority="94">
      <formula>T$9&gt;=20/24</formula>
    </cfRule>
    <cfRule type="expression" dxfId="1728" priority="95">
      <formula>AND(T$9&gt;=14/24,T$9&lt;20/24)</formula>
    </cfRule>
    <cfRule type="expression" dxfId="1727" priority="96">
      <formula>AND(T$9&gt;=8/24,T$9&lt;14/24)</formula>
    </cfRule>
    <cfRule type="expression" dxfId="1726" priority="97">
      <formula>T$9&lt;8/24</formula>
    </cfRule>
  </conditionalFormatting>
  <conditionalFormatting sqref="T52:T53">
    <cfRule type="expression" dxfId="1725" priority="90">
      <formula>T$9&gt;=20/24</formula>
    </cfRule>
    <cfRule type="expression" dxfId="1724" priority="91">
      <formula>AND(T$9&gt;=14/24,T$9&lt;20/24)</formula>
    </cfRule>
    <cfRule type="expression" dxfId="1723" priority="92">
      <formula>AND(T$9&gt;=8/24,T$9&lt;14/24)</formula>
    </cfRule>
    <cfRule type="expression" dxfId="1722" priority="93">
      <formula>T$9&lt;8/24</formula>
    </cfRule>
  </conditionalFormatting>
  <conditionalFormatting sqref="T54:T58">
    <cfRule type="expression" dxfId="1721" priority="86">
      <formula>T$9&gt;=20/24</formula>
    </cfRule>
    <cfRule type="expression" dxfId="1720" priority="87">
      <formula>AND(T$9&gt;=14/24,T$9&lt;20/24)</formula>
    </cfRule>
    <cfRule type="expression" dxfId="1719" priority="88">
      <formula>AND(T$9&gt;=8/24,T$9&lt;14/24)</formula>
    </cfRule>
    <cfRule type="expression" dxfId="1718" priority="89">
      <formula>T$9&lt;8/24</formula>
    </cfRule>
  </conditionalFormatting>
  <conditionalFormatting sqref="U29">
    <cfRule type="expression" dxfId="1717" priority="82">
      <formula>U$9&gt;=20/24</formula>
    </cfRule>
    <cfRule type="expression" dxfId="1716" priority="83">
      <formula>AND(U$9&gt;=14/24,U$9&lt;20/24)</formula>
    </cfRule>
    <cfRule type="expression" dxfId="1715" priority="84">
      <formula>AND(U$9&gt;=8/24,U$9&lt;14/24)</formula>
    </cfRule>
    <cfRule type="expression" dxfId="1714" priority="85">
      <formula>U$9&lt;8/24</formula>
    </cfRule>
  </conditionalFormatting>
  <conditionalFormatting sqref="U29">
    <cfRule type="expression" dxfId="1713" priority="81">
      <formula>U29&gt;$AG29</formula>
    </cfRule>
  </conditionalFormatting>
  <conditionalFormatting sqref="U20:U27">
    <cfRule type="expression" dxfId="1712" priority="77">
      <formula>U$9&gt;=20/24</formula>
    </cfRule>
    <cfRule type="expression" dxfId="1711" priority="78">
      <formula>AND(U$9&gt;=14/24,U$9&lt;20/24)</formula>
    </cfRule>
    <cfRule type="expression" dxfId="1710" priority="79">
      <formula>AND(U$9&gt;=8/24,U$9&lt;14/24)</formula>
    </cfRule>
    <cfRule type="expression" dxfId="1709" priority="80">
      <formula>U$9&lt;8/24</formula>
    </cfRule>
  </conditionalFormatting>
  <conditionalFormatting sqref="U20:U28">
    <cfRule type="expression" dxfId="1708" priority="76">
      <formula>U20&gt;$AG20</formula>
    </cfRule>
  </conditionalFormatting>
  <conditionalFormatting sqref="U28">
    <cfRule type="expression" dxfId="1707" priority="72">
      <formula>U$9&gt;=20/24</formula>
    </cfRule>
    <cfRule type="expression" dxfId="1706" priority="73">
      <formula>AND(U$9&gt;=14/24,U$9&lt;20/24)</formula>
    </cfRule>
    <cfRule type="expression" dxfId="1705" priority="74">
      <formula>AND(U$9&gt;=8/24,U$9&lt;14/24)</formula>
    </cfRule>
    <cfRule type="expression" dxfId="1704" priority="75">
      <formula>U$9&lt;8/24</formula>
    </cfRule>
  </conditionalFormatting>
  <conditionalFormatting sqref="U52:U53">
    <cfRule type="expression" dxfId="1703" priority="68">
      <formula>U$9&gt;=20/24</formula>
    </cfRule>
    <cfRule type="expression" dxfId="1702" priority="69">
      <formula>AND(U$9&gt;=14/24,U$9&lt;20/24)</formula>
    </cfRule>
    <cfRule type="expression" dxfId="1701" priority="70">
      <formula>AND(U$9&gt;=8/24,U$9&lt;14/24)</formula>
    </cfRule>
    <cfRule type="expression" dxfId="1700" priority="71">
      <formula>U$9&lt;8/24</formula>
    </cfRule>
  </conditionalFormatting>
  <conditionalFormatting sqref="U54:U58">
    <cfRule type="expression" dxfId="1699" priority="64">
      <formula>U$9&gt;=20/24</formula>
    </cfRule>
    <cfRule type="expression" dxfId="1698" priority="65">
      <formula>AND(U$9&gt;=14/24,U$9&lt;20/24)</formula>
    </cfRule>
    <cfRule type="expression" dxfId="1697" priority="66">
      <formula>AND(U$9&gt;=8/24,U$9&lt;14/24)</formula>
    </cfRule>
    <cfRule type="expression" dxfId="1696" priority="67">
      <formula>U$9&lt;8/24</formula>
    </cfRule>
  </conditionalFormatting>
  <conditionalFormatting sqref="V20:V27">
    <cfRule type="expression" dxfId="1695" priority="60">
      <formula>V$9&gt;=20/24</formula>
    </cfRule>
    <cfRule type="expression" dxfId="1694" priority="61">
      <formula>AND(V$9&gt;=14/24,V$9&lt;20/24)</formula>
    </cfRule>
    <cfRule type="expression" dxfId="1693" priority="62">
      <formula>AND(V$9&gt;=8/24,V$9&lt;14/24)</formula>
    </cfRule>
    <cfRule type="expression" dxfId="1692" priority="63">
      <formula>V$9&lt;8/24</formula>
    </cfRule>
  </conditionalFormatting>
  <conditionalFormatting sqref="V20:V28">
    <cfRule type="expression" dxfId="1691" priority="59">
      <formula>V20&gt;$AG20</formula>
    </cfRule>
  </conditionalFormatting>
  <conditionalFormatting sqref="V28">
    <cfRule type="expression" dxfId="1690" priority="55">
      <formula>V$9&gt;=20/24</formula>
    </cfRule>
    <cfRule type="expression" dxfId="1689" priority="56">
      <formula>AND(V$9&gt;=14/24,V$9&lt;20/24)</formula>
    </cfRule>
    <cfRule type="expression" dxfId="1688" priority="57">
      <formula>AND(V$9&gt;=8/24,V$9&lt;14/24)</formula>
    </cfRule>
    <cfRule type="expression" dxfId="1687" priority="58">
      <formula>V$9&lt;8/24</formula>
    </cfRule>
  </conditionalFormatting>
  <conditionalFormatting sqref="V51">
    <cfRule type="expression" dxfId="1686" priority="51">
      <formula>V$9&gt;=20/24</formula>
    </cfRule>
    <cfRule type="expression" dxfId="1685" priority="52">
      <formula>AND(V$9&gt;=14/24,V$9&lt;20/24)</formula>
    </cfRule>
    <cfRule type="expression" dxfId="1684" priority="53">
      <formula>AND(V$9&gt;=8/24,V$9&lt;14/24)</formula>
    </cfRule>
    <cfRule type="expression" dxfId="1683" priority="54">
      <formula>V$9&lt;8/24</formula>
    </cfRule>
  </conditionalFormatting>
  <conditionalFormatting sqref="V52:V53">
    <cfRule type="expression" dxfId="1682" priority="47">
      <formula>V$9&gt;=20/24</formula>
    </cfRule>
    <cfRule type="expression" dxfId="1681" priority="48">
      <formula>AND(V$9&gt;=14/24,V$9&lt;20/24)</formula>
    </cfRule>
    <cfRule type="expression" dxfId="1680" priority="49">
      <formula>AND(V$9&gt;=8/24,V$9&lt;14/24)</formula>
    </cfRule>
    <cfRule type="expression" dxfId="1679" priority="50">
      <formula>V$9&lt;8/24</formula>
    </cfRule>
  </conditionalFormatting>
  <conditionalFormatting sqref="V54:V58">
    <cfRule type="expression" dxfId="1678" priority="43">
      <formula>V$9&gt;=20/24</formula>
    </cfRule>
    <cfRule type="expression" dxfId="1677" priority="44">
      <formula>AND(V$9&gt;=14/24,V$9&lt;20/24)</formula>
    </cfRule>
    <cfRule type="expression" dxfId="1676" priority="45">
      <formula>AND(V$9&gt;=8/24,V$9&lt;14/24)</formula>
    </cfRule>
    <cfRule type="expression" dxfId="1675" priority="46">
      <formula>V$9&lt;8/24</formula>
    </cfRule>
  </conditionalFormatting>
  <conditionalFormatting sqref="W20:W27">
    <cfRule type="expression" dxfId="1674" priority="39">
      <formula>W$9&gt;=20/24</formula>
    </cfRule>
    <cfRule type="expression" dxfId="1673" priority="40">
      <formula>AND(W$9&gt;=14/24,W$9&lt;20/24)</formula>
    </cfRule>
    <cfRule type="expression" dxfId="1672" priority="41">
      <formula>AND(W$9&gt;=8/24,W$9&lt;14/24)</formula>
    </cfRule>
    <cfRule type="expression" dxfId="1671" priority="42">
      <formula>W$9&lt;8/24</formula>
    </cfRule>
  </conditionalFormatting>
  <conditionalFormatting sqref="W20:W28">
    <cfRule type="expression" dxfId="1670" priority="38">
      <formula>W20&gt;$AG20</formula>
    </cfRule>
  </conditionalFormatting>
  <conditionalFormatting sqref="W28">
    <cfRule type="expression" dxfId="1669" priority="34">
      <formula>W$9&gt;=20/24</formula>
    </cfRule>
    <cfRule type="expression" dxfId="1668" priority="35">
      <formula>AND(W$9&gt;=14/24,W$9&lt;20/24)</formula>
    </cfRule>
    <cfRule type="expression" dxfId="1667" priority="36">
      <formula>AND(W$9&gt;=8/24,W$9&lt;14/24)</formula>
    </cfRule>
    <cfRule type="expression" dxfId="1666" priority="37">
      <formula>W$9&lt;8/24</formula>
    </cfRule>
  </conditionalFormatting>
  <conditionalFormatting sqref="W51">
    <cfRule type="expression" dxfId="1665" priority="30">
      <formula>W$9&gt;=20/24</formula>
    </cfRule>
    <cfRule type="expression" dxfId="1664" priority="31">
      <formula>AND(W$9&gt;=14/24,W$9&lt;20/24)</formula>
    </cfRule>
    <cfRule type="expression" dxfId="1663" priority="32">
      <formula>AND(W$9&gt;=8/24,W$9&lt;14/24)</formula>
    </cfRule>
    <cfRule type="expression" dxfId="1662" priority="33">
      <formula>W$9&lt;8/24</formula>
    </cfRule>
  </conditionalFormatting>
  <conditionalFormatting sqref="W52:W53">
    <cfRule type="expression" dxfId="1661" priority="26">
      <formula>W$9&gt;=20/24</formula>
    </cfRule>
    <cfRule type="expression" dxfId="1660" priority="27">
      <formula>AND(W$9&gt;=14/24,W$9&lt;20/24)</formula>
    </cfRule>
    <cfRule type="expression" dxfId="1659" priority="28">
      <formula>AND(W$9&gt;=8/24,W$9&lt;14/24)</formula>
    </cfRule>
    <cfRule type="expression" dxfId="1658" priority="29">
      <formula>W$9&lt;8/24</formula>
    </cfRule>
  </conditionalFormatting>
  <conditionalFormatting sqref="W54:W58">
    <cfRule type="expression" dxfId="1657" priority="22">
      <formula>W$9&gt;=20/24</formula>
    </cfRule>
    <cfRule type="expression" dxfId="1656" priority="23">
      <formula>AND(W$9&gt;=14/24,W$9&lt;20/24)</formula>
    </cfRule>
    <cfRule type="expression" dxfId="1655" priority="24">
      <formula>AND(W$9&gt;=8/24,W$9&lt;14/24)</formula>
    </cfRule>
    <cfRule type="expression" dxfId="1654" priority="25">
      <formula>W$9&lt;8/24</formula>
    </cfRule>
  </conditionalFormatting>
  <conditionalFormatting sqref="X20:Z27">
    <cfRule type="expression" dxfId="1653" priority="18">
      <formula>X$9&gt;=20/24</formula>
    </cfRule>
    <cfRule type="expression" dxfId="1652" priority="19">
      <formula>AND(X$9&gt;=14/24,X$9&lt;20/24)</formula>
    </cfRule>
    <cfRule type="expression" dxfId="1651" priority="20">
      <formula>AND(X$9&gt;=8/24,X$9&lt;14/24)</formula>
    </cfRule>
    <cfRule type="expression" dxfId="1650" priority="21">
      <formula>X$9&lt;8/24</formula>
    </cfRule>
  </conditionalFormatting>
  <conditionalFormatting sqref="X20:Z28">
    <cfRule type="expression" dxfId="1649" priority="17">
      <formula>X20&gt;$AG20</formula>
    </cfRule>
  </conditionalFormatting>
  <conditionalFormatting sqref="X28:Z28">
    <cfRule type="expression" dxfId="1648" priority="13">
      <formula>X$9&gt;=20/24</formula>
    </cfRule>
    <cfRule type="expression" dxfId="1647" priority="14">
      <formula>AND(X$9&gt;=14/24,X$9&lt;20/24)</formula>
    </cfRule>
    <cfRule type="expression" dxfId="1646" priority="15">
      <formula>AND(X$9&gt;=8/24,X$9&lt;14/24)</formula>
    </cfRule>
    <cfRule type="expression" dxfId="1645" priority="16">
      <formula>X$9&lt;8/24</formula>
    </cfRule>
  </conditionalFormatting>
  <conditionalFormatting sqref="X51:Z51">
    <cfRule type="expression" dxfId="1644" priority="9">
      <formula>X$9&gt;=20/24</formula>
    </cfRule>
    <cfRule type="expression" dxfId="1643" priority="10">
      <formula>AND(X$9&gt;=14/24,X$9&lt;20/24)</formula>
    </cfRule>
    <cfRule type="expression" dxfId="1642" priority="11">
      <formula>AND(X$9&gt;=8/24,X$9&lt;14/24)</formula>
    </cfRule>
    <cfRule type="expression" dxfId="1641" priority="12">
      <formula>X$9&lt;8/24</formula>
    </cfRule>
  </conditionalFormatting>
  <conditionalFormatting sqref="X52:Z53">
    <cfRule type="expression" dxfId="1640" priority="5">
      <formula>X$9&gt;=20/24</formula>
    </cfRule>
    <cfRule type="expression" dxfId="1639" priority="6">
      <formula>AND(X$9&gt;=14/24,X$9&lt;20/24)</formula>
    </cfRule>
    <cfRule type="expression" dxfId="1638" priority="7">
      <formula>AND(X$9&gt;=8/24,X$9&lt;14/24)</formula>
    </cfRule>
    <cfRule type="expression" dxfId="1637" priority="8">
      <formula>X$9&lt;8/24</formula>
    </cfRule>
  </conditionalFormatting>
  <conditionalFormatting sqref="X54:Z58">
    <cfRule type="expression" dxfId="1636" priority="1">
      <formula>X$9&gt;=20/24</formula>
    </cfRule>
    <cfRule type="expression" dxfId="1635" priority="2">
      <formula>AND(X$9&gt;=14/24,X$9&lt;20/24)</formula>
    </cfRule>
    <cfRule type="expression" dxfId="1634" priority="3">
      <formula>AND(X$9&gt;=8/24,X$9&lt;14/24)</formula>
    </cfRule>
    <cfRule type="expression" dxfId="1633" priority="4">
      <formula>X$9&lt;8/24</formula>
    </cfRule>
  </conditionalFormatting>
  <pageMargins left="0.7" right="0.7" top="0.75" bottom="0.75" header="0.3" footer="0.3"/>
  <pageSetup scale="50" orientation="landscape" horizontalDpi="300" verticalDpi="3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X32" sqref="X32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24</v>
      </c>
      <c r="D4" s="324">
        <f ca="1">IFERROR(DATE(2021,5,14)+C4,"")</f>
        <v>44354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239.68</v>
      </c>
      <c r="C5" s="32">
        <f t="shared" ref="C5:AF5" si="0">C59</f>
        <v>211.32999999999998</v>
      </c>
      <c r="D5" s="32">
        <f t="shared" si="0"/>
        <v>226.89999999999998</v>
      </c>
      <c r="E5" s="32">
        <f t="shared" si="0"/>
        <v>222.29000000000002</v>
      </c>
      <c r="F5" s="32">
        <f t="shared" si="0"/>
        <v>210.22</v>
      </c>
      <c r="G5" s="32">
        <f t="shared" si="0"/>
        <v>143.19999999999999</v>
      </c>
      <c r="H5" s="32">
        <f t="shared" si="0"/>
        <v>143.19999999999999</v>
      </c>
      <c r="I5" s="32">
        <f t="shared" si="0"/>
        <v>157.80000000000001</v>
      </c>
      <c r="J5" s="32">
        <f t="shared" si="0"/>
        <v>157.32999999999998</v>
      </c>
      <c r="K5" s="32">
        <f t="shared" si="0"/>
        <v>229.8</v>
      </c>
      <c r="L5" s="32">
        <f t="shared" si="0"/>
        <v>302.8</v>
      </c>
      <c r="M5" s="32">
        <f t="shared" si="0"/>
        <v>340</v>
      </c>
      <c r="N5" s="32">
        <f t="shared" si="0"/>
        <v>368</v>
      </c>
      <c r="O5" s="32">
        <f t="shared" si="0"/>
        <v>375</v>
      </c>
      <c r="P5" s="32">
        <f t="shared" si="0"/>
        <v>333</v>
      </c>
      <c r="Q5" s="32">
        <f t="shared" si="0"/>
        <v>351.9</v>
      </c>
      <c r="R5" s="32">
        <f t="shared" si="0"/>
        <v>411</v>
      </c>
      <c r="S5" s="32">
        <f t="shared" si="0"/>
        <v>392.7</v>
      </c>
      <c r="T5" s="32">
        <f t="shared" si="0"/>
        <v>390.8</v>
      </c>
      <c r="U5" s="32">
        <f t="shared" si="0"/>
        <v>332.93</v>
      </c>
      <c r="V5" s="32">
        <f t="shared" si="0"/>
        <v>366.9</v>
      </c>
      <c r="W5" s="32">
        <f t="shared" si="0"/>
        <v>318.60000000000002</v>
      </c>
      <c r="X5" s="32">
        <f t="shared" si="0"/>
        <v>320.92</v>
      </c>
      <c r="Y5" s="32">
        <f t="shared" si="0"/>
        <v>353.61</v>
      </c>
      <c r="Z5" s="32">
        <f t="shared" si="0"/>
        <v>369.75</v>
      </c>
      <c r="AA5" s="32">
        <f t="shared" si="0"/>
        <v>402.77</v>
      </c>
      <c r="AB5" s="32">
        <f t="shared" si="0"/>
        <v>419.9</v>
      </c>
      <c r="AC5" s="32">
        <f t="shared" si="0"/>
        <v>420.62</v>
      </c>
      <c r="AD5" s="32">
        <f t="shared" si="0"/>
        <v>350.8</v>
      </c>
      <c r="AE5" s="32">
        <f t="shared" si="0"/>
        <v>274.7</v>
      </c>
      <c r="AF5" s="32">
        <f t="shared" si="0"/>
        <v>235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1144MW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Load=921</v>
      </c>
      <c r="B7" s="36">
        <f t="shared" ref="B7:AF7" si="1">B65</f>
        <v>1035.92</v>
      </c>
      <c r="C7" s="36">
        <f t="shared" si="1"/>
        <v>1006.67</v>
      </c>
      <c r="D7" s="36">
        <f t="shared" si="1"/>
        <v>1001.64</v>
      </c>
      <c r="E7" s="36">
        <f t="shared" si="1"/>
        <v>997.93000000000006</v>
      </c>
      <c r="F7" s="36">
        <f t="shared" si="1"/>
        <v>970.96</v>
      </c>
      <c r="G7" s="36">
        <f t="shared" si="1"/>
        <v>921.43999999999994</v>
      </c>
      <c r="H7" s="36">
        <f t="shared" si="1"/>
        <v>921.43999999999994</v>
      </c>
      <c r="I7" s="36">
        <f t="shared" si="1"/>
        <v>961.14</v>
      </c>
      <c r="J7" s="36">
        <f t="shared" si="1"/>
        <v>983.67</v>
      </c>
      <c r="K7" s="36">
        <f t="shared" si="1"/>
        <v>974.93999999999983</v>
      </c>
      <c r="L7" s="36">
        <f>L65</f>
        <v>1111.04</v>
      </c>
      <c r="M7" s="36">
        <f t="shared" si="1"/>
        <v>1143.94</v>
      </c>
      <c r="N7" s="36">
        <f t="shared" si="1"/>
        <v>1123.24</v>
      </c>
      <c r="O7" s="36">
        <f t="shared" si="1"/>
        <v>1125.74</v>
      </c>
      <c r="P7" s="36">
        <f t="shared" si="1"/>
        <v>1134.6400000000001</v>
      </c>
      <c r="Q7" s="36">
        <f t="shared" si="1"/>
        <v>1140.94</v>
      </c>
      <c r="R7" s="36">
        <f t="shared" si="1"/>
        <v>1192.3400000000001</v>
      </c>
      <c r="S7" s="36">
        <f t="shared" si="1"/>
        <v>1184.44</v>
      </c>
      <c r="T7" s="36">
        <f t="shared" si="1"/>
        <v>1182.3400000000001</v>
      </c>
      <c r="U7" s="36">
        <f t="shared" si="1"/>
        <v>1080.3700000000001</v>
      </c>
      <c r="V7" s="36">
        <f t="shared" si="1"/>
        <v>1088.24</v>
      </c>
      <c r="W7" s="36">
        <f t="shared" si="1"/>
        <v>1037.54</v>
      </c>
      <c r="X7" s="36">
        <f t="shared" si="1"/>
        <v>1033.96</v>
      </c>
      <c r="Y7" s="36">
        <f t="shared" si="1"/>
        <v>1107.1500000000001</v>
      </c>
      <c r="Z7" s="36">
        <f t="shared" si="1"/>
        <v>1211.69</v>
      </c>
      <c r="AA7" s="36">
        <f t="shared" si="1"/>
        <v>1250.9099999999999</v>
      </c>
      <c r="AB7" s="36">
        <f t="shared" si="1"/>
        <v>1247.4399999999998</v>
      </c>
      <c r="AC7" s="36">
        <f t="shared" si="1"/>
        <v>1249.26</v>
      </c>
      <c r="AD7" s="36">
        <f t="shared" si="1"/>
        <v>1193.24</v>
      </c>
      <c r="AE7" s="36">
        <f t="shared" si="1"/>
        <v>1125.44</v>
      </c>
      <c r="AF7" s="36">
        <f t="shared" si="1"/>
        <v>1065.8400000000001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33.9</v>
      </c>
      <c r="C11" s="48">
        <v>34.1</v>
      </c>
      <c r="D11" s="48">
        <v>32.799999999999997</v>
      </c>
      <c r="E11" s="48">
        <v>33.9</v>
      </c>
      <c r="F11" s="48">
        <v>35.5</v>
      </c>
      <c r="G11" s="48">
        <v>34.5</v>
      </c>
      <c r="H11" s="48">
        <v>34.5</v>
      </c>
      <c r="I11" s="48">
        <v>35</v>
      </c>
      <c r="J11" s="48">
        <v>36.700000000000003</v>
      </c>
      <c r="K11" s="48">
        <v>37.6</v>
      </c>
      <c r="L11" s="49">
        <v>38.6</v>
      </c>
      <c r="M11" s="49">
        <v>38.6</v>
      </c>
      <c r="N11" s="49">
        <v>38.200000000000003</v>
      </c>
      <c r="O11" s="49">
        <v>37.799999999999997</v>
      </c>
      <c r="P11" s="49">
        <v>37.799999999999997</v>
      </c>
      <c r="Q11" s="49">
        <v>37.9</v>
      </c>
      <c r="R11" s="50">
        <v>36.5</v>
      </c>
      <c r="S11" s="50">
        <v>36.9</v>
      </c>
      <c r="T11" s="50">
        <v>38.5</v>
      </c>
      <c r="U11" s="50">
        <v>36.4</v>
      </c>
      <c r="V11" s="50">
        <v>33</v>
      </c>
      <c r="W11" s="50">
        <v>30.5</v>
      </c>
      <c r="X11" s="50">
        <v>36.799999999999997</v>
      </c>
      <c r="Y11" s="50">
        <v>36.1</v>
      </c>
      <c r="Z11" s="50">
        <v>34.4</v>
      </c>
      <c r="AA11" s="48">
        <v>36.299999999999997</v>
      </c>
      <c r="AB11" s="48">
        <v>35.200000000000003</v>
      </c>
      <c r="AC11" s="48">
        <v>35.799999999999997</v>
      </c>
      <c r="AD11" s="48">
        <v>33.799999999999997</v>
      </c>
      <c r="AE11" s="48">
        <v>32.4</v>
      </c>
      <c r="AF11" s="48">
        <v>33.1</v>
      </c>
      <c r="AG11" s="51">
        <v>60</v>
      </c>
      <c r="AH11" s="52">
        <f>MAX(B11:AF11)</f>
        <v>38.6</v>
      </c>
      <c r="AI11" s="53">
        <f>MIN(B11:AF11)</f>
        <v>30.5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50.5</v>
      </c>
      <c r="C12" s="56">
        <v>50.4</v>
      </c>
      <c r="D12" s="56">
        <v>50.8</v>
      </c>
      <c r="E12" s="56">
        <v>50.4</v>
      </c>
      <c r="F12" s="56">
        <v>50.5</v>
      </c>
      <c r="G12" s="56">
        <v>50.7</v>
      </c>
      <c r="H12" s="56">
        <v>50.7</v>
      </c>
      <c r="I12" s="56">
        <v>50.7</v>
      </c>
      <c r="J12" s="56">
        <v>50.7</v>
      </c>
      <c r="K12" s="56">
        <v>51</v>
      </c>
      <c r="L12" s="49">
        <v>50.3</v>
      </c>
      <c r="M12" s="49">
        <v>50.3</v>
      </c>
      <c r="N12" s="49">
        <v>50.3</v>
      </c>
      <c r="O12" s="49">
        <v>49.9</v>
      </c>
      <c r="P12" s="49">
        <v>49.9</v>
      </c>
      <c r="Q12" s="49">
        <v>50.1</v>
      </c>
      <c r="R12" s="49">
        <v>50.6</v>
      </c>
      <c r="S12" s="49">
        <v>50.4</v>
      </c>
      <c r="T12" s="49">
        <v>50.6</v>
      </c>
      <c r="U12" s="49">
        <v>50.5</v>
      </c>
      <c r="V12" s="49">
        <v>50.6</v>
      </c>
      <c r="W12" s="49">
        <v>50.5</v>
      </c>
      <c r="X12" s="49">
        <v>50.6</v>
      </c>
      <c r="Y12" s="49">
        <v>50.7</v>
      </c>
      <c r="Z12" s="49">
        <v>50.6</v>
      </c>
      <c r="AA12" s="56">
        <v>50.7</v>
      </c>
      <c r="AB12" s="56">
        <v>50.5</v>
      </c>
      <c r="AC12" s="56">
        <v>50.6</v>
      </c>
      <c r="AD12" s="56">
        <v>50.4</v>
      </c>
      <c r="AE12" s="56">
        <v>50.4</v>
      </c>
      <c r="AF12" s="56">
        <v>50.8</v>
      </c>
      <c r="AG12" s="57">
        <v>50</v>
      </c>
      <c r="AH12" s="52">
        <f t="shared" ref="AH12:AH77" si="2">MAX(B12:AF12)</f>
        <v>51</v>
      </c>
      <c r="AI12" s="53">
        <f t="shared" ref="AI12:AI77" si="3">MIN(B12:AF12)</f>
        <v>49.9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44.7</v>
      </c>
      <c r="C13" s="56">
        <v>44.7</v>
      </c>
      <c r="D13" s="56">
        <v>43.8</v>
      </c>
      <c r="E13" s="56">
        <v>43.9</v>
      </c>
      <c r="F13" s="56">
        <v>44.1</v>
      </c>
      <c r="G13" s="56">
        <v>43.3</v>
      </c>
      <c r="H13" s="56">
        <v>43.3</v>
      </c>
      <c r="I13" s="56">
        <v>43.3</v>
      </c>
      <c r="J13" s="56">
        <v>43.2</v>
      </c>
      <c r="K13" s="56">
        <v>42.9</v>
      </c>
      <c r="L13" s="49">
        <v>42.9</v>
      </c>
      <c r="M13" s="49">
        <v>42.9</v>
      </c>
      <c r="N13" s="49">
        <v>42.3</v>
      </c>
      <c r="O13" s="49">
        <v>41.5</v>
      </c>
      <c r="P13" s="49">
        <v>41.5</v>
      </c>
      <c r="Q13" s="49">
        <v>40.6</v>
      </c>
      <c r="R13" s="49">
        <v>40.6</v>
      </c>
      <c r="S13" s="49">
        <v>40.200000000000003</v>
      </c>
      <c r="T13" s="49">
        <v>41.8</v>
      </c>
      <c r="U13" s="49">
        <v>43.1</v>
      </c>
      <c r="V13" s="49">
        <v>43</v>
      </c>
      <c r="W13" s="49">
        <v>43</v>
      </c>
      <c r="X13" s="49">
        <v>42.9</v>
      </c>
      <c r="Y13" s="49">
        <v>43.1</v>
      </c>
      <c r="Z13" s="49">
        <v>43.2</v>
      </c>
      <c r="AA13" s="56">
        <v>45.1</v>
      </c>
      <c r="AB13" s="56">
        <v>44.7</v>
      </c>
      <c r="AC13" s="56">
        <v>45.4</v>
      </c>
      <c r="AD13" s="56">
        <v>44.6</v>
      </c>
      <c r="AE13" s="56">
        <v>46</v>
      </c>
      <c r="AF13" s="56">
        <v>45.5</v>
      </c>
      <c r="AG13" s="59">
        <v>45</v>
      </c>
      <c r="AH13" s="52">
        <f t="shared" si="2"/>
        <v>46</v>
      </c>
      <c r="AI13" s="53">
        <f t="shared" si="3"/>
        <v>40.200000000000003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17</v>
      </c>
      <c r="C14" s="56">
        <v>17</v>
      </c>
      <c r="D14" s="56">
        <v>17</v>
      </c>
      <c r="E14" s="56">
        <v>17</v>
      </c>
      <c r="F14" s="56">
        <v>17</v>
      </c>
      <c r="G14" s="56">
        <v>17</v>
      </c>
      <c r="H14" s="56">
        <v>17</v>
      </c>
      <c r="I14" s="56">
        <v>17</v>
      </c>
      <c r="J14" s="56">
        <v>17</v>
      </c>
      <c r="K14" s="56">
        <v>17</v>
      </c>
      <c r="L14" s="49">
        <v>17</v>
      </c>
      <c r="M14" s="49">
        <v>17</v>
      </c>
      <c r="N14" s="49">
        <v>17</v>
      </c>
      <c r="O14" s="49">
        <v>17</v>
      </c>
      <c r="P14" s="49">
        <v>17</v>
      </c>
      <c r="Q14" s="49">
        <v>17</v>
      </c>
      <c r="R14" s="49">
        <v>17</v>
      </c>
      <c r="S14" s="49">
        <v>17</v>
      </c>
      <c r="T14" s="49">
        <v>17</v>
      </c>
      <c r="U14" s="49">
        <v>17</v>
      </c>
      <c r="V14" s="49">
        <v>17</v>
      </c>
      <c r="W14" s="49">
        <v>17</v>
      </c>
      <c r="X14" s="49">
        <v>17</v>
      </c>
      <c r="Y14" s="49">
        <v>17</v>
      </c>
      <c r="Z14" s="49">
        <v>17</v>
      </c>
      <c r="AA14" s="56">
        <v>17</v>
      </c>
      <c r="AB14" s="56">
        <v>17</v>
      </c>
      <c r="AC14" s="56">
        <v>17</v>
      </c>
      <c r="AD14" s="56">
        <v>17</v>
      </c>
      <c r="AE14" s="56">
        <v>17</v>
      </c>
      <c r="AF14" s="56">
        <v>17</v>
      </c>
      <c r="AG14" s="59">
        <v>25</v>
      </c>
      <c r="AH14" s="52">
        <f t="shared" si="2"/>
        <v>17</v>
      </c>
      <c r="AI14" s="53">
        <f t="shared" si="3"/>
        <v>17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24.9</v>
      </c>
      <c r="C15" s="56">
        <v>24.9</v>
      </c>
      <c r="D15" s="56">
        <v>24.6</v>
      </c>
      <c r="E15" s="56">
        <v>23.5</v>
      </c>
      <c r="F15" s="56">
        <v>22.3</v>
      </c>
      <c r="G15" s="56">
        <v>23.1</v>
      </c>
      <c r="H15" s="56">
        <v>23.1</v>
      </c>
      <c r="I15" s="56">
        <v>23.1</v>
      </c>
      <c r="J15" s="56">
        <v>21.5</v>
      </c>
      <c r="K15" s="56">
        <v>24.6</v>
      </c>
      <c r="L15" s="49">
        <v>23.7</v>
      </c>
      <c r="M15" s="49">
        <v>23.7</v>
      </c>
      <c r="N15" s="49">
        <v>23.6</v>
      </c>
      <c r="O15" s="49">
        <v>21.5</v>
      </c>
      <c r="P15" s="49">
        <v>21.5</v>
      </c>
      <c r="Q15" s="49">
        <v>20.7</v>
      </c>
      <c r="R15" s="49">
        <v>20.7</v>
      </c>
      <c r="S15" s="49">
        <v>20.8</v>
      </c>
      <c r="T15" s="49">
        <v>22.3</v>
      </c>
      <c r="U15" s="49">
        <v>23.8</v>
      </c>
      <c r="V15" s="49">
        <v>23.8</v>
      </c>
      <c r="W15" s="49">
        <v>23.8</v>
      </c>
      <c r="X15" s="49">
        <v>23.7</v>
      </c>
      <c r="Y15" s="49">
        <v>25.1</v>
      </c>
      <c r="Z15" s="49">
        <v>25</v>
      </c>
      <c r="AA15" s="56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25.1</v>
      </c>
      <c r="AI15" s="53">
        <f t="shared" si="3"/>
        <v>20.7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23</v>
      </c>
      <c r="C17" s="56">
        <v>23.1</v>
      </c>
      <c r="D17" s="56">
        <v>22.7</v>
      </c>
      <c r="E17" s="56">
        <v>22.7</v>
      </c>
      <c r="F17" s="56">
        <v>22.7</v>
      </c>
      <c r="G17" s="56">
        <v>22.7</v>
      </c>
      <c r="H17" s="56">
        <v>22.7</v>
      </c>
      <c r="I17" s="56">
        <v>22.7</v>
      </c>
      <c r="J17" s="56">
        <v>22.7</v>
      </c>
      <c r="K17" s="56">
        <v>22.7</v>
      </c>
      <c r="L17" s="49">
        <v>22.6</v>
      </c>
      <c r="M17" s="49">
        <v>22.6</v>
      </c>
      <c r="N17" s="49">
        <v>22</v>
      </c>
      <c r="O17" s="49">
        <v>22</v>
      </c>
      <c r="P17" s="49">
        <v>22</v>
      </c>
      <c r="Q17" s="49">
        <v>22</v>
      </c>
      <c r="R17" s="49">
        <v>22</v>
      </c>
      <c r="S17" s="49">
        <v>23.2</v>
      </c>
      <c r="T17" s="49">
        <v>22.9</v>
      </c>
      <c r="U17" s="49">
        <v>22.2</v>
      </c>
      <c r="V17" s="49">
        <v>22.2</v>
      </c>
      <c r="W17" s="49">
        <v>22.9</v>
      </c>
      <c r="X17" s="49">
        <v>22.7</v>
      </c>
      <c r="Y17" s="49">
        <v>22.7</v>
      </c>
      <c r="Z17" s="49">
        <v>22.6</v>
      </c>
      <c r="AA17" s="49">
        <v>22.7</v>
      </c>
      <c r="AB17" s="49">
        <v>22.7</v>
      </c>
      <c r="AC17" s="49">
        <v>23</v>
      </c>
      <c r="AD17" s="49">
        <v>22.8</v>
      </c>
      <c r="AE17" s="49">
        <v>22.8</v>
      </c>
      <c r="AF17" s="49">
        <v>23.1</v>
      </c>
      <c r="AG17" s="59">
        <v>22.1</v>
      </c>
      <c r="AH17" s="52">
        <f t="shared" si="2"/>
        <v>23.2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11.2</v>
      </c>
      <c r="C19" s="56">
        <v>10.8</v>
      </c>
      <c r="D19" s="56">
        <v>10.3</v>
      </c>
      <c r="E19" s="56">
        <v>10.4</v>
      </c>
      <c r="F19" s="56">
        <v>10.1</v>
      </c>
      <c r="G19" s="56">
        <v>10.199999999999999</v>
      </c>
      <c r="H19" s="56">
        <v>10.199999999999999</v>
      </c>
      <c r="I19" s="56">
        <v>10.6</v>
      </c>
      <c r="J19" s="56">
        <v>10.5</v>
      </c>
      <c r="K19" s="56">
        <v>10</v>
      </c>
      <c r="L19" s="49">
        <v>10</v>
      </c>
      <c r="M19" s="49">
        <v>10</v>
      </c>
      <c r="N19" s="49">
        <v>9.3000000000000007</v>
      </c>
      <c r="O19" s="49">
        <v>8.6</v>
      </c>
      <c r="P19" s="49">
        <v>8.6</v>
      </c>
      <c r="Q19" s="49">
        <v>8.1999999999999993</v>
      </c>
      <c r="R19" s="49">
        <v>8.1999999999999993</v>
      </c>
      <c r="S19" s="49">
        <v>7.8</v>
      </c>
      <c r="T19" s="49">
        <v>8.8000000000000007</v>
      </c>
      <c r="U19" s="49">
        <v>9.1999999999999993</v>
      </c>
      <c r="V19" s="49">
        <v>9.1999999999999993</v>
      </c>
      <c r="W19" s="49">
        <v>9.1999999999999993</v>
      </c>
      <c r="X19" s="49">
        <v>9.6</v>
      </c>
      <c r="Y19" s="49">
        <v>10.8</v>
      </c>
      <c r="Z19" s="49">
        <v>11.5</v>
      </c>
      <c r="AA19" s="49">
        <v>10.6</v>
      </c>
      <c r="AB19" s="49">
        <v>10.199999999999999</v>
      </c>
      <c r="AC19" s="49">
        <v>10.1</v>
      </c>
      <c r="AD19" s="49">
        <v>9.8000000000000007</v>
      </c>
      <c r="AE19" s="49">
        <v>11.1</v>
      </c>
      <c r="AF19" s="49">
        <v>11</v>
      </c>
      <c r="AG19" s="59">
        <v>22</v>
      </c>
      <c r="AH19" s="52">
        <f t="shared" si="2"/>
        <v>11.5</v>
      </c>
      <c r="AI19" s="53">
        <f t="shared" si="3"/>
        <v>7.8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8.5</v>
      </c>
      <c r="C20" s="56">
        <v>8.5</v>
      </c>
      <c r="D20" s="56">
        <v>8.5</v>
      </c>
      <c r="E20" s="56">
        <v>8.5</v>
      </c>
      <c r="F20" s="56">
        <v>8.5</v>
      </c>
      <c r="G20" s="56">
        <v>8.5</v>
      </c>
      <c r="H20" s="56">
        <v>8.5</v>
      </c>
      <c r="I20" s="56">
        <v>8.5</v>
      </c>
      <c r="J20" s="56">
        <v>8.5</v>
      </c>
      <c r="K20" s="56">
        <v>8.5</v>
      </c>
      <c r="L20" s="56">
        <v>8.5</v>
      </c>
      <c r="M20" s="56">
        <v>8.5</v>
      </c>
      <c r="N20" s="56">
        <v>8.5</v>
      </c>
      <c r="O20" s="56">
        <v>8.5</v>
      </c>
      <c r="P20" s="56">
        <v>8.5</v>
      </c>
      <c r="Q20" s="56">
        <v>8.5</v>
      </c>
      <c r="R20" s="49">
        <v>8.5</v>
      </c>
      <c r="S20" s="49">
        <v>8.5</v>
      </c>
      <c r="T20" s="49">
        <v>8.5</v>
      </c>
      <c r="U20" s="49">
        <v>8.5</v>
      </c>
      <c r="V20" s="49">
        <v>8.5</v>
      </c>
      <c r="W20" s="49">
        <v>8.5</v>
      </c>
      <c r="X20" s="49">
        <v>8.5</v>
      </c>
      <c r="Y20" s="49">
        <v>8.5</v>
      </c>
      <c r="Z20" s="49">
        <v>8.5</v>
      </c>
      <c r="AA20" s="49">
        <v>8.5</v>
      </c>
      <c r="AB20" s="49">
        <v>8.5</v>
      </c>
      <c r="AC20" s="49">
        <v>8.5</v>
      </c>
      <c r="AD20" s="49">
        <v>8.5</v>
      </c>
      <c r="AE20" s="49">
        <v>8.5</v>
      </c>
      <c r="AF20" s="49">
        <v>8.5</v>
      </c>
      <c r="AG20" s="59">
        <v>22</v>
      </c>
      <c r="AH20" s="52">
        <f t="shared" si="2"/>
        <v>8.5</v>
      </c>
      <c r="AI20" s="53">
        <f t="shared" si="3"/>
        <v>8.5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5</v>
      </c>
      <c r="C22" s="56">
        <v>5</v>
      </c>
      <c r="D22" s="56">
        <v>5</v>
      </c>
      <c r="E22" s="56">
        <v>5</v>
      </c>
      <c r="F22" s="56">
        <v>5</v>
      </c>
      <c r="G22" s="56">
        <v>5</v>
      </c>
      <c r="H22" s="56">
        <v>5</v>
      </c>
      <c r="I22" s="56">
        <v>5</v>
      </c>
      <c r="J22" s="56">
        <v>5</v>
      </c>
      <c r="K22" s="56">
        <v>5</v>
      </c>
      <c r="L22" s="56">
        <v>5</v>
      </c>
      <c r="M22" s="56">
        <v>5</v>
      </c>
      <c r="N22" s="56">
        <v>5</v>
      </c>
      <c r="O22" s="56">
        <v>5</v>
      </c>
      <c r="P22" s="56">
        <v>5</v>
      </c>
      <c r="Q22" s="56">
        <v>5</v>
      </c>
      <c r="R22" s="49">
        <v>5</v>
      </c>
      <c r="S22" s="49">
        <v>5</v>
      </c>
      <c r="T22" s="49">
        <v>5</v>
      </c>
      <c r="U22" s="49">
        <v>5</v>
      </c>
      <c r="V22" s="49">
        <v>5</v>
      </c>
      <c r="W22" s="49">
        <v>5</v>
      </c>
      <c r="X22" s="49">
        <v>5</v>
      </c>
      <c r="Y22" s="49">
        <v>5</v>
      </c>
      <c r="Z22" s="49">
        <v>5</v>
      </c>
      <c r="AA22" s="49">
        <v>5</v>
      </c>
      <c r="AB22" s="49">
        <v>5</v>
      </c>
      <c r="AC22" s="49">
        <v>5</v>
      </c>
      <c r="AD22" s="49">
        <v>5</v>
      </c>
      <c r="AE22" s="49">
        <v>5</v>
      </c>
      <c r="AF22" s="49">
        <v>5</v>
      </c>
      <c r="AG22" s="59">
        <v>13.6</v>
      </c>
      <c r="AH22" s="52">
        <f t="shared" si="2"/>
        <v>5</v>
      </c>
      <c r="AI22" s="53">
        <f t="shared" si="3"/>
        <v>5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10.5</v>
      </c>
      <c r="C23" s="56">
        <v>10.5</v>
      </c>
      <c r="D23" s="56">
        <v>10.5</v>
      </c>
      <c r="E23" s="56">
        <v>10.5</v>
      </c>
      <c r="F23" s="56">
        <v>10.5</v>
      </c>
      <c r="G23" s="56">
        <v>10.5</v>
      </c>
      <c r="H23" s="56">
        <v>10.5</v>
      </c>
      <c r="I23" s="56">
        <v>10.5</v>
      </c>
      <c r="J23" s="56">
        <v>10.5</v>
      </c>
      <c r="K23" s="56">
        <v>10.5</v>
      </c>
      <c r="L23" s="56">
        <v>10.5</v>
      </c>
      <c r="M23" s="56">
        <v>10.5</v>
      </c>
      <c r="N23" s="56">
        <v>10.5</v>
      </c>
      <c r="O23" s="56">
        <v>10.5</v>
      </c>
      <c r="P23" s="56">
        <v>10.5</v>
      </c>
      <c r="Q23" s="56">
        <v>10.5</v>
      </c>
      <c r="R23" s="49">
        <v>10.5</v>
      </c>
      <c r="S23" s="49">
        <v>10.5</v>
      </c>
      <c r="T23" s="49">
        <v>10.5</v>
      </c>
      <c r="U23" s="49">
        <v>10.5</v>
      </c>
      <c r="V23" s="49">
        <v>10.5</v>
      </c>
      <c r="W23" s="49">
        <v>10.5</v>
      </c>
      <c r="X23" s="49">
        <v>10.5</v>
      </c>
      <c r="Y23" s="49">
        <v>10.5</v>
      </c>
      <c r="Z23" s="49">
        <v>10.5</v>
      </c>
      <c r="AA23" s="49">
        <v>10.5</v>
      </c>
      <c r="AB23" s="49">
        <v>10.5</v>
      </c>
      <c r="AC23" s="49">
        <v>10.5</v>
      </c>
      <c r="AD23" s="49">
        <v>10.5</v>
      </c>
      <c r="AE23" s="49">
        <v>10.5</v>
      </c>
      <c r="AF23" s="49">
        <v>10.5</v>
      </c>
      <c r="AG23" s="59">
        <v>13</v>
      </c>
      <c r="AH23" s="52">
        <f t="shared" si="2"/>
        <v>10.5</v>
      </c>
      <c r="AI23" s="53">
        <f t="shared" si="3"/>
        <v>10.5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4.4000000000000004</v>
      </c>
      <c r="C24" s="56">
        <v>4.4000000000000004</v>
      </c>
      <c r="D24" s="56">
        <v>4.4000000000000004</v>
      </c>
      <c r="E24" s="56">
        <v>4.4000000000000004</v>
      </c>
      <c r="F24" s="56">
        <v>4.4000000000000004</v>
      </c>
      <c r="G24" s="56">
        <v>4.4000000000000004</v>
      </c>
      <c r="H24" s="56">
        <v>4.4000000000000004</v>
      </c>
      <c r="I24" s="56">
        <v>4.4000000000000004</v>
      </c>
      <c r="J24" s="56">
        <v>4.4000000000000004</v>
      </c>
      <c r="K24" s="56">
        <v>4.4000000000000004</v>
      </c>
      <c r="L24" s="56">
        <v>4.4000000000000004</v>
      </c>
      <c r="M24" s="56">
        <v>4.4000000000000004</v>
      </c>
      <c r="N24" s="56">
        <v>4.4000000000000004</v>
      </c>
      <c r="O24" s="56">
        <v>4.4000000000000004</v>
      </c>
      <c r="P24" s="56">
        <v>4.4000000000000004</v>
      </c>
      <c r="Q24" s="56">
        <v>4.4000000000000004</v>
      </c>
      <c r="R24" s="49">
        <v>4.4000000000000004</v>
      </c>
      <c r="S24" s="49">
        <v>4.4000000000000004</v>
      </c>
      <c r="T24" s="49">
        <v>4.4000000000000004</v>
      </c>
      <c r="U24" s="49">
        <v>4.4000000000000004</v>
      </c>
      <c r="V24" s="49">
        <v>4.4000000000000004</v>
      </c>
      <c r="W24" s="49">
        <v>4.4000000000000004</v>
      </c>
      <c r="X24" s="49">
        <v>4.4000000000000004</v>
      </c>
      <c r="Y24" s="49">
        <v>4.4000000000000004</v>
      </c>
      <c r="Z24" s="49">
        <v>4.4000000000000004</v>
      </c>
      <c r="AA24" s="49">
        <v>4.4000000000000004</v>
      </c>
      <c r="AB24" s="49">
        <v>4.4000000000000004</v>
      </c>
      <c r="AC24" s="49">
        <v>4.4000000000000004</v>
      </c>
      <c r="AD24" s="49">
        <v>4.4000000000000004</v>
      </c>
      <c r="AE24" s="49">
        <v>4.4000000000000004</v>
      </c>
      <c r="AF24" s="49">
        <v>4.4000000000000004</v>
      </c>
      <c r="AG24" s="59">
        <v>12</v>
      </c>
      <c r="AH24" s="52">
        <f t="shared" si="2"/>
        <v>4.4000000000000004</v>
      </c>
      <c r="AI24" s="53">
        <f t="shared" si="3"/>
        <v>4.4000000000000004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49">
        <v>2.2000000000000002</v>
      </c>
      <c r="S25" s="49">
        <v>2.2000000000000002</v>
      </c>
      <c r="T25" s="49">
        <v>2.2000000000000002</v>
      </c>
      <c r="U25" s="49">
        <v>2.2000000000000002</v>
      </c>
      <c r="V25" s="49">
        <v>2.2000000000000002</v>
      </c>
      <c r="W25" s="49">
        <v>2.2000000000000002</v>
      </c>
      <c r="X25" s="49">
        <v>2.2000000000000002</v>
      </c>
      <c r="Y25" s="49">
        <v>2.2000000000000002</v>
      </c>
      <c r="Z25" s="49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56">
        <v>4</v>
      </c>
      <c r="M27" s="56">
        <v>4</v>
      </c>
      <c r="N27" s="56">
        <v>4</v>
      </c>
      <c r="O27" s="56">
        <v>4</v>
      </c>
      <c r="P27" s="56">
        <v>4</v>
      </c>
      <c r="Q27" s="56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6</v>
      </c>
      <c r="AB27" s="49">
        <v>6</v>
      </c>
      <c r="AC27" s="49">
        <v>6</v>
      </c>
      <c r="AD27" s="49">
        <v>6</v>
      </c>
      <c r="AE27" s="49">
        <v>6</v>
      </c>
      <c r="AF27" s="49">
        <v>6</v>
      </c>
      <c r="AG27" s="59">
        <v>10</v>
      </c>
      <c r="AH27" s="52">
        <f t="shared" si="2"/>
        <v>6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160</v>
      </c>
      <c r="W28" s="56">
        <v>160</v>
      </c>
      <c r="X28" s="56">
        <v>160</v>
      </c>
      <c r="Y28" s="56">
        <v>160</v>
      </c>
      <c r="Z28" s="56">
        <v>160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160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>
        <v>87.5</v>
      </c>
      <c r="C29" s="56">
        <v>96.3</v>
      </c>
      <c r="D29" s="56">
        <v>130.30000000000001</v>
      </c>
      <c r="E29" s="56">
        <v>95.1</v>
      </c>
      <c r="F29" s="56">
        <v>103.2</v>
      </c>
      <c r="G29" s="56">
        <v>100.6</v>
      </c>
      <c r="H29" s="56">
        <v>100.6</v>
      </c>
      <c r="I29" s="56">
        <v>72.3</v>
      </c>
      <c r="J29" s="56">
        <v>71.2</v>
      </c>
      <c r="K29" s="56">
        <v>129</v>
      </c>
      <c r="L29" s="67">
        <v>94</v>
      </c>
      <c r="M29" s="67">
        <v>86.8</v>
      </c>
      <c r="N29" s="67">
        <v>90.4</v>
      </c>
      <c r="O29" s="67">
        <v>99.2</v>
      </c>
      <c r="P29" s="67"/>
      <c r="Q29" s="67">
        <v>90.4</v>
      </c>
      <c r="R29" s="67">
        <v>88.1</v>
      </c>
      <c r="S29" s="67">
        <v>87.3</v>
      </c>
      <c r="T29" s="67">
        <v>87.5</v>
      </c>
      <c r="U29" s="67">
        <v>93.7</v>
      </c>
      <c r="V29" s="67">
        <v>93.7</v>
      </c>
      <c r="W29" s="67">
        <v>90.9</v>
      </c>
      <c r="X29" s="67">
        <v>91.2</v>
      </c>
      <c r="Y29" s="67">
        <v>89.2</v>
      </c>
      <c r="Z29" s="67">
        <v>90.5</v>
      </c>
      <c r="AA29" s="67">
        <v>90.1</v>
      </c>
      <c r="AB29" s="67">
        <v>88.3</v>
      </c>
      <c r="AC29" s="67">
        <v>88.3</v>
      </c>
      <c r="AD29" s="67">
        <v>87.6</v>
      </c>
      <c r="AE29" s="56">
        <v>87.7</v>
      </c>
      <c r="AF29" s="56">
        <v>89.1</v>
      </c>
      <c r="AG29" s="59">
        <v>240</v>
      </c>
      <c r="AH29" s="52">
        <f t="shared" si="2"/>
        <v>130.30000000000001</v>
      </c>
      <c r="AI29" s="53">
        <f t="shared" si="3"/>
        <v>71.2</v>
      </c>
      <c r="AK29" s="54"/>
    </row>
    <row r="30" spans="1:88" ht="15.75" thickBot="1" x14ac:dyDescent="0.3">
      <c r="A30" s="68" t="s">
        <v>37</v>
      </c>
      <c r="B30" s="69">
        <f t="shared" ref="B30:AF30" si="4">SUM(B11:B28)</f>
        <v>411</v>
      </c>
      <c r="C30" s="69">
        <f t="shared" si="4"/>
        <v>410.79999999999995</v>
      </c>
      <c r="D30" s="69">
        <f t="shared" si="4"/>
        <v>407.79999999999995</v>
      </c>
      <c r="E30" s="69">
        <f t="shared" si="4"/>
        <v>407.59999999999997</v>
      </c>
      <c r="F30" s="69">
        <f t="shared" si="4"/>
        <v>408</v>
      </c>
      <c r="G30" s="69">
        <f t="shared" si="4"/>
        <v>407.29999999999995</v>
      </c>
      <c r="H30" s="69">
        <f t="shared" si="4"/>
        <v>407.29999999999995</v>
      </c>
      <c r="I30" s="69">
        <f t="shared" si="4"/>
        <v>408.19999999999993</v>
      </c>
      <c r="J30" s="69">
        <f t="shared" si="4"/>
        <v>408.1</v>
      </c>
      <c r="K30" s="69">
        <f t="shared" si="4"/>
        <v>411.59999999999997</v>
      </c>
      <c r="L30" s="69">
        <f t="shared" si="4"/>
        <v>410.9</v>
      </c>
      <c r="M30" s="69">
        <f t="shared" si="4"/>
        <v>410.9</v>
      </c>
      <c r="N30" s="69">
        <f t="shared" si="4"/>
        <v>408.5</v>
      </c>
      <c r="O30" s="69">
        <f t="shared" si="4"/>
        <v>404.09999999999997</v>
      </c>
      <c r="P30" s="69">
        <f t="shared" si="4"/>
        <v>404.09999999999997</v>
      </c>
      <c r="Q30" s="69">
        <f t="shared" si="4"/>
        <v>402.29999999999995</v>
      </c>
      <c r="R30" s="69">
        <f t="shared" si="4"/>
        <v>401.4</v>
      </c>
      <c r="S30" s="69">
        <f t="shared" si="4"/>
        <v>402.1</v>
      </c>
      <c r="T30" s="69">
        <f t="shared" si="4"/>
        <v>407.7</v>
      </c>
      <c r="U30" s="69">
        <f t="shared" si="4"/>
        <v>408</v>
      </c>
      <c r="V30" s="69">
        <f>SUM(V11:V28)</f>
        <v>414.59999999999997</v>
      </c>
      <c r="W30" s="69">
        <f t="shared" si="4"/>
        <v>412.7</v>
      </c>
      <c r="X30" s="69">
        <f t="shared" si="4"/>
        <v>419.09999999999997</v>
      </c>
      <c r="Y30" s="69">
        <f t="shared" si="4"/>
        <v>421.29999999999995</v>
      </c>
      <c r="Z30" s="69">
        <f t="shared" si="4"/>
        <v>420.09999999999997</v>
      </c>
      <c r="AA30" s="69">
        <f t="shared" si="4"/>
        <v>415.19999999999993</v>
      </c>
      <c r="AB30" s="69">
        <f t="shared" si="4"/>
        <v>413.09999999999997</v>
      </c>
      <c r="AC30" s="69">
        <f t="shared" si="4"/>
        <v>414.7</v>
      </c>
      <c r="AD30" s="69">
        <f t="shared" si="4"/>
        <v>411.2</v>
      </c>
      <c r="AE30" s="69">
        <f t="shared" si="4"/>
        <v>412.5</v>
      </c>
      <c r="AF30" s="69">
        <f t="shared" si="4"/>
        <v>413.29999999999995</v>
      </c>
      <c r="AG30" s="59">
        <f>SUM(AG11:AG29)</f>
        <v>729.2</v>
      </c>
      <c r="AH30" s="52">
        <f t="shared" si="2"/>
        <v>421.29999999999995</v>
      </c>
      <c r="AI30" s="53">
        <f t="shared" si="3"/>
        <v>401.4</v>
      </c>
      <c r="AK30" s="54"/>
    </row>
    <row r="31" spans="1:88" x14ac:dyDescent="0.25">
      <c r="A31" s="55" t="s">
        <v>38</v>
      </c>
      <c r="B31" s="56">
        <v>97</v>
      </c>
      <c r="C31" s="56">
        <v>96.8</v>
      </c>
      <c r="D31" s="56">
        <v>97</v>
      </c>
      <c r="E31" s="56">
        <v>96.9</v>
      </c>
      <c r="F31" s="56">
        <v>96.8</v>
      </c>
      <c r="G31" s="56">
        <v>97</v>
      </c>
      <c r="H31" s="56">
        <v>97</v>
      </c>
      <c r="I31" s="56">
        <v>96.7</v>
      </c>
      <c r="J31" s="56">
        <v>97</v>
      </c>
      <c r="K31" s="56">
        <v>47.1</v>
      </c>
      <c r="L31" s="49">
        <v>97</v>
      </c>
      <c r="M31" s="49">
        <v>97</v>
      </c>
      <c r="N31" s="49">
        <v>96.9</v>
      </c>
      <c r="O31" s="49">
        <v>96.9</v>
      </c>
      <c r="P31" s="49">
        <v>97</v>
      </c>
      <c r="Q31" s="49">
        <v>97</v>
      </c>
      <c r="R31" s="49">
        <v>96.9</v>
      </c>
      <c r="S31" s="49">
        <v>97</v>
      </c>
      <c r="T31" s="49">
        <v>96.9</v>
      </c>
      <c r="U31" s="49">
        <v>96.7</v>
      </c>
      <c r="V31" s="49">
        <v>96</v>
      </c>
      <c r="W31" s="49">
        <v>96.9</v>
      </c>
      <c r="X31" s="49">
        <v>96.8</v>
      </c>
      <c r="Y31" s="49">
        <v>96.8</v>
      </c>
      <c r="Z31" s="49">
        <v>98</v>
      </c>
      <c r="AA31" s="48">
        <v>96.9</v>
      </c>
      <c r="AB31" s="48">
        <v>96.8</v>
      </c>
      <c r="AC31" s="48">
        <v>96.9</v>
      </c>
      <c r="AD31" s="48">
        <v>97</v>
      </c>
      <c r="AE31" s="48">
        <v>96.9</v>
      </c>
      <c r="AF31" s="48">
        <v>96.8</v>
      </c>
      <c r="AG31" s="57">
        <v>144</v>
      </c>
      <c r="AH31" s="52">
        <f t="shared" si="2"/>
        <v>98</v>
      </c>
      <c r="AI31" s="53">
        <f t="shared" si="3"/>
        <v>47.1</v>
      </c>
      <c r="AK31" s="54"/>
    </row>
    <row r="32" spans="1:88" x14ac:dyDescent="0.25">
      <c r="A32" s="58" t="s">
        <v>39</v>
      </c>
      <c r="B32" s="56">
        <v>70.099999999999994</v>
      </c>
      <c r="C32" s="56">
        <v>70</v>
      </c>
      <c r="D32" s="56">
        <v>69.900000000000006</v>
      </c>
      <c r="E32" s="56">
        <v>69.900000000000006</v>
      </c>
      <c r="F32" s="56">
        <v>71.7</v>
      </c>
      <c r="G32" s="56">
        <v>70.2</v>
      </c>
      <c r="H32" s="56">
        <v>70.2</v>
      </c>
      <c r="I32" s="56">
        <v>70.099999999999994</v>
      </c>
      <c r="J32" s="56">
        <v>70.400000000000006</v>
      </c>
      <c r="K32" s="56">
        <v>69.3</v>
      </c>
      <c r="L32" s="70">
        <v>70</v>
      </c>
      <c r="M32" s="70">
        <v>70</v>
      </c>
      <c r="N32" s="70">
        <v>69.900000000000006</v>
      </c>
      <c r="O32" s="70">
        <v>69.7</v>
      </c>
      <c r="P32" s="70">
        <v>70.599999999999994</v>
      </c>
      <c r="Q32" s="70">
        <v>70.599999999999994</v>
      </c>
      <c r="R32" s="70">
        <v>71.099999999999994</v>
      </c>
      <c r="S32" s="70">
        <v>70.8</v>
      </c>
      <c r="T32" s="70">
        <v>70.2</v>
      </c>
      <c r="U32" s="70">
        <v>70.2</v>
      </c>
      <c r="V32" s="70">
        <v>72.3</v>
      </c>
      <c r="W32" s="70">
        <v>71.5</v>
      </c>
      <c r="X32" s="70">
        <v>49.1</v>
      </c>
      <c r="Y32" s="70">
        <v>70.2</v>
      </c>
      <c r="Z32" s="70">
        <v>69.7</v>
      </c>
      <c r="AA32" s="56">
        <v>69.599999999999994</v>
      </c>
      <c r="AB32" s="56">
        <v>70</v>
      </c>
      <c r="AC32" s="56">
        <v>69.3</v>
      </c>
      <c r="AD32" s="56">
        <v>69.2</v>
      </c>
      <c r="AE32" s="56">
        <v>69.2</v>
      </c>
      <c r="AF32" s="56">
        <v>69.3</v>
      </c>
      <c r="AG32" s="59">
        <v>70</v>
      </c>
      <c r="AH32" s="52">
        <f t="shared" si="2"/>
        <v>72.3</v>
      </c>
      <c r="AI32" s="53">
        <f t="shared" si="3"/>
        <v>49.1</v>
      </c>
      <c r="AK32" s="54"/>
    </row>
    <row r="33" spans="1:41" x14ac:dyDescent="0.25">
      <c r="A33" s="58" t="s">
        <v>40</v>
      </c>
      <c r="B33" s="56">
        <v>63.1</v>
      </c>
      <c r="C33" s="56">
        <v>62.7</v>
      </c>
      <c r="D33" s="56">
        <v>62.9</v>
      </c>
      <c r="E33" s="56">
        <v>62.9</v>
      </c>
      <c r="F33" s="56">
        <v>62.8</v>
      </c>
      <c r="G33" s="56">
        <v>63.4</v>
      </c>
      <c r="H33" s="56">
        <v>63.4</v>
      </c>
      <c r="I33" s="56">
        <v>62.8</v>
      </c>
      <c r="J33" s="56">
        <v>62.4</v>
      </c>
      <c r="K33" s="56">
        <v>53.6</v>
      </c>
      <c r="L33" s="70">
        <v>53</v>
      </c>
      <c r="M33" s="70">
        <v>62</v>
      </c>
      <c r="N33" s="70">
        <v>62.9</v>
      </c>
      <c r="O33" s="70">
        <v>63</v>
      </c>
      <c r="P33" s="70">
        <v>62.5</v>
      </c>
      <c r="Q33" s="70">
        <v>62.5</v>
      </c>
      <c r="R33" s="70">
        <v>62.7</v>
      </c>
      <c r="S33" s="70">
        <v>62.3</v>
      </c>
      <c r="T33" s="70">
        <v>63</v>
      </c>
      <c r="U33" s="70">
        <v>40.299999999999997</v>
      </c>
      <c r="V33" s="70">
        <v>38</v>
      </c>
      <c r="W33" s="70">
        <v>43.6</v>
      </c>
      <c r="X33" s="70">
        <v>50.3</v>
      </c>
      <c r="Y33" s="70">
        <v>63.3</v>
      </c>
      <c r="Z33" s="70">
        <v>62.6</v>
      </c>
      <c r="AA33" s="56">
        <v>63.1</v>
      </c>
      <c r="AB33" s="56">
        <v>44.2</v>
      </c>
      <c r="AC33" s="56">
        <v>44.2</v>
      </c>
      <c r="AD33" s="56">
        <v>62</v>
      </c>
      <c r="AE33" s="56">
        <v>62.4</v>
      </c>
      <c r="AF33" s="56">
        <v>62</v>
      </c>
      <c r="AG33" s="59">
        <v>69</v>
      </c>
      <c r="AH33" s="52">
        <f t="shared" si="2"/>
        <v>63.4</v>
      </c>
      <c r="AI33" s="53">
        <f t="shared" si="3"/>
        <v>38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28.7</v>
      </c>
      <c r="E34" s="56">
        <v>28.7</v>
      </c>
      <c r="F34" s="56">
        <v>28.5</v>
      </c>
      <c r="G34" s="56">
        <v>22.5</v>
      </c>
      <c r="H34" s="56">
        <v>22.5</v>
      </c>
      <c r="I34" s="56">
        <v>28.2</v>
      </c>
      <c r="J34" s="56">
        <v>28.2</v>
      </c>
      <c r="K34" s="56">
        <v>28.5</v>
      </c>
      <c r="L34" s="70">
        <v>28.5</v>
      </c>
      <c r="M34" s="70">
        <v>28.5</v>
      </c>
      <c r="N34" s="70">
        <v>28.5</v>
      </c>
      <c r="O34" s="70">
        <v>28.5</v>
      </c>
      <c r="P34" s="70">
        <v>28.5</v>
      </c>
      <c r="Q34" s="70">
        <v>28.5</v>
      </c>
      <c r="R34" s="70">
        <v>28.7</v>
      </c>
      <c r="S34" s="70">
        <v>28.5</v>
      </c>
      <c r="T34" s="70">
        <v>28.5</v>
      </c>
      <c r="U34" s="70">
        <v>28.2</v>
      </c>
      <c r="V34" s="70">
        <v>28.2</v>
      </c>
      <c r="W34" s="70">
        <v>28.5</v>
      </c>
      <c r="X34" s="70">
        <v>28.5</v>
      </c>
      <c r="Y34" s="70">
        <v>28.7</v>
      </c>
      <c r="Z34" s="70">
        <v>28.7</v>
      </c>
      <c r="AA34" s="56">
        <v>28.7</v>
      </c>
      <c r="AB34" s="56">
        <v>28.7</v>
      </c>
      <c r="AC34" s="56">
        <v>28.7</v>
      </c>
      <c r="AD34" s="56">
        <v>28.7</v>
      </c>
      <c r="AE34" s="56">
        <v>28.7</v>
      </c>
      <c r="AF34" s="56">
        <v>28.7</v>
      </c>
      <c r="AG34" s="59">
        <v>60</v>
      </c>
      <c r="AH34" s="52">
        <f t="shared" si="2"/>
        <v>28.7</v>
      </c>
      <c r="AI34" s="53">
        <f t="shared" si="3"/>
        <v>22.5</v>
      </c>
      <c r="AK34" s="54"/>
    </row>
    <row r="35" spans="1:41" x14ac:dyDescent="0.25">
      <c r="A35" s="58" t="s">
        <v>42</v>
      </c>
      <c r="B35" s="56">
        <v>20</v>
      </c>
      <c r="C35" s="56">
        <v>20</v>
      </c>
      <c r="D35" s="56">
        <v>10.6</v>
      </c>
      <c r="E35" s="56">
        <v>10.5</v>
      </c>
      <c r="F35" s="56">
        <v>10.7</v>
      </c>
      <c r="G35" s="56">
        <v>11.1</v>
      </c>
      <c r="H35" s="56">
        <v>11.1</v>
      </c>
      <c r="I35" s="56">
        <v>0</v>
      </c>
      <c r="J35" s="56">
        <v>0</v>
      </c>
      <c r="K35" s="56">
        <v>10.6</v>
      </c>
      <c r="L35" s="49">
        <v>25</v>
      </c>
      <c r="M35" s="49">
        <v>30</v>
      </c>
      <c r="N35" s="49">
        <v>30</v>
      </c>
      <c r="O35" s="49">
        <v>30</v>
      </c>
      <c r="P35" s="49">
        <v>30</v>
      </c>
      <c r="Q35" s="49">
        <v>30</v>
      </c>
      <c r="R35" s="49">
        <v>30</v>
      </c>
      <c r="S35" s="49">
        <v>23</v>
      </c>
      <c r="T35" s="49">
        <v>19.600000000000001</v>
      </c>
      <c r="U35" s="49">
        <v>14.9</v>
      </c>
      <c r="V35" s="70">
        <v>14.8</v>
      </c>
      <c r="W35" s="70">
        <v>14.9</v>
      </c>
      <c r="X35" s="70">
        <v>11</v>
      </c>
      <c r="Y35" s="70">
        <v>14.7</v>
      </c>
      <c r="Z35" s="70">
        <v>14.7</v>
      </c>
      <c r="AA35" s="56">
        <v>14.7</v>
      </c>
      <c r="AB35" s="56">
        <v>15</v>
      </c>
      <c r="AC35" s="56">
        <v>15.1</v>
      </c>
      <c r="AD35" s="56">
        <v>15</v>
      </c>
      <c r="AE35" s="56">
        <v>29.6</v>
      </c>
      <c r="AF35" s="56">
        <v>29.5</v>
      </c>
      <c r="AG35" s="59">
        <v>30</v>
      </c>
      <c r="AH35" s="52">
        <f t="shared" si="2"/>
        <v>30</v>
      </c>
      <c r="AI35" s="53">
        <f t="shared" si="3"/>
        <v>0</v>
      </c>
      <c r="AK35" s="54"/>
    </row>
    <row r="36" spans="1:41" x14ac:dyDescent="0.25">
      <c r="A36" s="58" t="s">
        <v>43</v>
      </c>
      <c r="B36" s="71">
        <v>16.5</v>
      </c>
      <c r="C36" s="71">
        <v>16.5</v>
      </c>
      <c r="D36" s="71">
        <v>16.5</v>
      </c>
      <c r="E36" s="71">
        <v>16.5</v>
      </c>
      <c r="F36" s="71">
        <v>16.8</v>
      </c>
      <c r="G36" s="71">
        <v>16.8</v>
      </c>
      <c r="H36" s="71">
        <v>16.8</v>
      </c>
      <c r="I36" s="71">
        <v>16.7</v>
      </c>
      <c r="J36" s="71">
        <v>16.7</v>
      </c>
      <c r="K36" s="71">
        <v>16.7</v>
      </c>
      <c r="L36" s="71">
        <v>16.7</v>
      </c>
      <c r="M36" s="71">
        <v>16.7</v>
      </c>
      <c r="N36" s="49">
        <v>16.7</v>
      </c>
      <c r="O36" s="49">
        <v>16.7</v>
      </c>
      <c r="P36" s="49">
        <v>16.5</v>
      </c>
      <c r="Q36" s="49">
        <v>16.5</v>
      </c>
      <c r="R36" s="49">
        <v>16.5</v>
      </c>
      <c r="S36" s="49">
        <v>16.600000000000001</v>
      </c>
      <c r="T36" s="49">
        <v>16.7</v>
      </c>
      <c r="U36" s="49">
        <v>16.7</v>
      </c>
      <c r="V36" s="49">
        <v>16.8</v>
      </c>
      <c r="W36" s="49">
        <v>10</v>
      </c>
      <c r="X36" s="49">
        <v>16.7</v>
      </c>
      <c r="Y36" s="49">
        <v>17</v>
      </c>
      <c r="Z36" s="49">
        <v>16.899999999999999</v>
      </c>
      <c r="AA36" s="56">
        <v>16.899999999999999</v>
      </c>
      <c r="AB36" s="56">
        <v>16.899999999999999</v>
      </c>
      <c r="AC36" s="56">
        <v>16.899999999999999</v>
      </c>
      <c r="AD36" s="56">
        <v>16.8</v>
      </c>
      <c r="AE36" s="56">
        <v>16.8</v>
      </c>
      <c r="AF36" s="56">
        <v>16.8</v>
      </c>
      <c r="AG36" s="59">
        <v>24</v>
      </c>
      <c r="AH36" s="52">
        <f t="shared" si="2"/>
        <v>17</v>
      </c>
      <c r="AI36" s="53">
        <f t="shared" si="3"/>
        <v>10</v>
      </c>
      <c r="AK36" s="54"/>
    </row>
    <row r="37" spans="1:41" x14ac:dyDescent="0.25">
      <c r="A37" s="58" t="s">
        <v>44</v>
      </c>
      <c r="B37" s="56">
        <v>2.2999999999999998</v>
      </c>
      <c r="C37" s="56">
        <v>2.2999999999999998</v>
      </c>
      <c r="D37" s="56">
        <v>2.2999999999999998</v>
      </c>
      <c r="E37" s="56">
        <v>2.1</v>
      </c>
      <c r="F37" s="56">
        <v>2.1</v>
      </c>
      <c r="G37" s="56">
        <v>2.1</v>
      </c>
      <c r="H37" s="56">
        <v>2.1</v>
      </c>
      <c r="I37" s="56">
        <v>2.1</v>
      </c>
      <c r="J37" s="56">
        <v>2.1</v>
      </c>
      <c r="K37" s="56">
        <v>2.1</v>
      </c>
      <c r="L37" s="56">
        <v>2.1</v>
      </c>
      <c r="M37" s="56">
        <v>2.1</v>
      </c>
      <c r="N37" s="49">
        <v>2.1</v>
      </c>
      <c r="O37" s="49">
        <v>2.1</v>
      </c>
      <c r="P37" s="49">
        <v>2.1</v>
      </c>
      <c r="Q37" s="49">
        <v>2.1</v>
      </c>
      <c r="R37" s="49">
        <v>2.1</v>
      </c>
      <c r="S37" s="49">
        <v>2.1</v>
      </c>
      <c r="T37" s="49">
        <v>2.1</v>
      </c>
      <c r="U37" s="49">
        <v>2.1</v>
      </c>
      <c r="V37" s="49">
        <v>2.1</v>
      </c>
      <c r="W37" s="49">
        <v>2.1</v>
      </c>
      <c r="X37" s="49">
        <v>2.1</v>
      </c>
      <c r="Y37" s="49">
        <v>2.1</v>
      </c>
      <c r="Z37" s="49">
        <v>2.1</v>
      </c>
      <c r="AA37" s="56">
        <v>2.1</v>
      </c>
      <c r="AB37" s="56">
        <v>2.1</v>
      </c>
      <c r="AC37" s="56">
        <v>2.1</v>
      </c>
      <c r="AD37" s="56">
        <v>2.1</v>
      </c>
      <c r="AE37" s="56">
        <v>2.1</v>
      </c>
      <c r="AF37" s="56">
        <v>2.1</v>
      </c>
      <c r="AG37" s="59">
        <v>15</v>
      </c>
      <c r="AH37" s="52">
        <f t="shared" si="2"/>
        <v>2.2999999999999998</v>
      </c>
      <c r="AI37" s="53">
        <f t="shared" si="3"/>
        <v>2.1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56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12</v>
      </c>
      <c r="C39" s="71">
        <v>12</v>
      </c>
      <c r="D39" s="71">
        <v>12</v>
      </c>
      <c r="E39" s="71">
        <v>12</v>
      </c>
      <c r="F39" s="71">
        <v>12</v>
      </c>
      <c r="G39" s="71">
        <v>12</v>
      </c>
      <c r="H39" s="71">
        <v>12</v>
      </c>
      <c r="I39" s="71">
        <v>12</v>
      </c>
      <c r="J39" s="71">
        <v>12</v>
      </c>
      <c r="K39" s="71">
        <v>12</v>
      </c>
      <c r="L39" s="71">
        <v>12</v>
      </c>
      <c r="M39" s="71">
        <v>12</v>
      </c>
      <c r="N39" s="49">
        <v>12</v>
      </c>
      <c r="O39" s="49">
        <v>12</v>
      </c>
      <c r="P39" s="49">
        <v>12</v>
      </c>
      <c r="Q39" s="49">
        <v>12</v>
      </c>
      <c r="R39" s="49">
        <v>12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49">
        <v>12</v>
      </c>
      <c r="AA39" s="56">
        <v>12</v>
      </c>
      <c r="AB39" s="56">
        <v>12</v>
      </c>
      <c r="AC39" s="56">
        <v>12</v>
      </c>
      <c r="AD39" s="56">
        <v>12</v>
      </c>
      <c r="AE39" s="56">
        <v>12</v>
      </c>
      <c r="AF39" s="56">
        <v>12</v>
      </c>
      <c r="AG39" s="59">
        <v>14</v>
      </c>
      <c r="AH39" s="52">
        <f t="shared" si="2"/>
        <v>12</v>
      </c>
      <c r="AI39" s="53">
        <f t="shared" si="3"/>
        <v>12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9.1999999999999993</v>
      </c>
      <c r="C40" s="56">
        <v>9.1999999999999993</v>
      </c>
      <c r="D40" s="56">
        <v>9.3000000000000007</v>
      </c>
      <c r="E40" s="56">
        <v>9.3000000000000007</v>
      </c>
      <c r="F40" s="56">
        <v>9.1999999999999993</v>
      </c>
      <c r="G40" s="56">
        <v>9.1999999999999993</v>
      </c>
      <c r="H40" s="56">
        <v>9.1999999999999993</v>
      </c>
      <c r="I40" s="56">
        <v>9.1999999999999993</v>
      </c>
      <c r="J40" s="56">
        <v>9.1999999999999993</v>
      </c>
      <c r="K40" s="56">
        <v>9.1999999999999993</v>
      </c>
      <c r="L40" s="56">
        <v>9.1999999999999993</v>
      </c>
      <c r="M40" s="56">
        <v>9.1999999999999993</v>
      </c>
      <c r="N40" s="49">
        <v>9.1999999999999993</v>
      </c>
      <c r="O40" s="49">
        <v>9.1999999999999993</v>
      </c>
      <c r="P40" s="49">
        <v>9.1999999999999993</v>
      </c>
      <c r="Q40" s="49">
        <v>9.1999999999999993</v>
      </c>
      <c r="R40" s="49">
        <v>9.1999999999999993</v>
      </c>
      <c r="S40" s="49">
        <v>8.6999999999999993</v>
      </c>
      <c r="T40" s="49">
        <v>8.8000000000000007</v>
      </c>
      <c r="U40" s="49">
        <v>8.1</v>
      </c>
      <c r="V40" s="49">
        <v>8</v>
      </c>
      <c r="W40" s="49">
        <v>8.1999999999999993</v>
      </c>
      <c r="X40" s="49">
        <v>8.9</v>
      </c>
      <c r="Y40" s="49">
        <v>8.9</v>
      </c>
      <c r="Z40" s="49">
        <v>8.8000000000000007</v>
      </c>
      <c r="AA40" s="56">
        <v>9.1</v>
      </c>
      <c r="AB40" s="56">
        <v>9</v>
      </c>
      <c r="AC40" s="56">
        <v>9.1</v>
      </c>
      <c r="AD40" s="56">
        <v>9.1999999999999993</v>
      </c>
      <c r="AE40" s="56">
        <v>9.4</v>
      </c>
      <c r="AF40" s="56">
        <v>9.5</v>
      </c>
      <c r="AG40" s="59">
        <v>10.050000000000001</v>
      </c>
      <c r="AH40" s="52">
        <f t="shared" si="2"/>
        <v>9.5</v>
      </c>
      <c r="AI40" s="53">
        <f t="shared" si="3"/>
        <v>8</v>
      </c>
      <c r="AK40" s="54"/>
    </row>
    <row r="41" spans="1:41" x14ac:dyDescent="0.2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56">
        <v>5</v>
      </c>
      <c r="M41" s="56">
        <v>5</v>
      </c>
      <c r="N41" s="49">
        <v>5</v>
      </c>
      <c r="O41" s="49">
        <v>5</v>
      </c>
      <c r="P41" s="49">
        <v>5</v>
      </c>
      <c r="Q41" s="49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56">
        <v>5</v>
      </c>
      <c r="AB41" s="56">
        <v>5</v>
      </c>
      <c r="AC41" s="56">
        <v>5</v>
      </c>
      <c r="AD41" s="56">
        <v>5</v>
      </c>
      <c r="AE41" s="56">
        <v>5</v>
      </c>
      <c r="AF41" s="56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73"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337.24</v>
      </c>
      <c r="C43" s="69">
        <f t="shared" si="6"/>
        <v>336.54</v>
      </c>
      <c r="D43" s="69">
        <f t="shared" si="6"/>
        <v>327.74000000000007</v>
      </c>
      <c r="E43" s="69">
        <f t="shared" si="6"/>
        <v>327.34000000000009</v>
      </c>
      <c r="F43" s="69">
        <f t="shared" si="6"/>
        <v>329.14000000000004</v>
      </c>
      <c r="G43" s="69">
        <f t="shared" si="6"/>
        <v>322.84000000000003</v>
      </c>
      <c r="H43" s="69">
        <f t="shared" si="6"/>
        <v>322.84000000000003</v>
      </c>
      <c r="I43" s="69">
        <f t="shared" si="6"/>
        <v>316.34000000000003</v>
      </c>
      <c r="J43" s="69">
        <f t="shared" si="6"/>
        <v>316.54000000000002</v>
      </c>
      <c r="K43" s="69">
        <f t="shared" si="6"/>
        <v>267.64</v>
      </c>
      <c r="L43" s="69">
        <f t="shared" si="6"/>
        <v>332.04</v>
      </c>
      <c r="M43" s="69">
        <f t="shared" si="6"/>
        <v>346.04</v>
      </c>
      <c r="N43" s="69">
        <f t="shared" si="6"/>
        <v>346.74000000000007</v>
      </c>
      <c r="O43" s="69">
        <f t="shared" si="6"/>
        <v>346.64000000000004</v>
      </c>
      <c r="P43" s="69">
        <f t="shared" si="6"/>
        <v>346.94000000000005</v>
      </c>
      <c r="Q43" s="69">
        <f t="shared" si="6"/>
        <v>346.94000000000005</v>
      </c>
      <c r="R43" s="69">
        <f t="shared" si="6"/>
        <v>347.74</v>
      </c>
      <c r="S43" s="69">
        <f t="shared" si="6"/>
        <v>339.54000000000008</v>
      </c>
      <c r="T43" s="69">
        <f t="shared" si="6"/>
        <v>336.34000000000009</v>
      </c>
      <c r="U43" s="69">
        <f t="shared" si="6"/>
        <v>307.74000000000007</v>
      </c>
      <c r="V43" s="69">
        <f t="shared" si="6"/>
        <v>306.74000000000007</v>
      </c>
      <c r="W43" s="69">
        <f t="shared" si="6"/>
        <v>306.24</v>
      </c>
      <c r="X43" s="69">
        <f t="shared" si="6"/>
        <v>293.94</v>
      </c>
      <c r="Y43" s="69">
        <f t="shared" si="6"/>
        <v>332.24</v>
      </c>
      <c r="Z43" s="69">
        <f t="shared" si="6"/>
        <v>332.04</v>
      </c>
      <c r="AA43" s="69">
        <f t="shared" si="6"/>
        <v>331.64000000000004</v>
      </c>
      <c r="AB43" s="69">
        <f t="shared" si="6"/>
        <v>313.24</v>
      </c>
      <c r="AC43" s="69">
        <f t="shared" si="6"/>
        <v>312.84000000000003</v>
      </c>
      <c r="AD43" s="69">
        <f t="shared" si="6"/>
        <v>330.54</v>
      </c>
      <c r="AE43" s="69">
        <f t="shared" si="6"/>
        <v>345.6400000000001</v>
      </c>
      <c r="AF43" s="69">
        <f t="shared" si="6"/>
        <v>345.24000000000007</v>
      </c>
      <c r="AG43" s="74">
        <f>SUM(AG31:AG42)</f>
        <v>464.91</v>
      </c>
      <c r="AH43" s="52">
        <f t="shared" si="2"/>
        <v>347.74</v>
      </c>
      <c r="AI43" s="53">
        <f t="shared" si="3"/>
        <v>267.64</v>
      </c>
      <c r="AK43" s="54"/>
    </row>
    <row r="44" spans="1:41" x14ac:dyDescent="0.25">
      <c r="A44" s="55" t="s">
        <v>51</v>
      </c>
      <c r="B44" s="56">
        <v>29.8</v>
      </c>
      <c r="C44" s="56">
        <v>29.8</v>
      </c>
      <c r="D44" s="56">
        <v>23.9</v>
      </c>
      <c r="E44" s="56">
        <v>23.9</v>
      </c>
      <c r="F44" s="56">
        <v>13.9</v>
      </c>
      <c r="G44" s="56">
        <v>28</v>
      </c>
      <c r="H44" s="56">
        <v>28</v>
      </c>
      <c r="I44" s="56">
        <v>50.5</v>
      </c>
      <c r="J44" s="56">
        <v>59.8</v>
      </c>
      <c r="K44" s="56">
        <v>39.5</v>
      </c>
      <c r="L44" s="75">
        <v>39.9</v>
      </c>
      <c r="M44" s="75">
        <v>28</v>
      </c>
      <c r="N44" s="75">
        <v>0</v>
      </c>
      <c r="O44" s="75">
        <v>0</v>
      </c>
      <c r="P44" s="49">
        <v>30</v>
      </c>
      <c r="Q44" s="49">
        <v>29.3</v>
      </c>
      <c r="R44" s="49">
        <v>19</v>
      </c>
      <c r="S44" s="49">
        <v>29.5</v>
      </c>
      <c r="T44" s="49">
        <v>29.3</v>
      </c>
      <c r="U44" s="49">
        <v>13.4</v>
      </c>
      <c r="V44" s="49">
        <v>0</v>
      </c>
      <c r="W44" s="49">
        <v>0</v>
      </c>
      <c r="X44" s="49">
        <v>0</v>
      </c>
      <c r="Y44" s="49">
        <v>0</v>
      </c>
      <c r="Z44" s="49">
        <v>55.9</v>
      </c>
      <c r="AA44" s="49">
        <v>59.7</v>
      </c>
      <c r="AB44" s="49">
        <v>59.7</v>
      </c>
      <c r="AC44" s="49">
        <v>59.5</v>
      </c>
      <c r="AD44" s="49">
        <v>59.5</v>
      </c>
      <c r="AE44" s="49">
        <v>58.9</v>
      </c>
      <c r="AF44" s="49">
        <v>44.2</v>
      </c>
      <c r="AG44" s="57">
        <v>60</v>
      </c>
      <c r="AH44" s="52">
        <f t="shared" si="2"/>
        <v>59.8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12.5</v>
      </c>
      <c r="C45" s="56">
        <v>12.5</v>
      </c>
      <c r="D45" s="56">
        <v>11.2</v>
      </c>
      <c r="E45" s="56">
        <v>12.3</v>
      </c>
      <c r="F45" s="56">
        <v>7.1</v>
      </c>
      <c r="G45" s="56">
        <v>14.7</v>
      </c>
      <c r="H45" s="56">
        <v>14.7</v>
      </c>
      <c r="I45" s="56">
        <v>20.7</v>
      </c>
      <c r="J45" s="56">
        <v>30.7</v>
      </c>
      <c r="K45" s="56">
        <v>19.3</v>
      </c>
      <c r="L45" s="75">
        <v>18.600000000000001</v>
      </c>
      <c r="M45" s="75">
        <v>14</v>
      </c>
      <c r="N45" s="75">
        <v>0</v>
      </c>
      <c r="O45" s="75">
        <v>0</v>
      </c>
      <c r="P45" s="70">
        <v>15.1</v>
      </c>
      <c r="Q45" s="70">
        <v>5</v>
      </c>
      <c r="R45" s="49">
        <v>9.6999999999999993</v>
      </c>
      <c r="S45" s="49">
        <v>15.1</v>
      </c>
      <c r="T45" s="49">
        <v>13.3</v>
      </c>
      <c r="U45" s="70">
        <v>13.4</v>
      </c>
      <c r="V45" s="70">
        <v>0</v>
      </c>
      <c r="W45" s="70">
        <v>0</v>
      </c>
      <c r="X45" s="70">
        <v>0</v>
      </c>
      <c r="Y45" s="70">
        <v>0</v>
      </c>
      <c r="Z45" s="70">
        <v>24.8</v>
      </c>
      <c r="AA45" s="70">
        <v>30.5</v>
      </c>
      <c r="AB45" s="70">
        <v>30.4</v>
      </c>
      <c r="AC45" s="70">
        <v>30.5</v>
      </c>
      <c r="AD45" s="70">
        <v>30.2</v>
      </c>
      <c r="AE45" s="70">
        <v>24.7</v>
      </c>
      <c r="AF45" s="70">
        <v>20.5</v>
      </c>
      <c r="AG45" s="59">
        <v>32</v>
      </c>
      <c r="AH45" s="52">
        <f t="shared" si="2"/>
        <v>30.7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5.7</v>
      </c>
      <c r="C46" s="71">
        <v>5.7</v>
      </c>
      <c r="D46" s="71">
        <v>4.0999999999999996</v>
      </c>
      <c r="E46" s="71">
        <v>4.5</v>
      </c>
      <c r="F46" s="71">
        <v>2.6</v>
      </c>
      <c r="G46" s="71">
        <v>5.4</v>
      </c>
      <c r="H46" s="71">
        <v>5.4</v>
      </c>
      <c r="I46" s="71">
        <v>7.6</v>
      </c>
      <c r="J46" s="71">
        <v>11.2</v>
      </c>
      <c r="K46" s="71">
        <v>7.1</v>
      </c>
      <c r="L46" s="76">
        <v>6.8</v>
      </c>
      <c r="M46" s="76">
        <v>5</v>
      </c>
      <c r="N46" s="76">
        <v>0</v>
      </c>
      <c r="O46" s="76">
        <v>0</v>
      </c>
      <c r="P46" s="77">
        <v>5.5</v>
      </c>
      <c r="Q46" s="77">
        <v>5.5</v>
      </c>
      <c r="R46" s="49">
        <v>3.5</v>
      </c>
      <c r="S46" s="49">
        <v>5.5</v>
      </c>
      <c r="T46" s="49">
        <v>4.9000000000000004</v>
      </c>
      <c r="U46" s="77">
        <v>4.9000000000000004</v>
      </c>
      <c r="V46" s="77">
        <v>0</v>
      </c>
      <c r="W46" s="77">
        <v>0</v>
      </c>
      <c r="X46" s="77">
        <v>0</v>
      </c>
      <c r="Y46" s="77">
        <v>0</v>
      </c>
      <c r="Z46" s="77">
        <v>9.1</v>
      </c>
      <c r="AA46" s="77">
        <v>11.1</v>
      </c>
      <c r="AB46" s="77">
        <v>11.1</v>
      </c>
      <c r="AC46" s="77">
        <v>11.1</v>
      </c>
      <c r="AD46" s="77">
        <v>11</v>
      </c>
      <c r="AE46" s="77">
        <v>9</v>
      </c>
      <c r="AF46" s="77">
        <v>7.6</v>
      </c>
      <c r="AG46" s="78">
        <v>14</v>
      </c>
      <c r="AH46" s="52">
        <f t="shared" si="2"/>
        <v>11.2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 t="shared" ref="B47:AF47" si="7">SUM(B44:B46)</f>
        <v>48</v>
      </c>
      <c r="C47" s="69">
        <f t="shared" si="7"/>
        <v>48</v>
      </c>
      <c r="D47" s="69">
        <f t="shared" si="7"/>
        <v>39.199999999999996</v>
      </c>
      <c r="E47" s="69">
        <f t="shared" si="7"/>
        <v>40.700000000000003</v>
      </c>
      <c r="F47" s="69">
        <f t="shared" si="7"/>
        <v>23.6</v>
      </c>
      <c r="G47" s="69">
        <f t="shared" si="7"/>
        <v>48.1</v>
      </c>
      <c r="H47" s="69">
        <f t="shared" si="7"/>
        <v>48.1</v>
      </c>
      <c r="I47" s="69">
        <f t="shared" si="7"/>
        <v>78.8</v>
      </c>
      <c r="J47" s="69">
        <f t="shared" si="7"/>
        <v>101.7</v>
      </c>
      <c r="K47" s="69">
        <f t="shared" si="7"/>
        <v>65.899999999999991</v>
      </c>
      <c r="L47" s="69">
        <f t="shared" si="7"/>
        <v>65.3</v>
      </c>
      <c r="M47" s="69">
        <f t="shared" si="7"/>
        <v>47</v>
      </c>
      <c r="N47" s="69">
        <f t="shared" si="7"/>
        <v>0</v>
      </c>
      <c r="O47" s="69">
        <f t="shared" si="7"/>
        <v>0</v>
      </c>
      <c r="P47" s="69">
        <f t="shared" si="7"/>
        <v>50.6</v>
      </c>
      <c r="Q47" s="69">
        <f t="shared" si="7"/>
        <v>39.799999999999997</v>
      </c>
      <c r="R47" s="69">
        <f t="shared" si="7"/>
        <v>32.200000000000003</v>
      </c>
      <c r="S47" s="69">
        <f t="shared" si="7"/>
        <v>50.1</v>
      </c>
      <c r="T47" s="69">
        <f t="shared" si="7"/>
        <v>47.5</v>
      </c>
      <c r="U47" s="69">
        <f t="shared" si="7"/>
        <v>31.700000000000003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89.8</v>
      </c>
      <c r="AA47" s="69">
        <f t="shared" si="7"/>
        <v>101.3</v>
      </c>
      <c r="AB47" s="69">
        <f t="shared" si="7"/>
        <v>101.19999999999999</v>
      </c>
      <c r="AC47" s="69">
        <f t="shared" si="7"/>
        <v>101.1</v>
      </c>
      <c r="AD47" s="69">
        <f t="shared" si="7"/>
        <v>100.7</v>
      </c>
      <c r="AE47" s="69">
        <f t="shared" si="7"/>
        <v>92.6</v>
      </c>
      <c r="AF47" s="69">
        <f t="shared" si="7"/>
        <v>72.3</v>
      </c>
      <c r="AG47" s="74">
        <f>SUM(AG44:AG46)</f>
        <v>106</v>
      </c>
      <c r="AH47" s="52">
        <f t="shared" si="2"/>
        <v>101.7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71.680000000000007</v>
      </c>
      <c r="C48" s="49">
        <v>68.03</v>
      </c>
      <c r="D48" s="49">
        <v>69.7</v>
      </c>
      <c r="E48" s="49">
        <v>72.290000000000006</v>
      </c>
      <c r="F48" s="49">
        <v>68.22</v>
      </c>
      <c r="G48" s="49">
        <v>62.2</v>
      </c>
      <c r="H48" s="49">
        <v>62.2</v>
      </c>
      <c r="I48" s="49">
        <v>69.900000000000006</v>
      </c>
      <c r="J48" s="49">
        <v>71.33</v>
      </c>
      <c r="K48" s="49">
        <v>59.8</v>
      </c>
      <c r="L48" s="49">
        <v>69.8</v>
      </c>
      <c r="M48" s="49">
        <v>70</v>
      </c>
      <c r="N48" s="49">
        <v>0</v>
      </c>
      <c r="O48" s="49">
        <v>0</v>
      </c>
      <c r="P48" s="49">
        <v>0</v>
      </c>
      <c r="Q48" s="49">
        <v>27.9</v>
      </c>
      <c r="R48" s="49">
        <v>68</v>
      </c>
      <c r="S48" s="49">
        <v>54.2</v>
      </c>
      <c r="T48" s="49">
        <v>67.599999999999994</v>
      </c>
      <c r="U48" s="49">
        <v>68.63</v>
      </c>
      <c r="V48" s="49">
        <v>69.900000000000006</v>
      </c>
      <c r="W48" s="49">
        <v>71.3</v>
      </c>
      <c r="X48" s="49">
        <v>74.12</v>
      </c>
      <c r="Y48" s="49">
        <v>70.41</v>
      </c>
      <c r="Z48" s="49">
        <v>69.55</v>
      </c>
      <c r="AA48" s="49">
        <v>77.77</v>
      </c>
      <c r="AB48" s="49">
        <v>76.900000000000006</v>
      </c>
      <c r="AC48" s="49">
        <v>76.62</v>
      </c>
      <c r="AD48" s="49">
        <v>76.8</v>
      </c>
      <c r="AE48" s="49">
        <v>65.900000000000006</v>
      </c>
      <c r="AF48" s="49">
        <v>63.7</v>
      </c>
      <c r="AG48" s="57"/>
      <c r="AH48" s="52">
        <f t="shared" si="2"/>
        <v>77.77</v>
      </c>
      <c r="AI48" s="53">
        <f t="shared" si="3"/>
        <v>0</v>
      </c>
      <c r="AK48" s="54"/>
    </row>
    <row r="49" spans="1:37" x14ac:dyDescent="0.25">
      <c r="A49" s="58" t="s">
        <v>56</v>
      </c>
      <c r="B49" s="70">
        <v>71</v>
      </c>
      <c r="C49" s="70">
        <v>56.1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38.6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0">
        <v>0</v>
      </c>
      <c r="AB49" s="70">
        <v>0</v>
      </c>
      <c r="AC49" s="70">
        <v>0</v>
      </c>
      <c r="AD49" s="70">
        <v>100</v>
      </c>
      <c r="AE49" s="70">
        <v>53.8</v>
      </c>
      <c r="AF49" s="70">
        <v>51.3</v>
      </c>
      <c r="AG49" s="59"/>
      <c r="AH49" s="52">
        <f t="shared" si="2"/>
        <v>100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97</v>
      </c>
      <c r="C50" s="70">
        <v>80</v>
      </c>
      <c r="D50" s="70">
        <v>150</v>
      </c>
      <c r="E50" s="70">
        <v>150</v>
      </c>
      <c r="F50" s="70">
        <v>142</v>
      </c>
      <c r="G50" s="49">
        <v>81</v>
      </c>
      <c r="H50" s="49">
        <v>81</v>
      </c>
      <c r="I50" s="49">
        <v>87.9</v>
      </c>
      <c r="J50" s="49">
        <v>86</v>
      </c>
      <c r="K50" s="49">
        <v>170</v>
      </c>
      <c r="L50" s="70">
        <v>171</v>
      </c>
      <c r="M50" s="70">
        <v>200</v>
      </c>
      <c r="N50" s="70">
        <v>294</v>
      </c>
      <c r="O50" s="70">
        <v>300</v>
      </c>
      <c r="P50" s="70">
        <v>299</v>
      </c>
      <c r="Q50" s="70">
        <v>290</v>
      </c>
      <c r="R50" s="70">
        <v>319</v>
      </c>
      <c r="S50" s="70">
        <v>314.5</v>
      </c>
      <c r="T50" s="70">
        <v>268.60000000000002</v>
      </c>
      <c r="U50" s="80">
        <v>248.3</v>
      </c>
      <c r="V50" s="80">
        <v>282</v>
      </c>
      <c r="W50" s="80">
        <v>232.3</v>
      </c>
      <c r="X50" s="80">
        <v>231.8</v>
      </c>
      <c r="Y50" s="80">
        <v>283.2</v>
      </c>
      <c r="Z50" s="80">
        <v>285.2</v>
      </c>
      <c r="AA50" s="70">
        <v>310</v>
      </c>
      <c r="AB50" s="70">
        <v>328</v>
      </c>
      <c r="AC50" s="70">
        <v>320</v>
      </c>
      <c r="AD50" s="70">
        <v>150</v>
      </c>
      <c r="AE50" s="70">
        <v>155</v>
      </c>
      <c r="AF50" s="70">
        <v>120</v>
      </c>
      <c r="AG50" s="81"/>
      <c r="AH50" s="52">
        <f t="shared" si="2"/>
        <v>328</v>
      </c>
      <c r="AI50" s="53">
        <f t="shared" si="3"/>
        <v>80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82">
        <v>0</v>
      </c>
      <c r="N51" s="82">
        <v>0</v>
      </c>
      <c r="O51" s="82">
        <v>0</v>
      </c>
      <c r="P51" s="70">
        <v>25</v>
      </c>
      <c r="Q51" s="70">
        <v>25</v>
      </c>
      <c r="R51" s="70">
        <v>16</v>
      </c>
      <c r="S51" s="70">
        <v>16</v>
      </c>
      <c r="T51" s="70">
        <v>16</v>
      </c>
      <c r="U51" s="70">
        <v>16</v>
      </c>
      <c r="V51" s="70">
        <v>15</v>
      </c>
      <c r="W51" s="70">
        <v>15</v>
      </c>
      <c r="X51" s="70">
        <v>15</v>
      </c>
      <c r="Y51" s="70">
        <v>0</v>
      </c>
      <c r="Z51" s="70">
        <v>15</v>
      </c>
      <c r="AA51" s="82">
        <v>15</v>
      </c>
      <c r="AB51" s="82">
        <v>15</v>
      </c>
      <c r="AC51" s="82">
        <v>24</v>
      </c>
      <c r="AD51" s="82">
        <v>24</v>
      </c>
      <c r="AE51" s="82">
        <v>0</v>
      </c>
      <c r="AF51" s="82">
        <v>0</v>
      </c>
      <c r="AG51" s="81"/>
      <c r="AH51" s="52">
        <f t="shared" si="2"/>
        <v>25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62</v>
      </c>
      <c r="M52" s="82">
        <v>63</v>
      </c>
      <c r="N52" s="82">
        <v>65</v>
      </c>
      <c r="O52" s="82">
        <v>66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82">
        <v>0</v>
      </c>
      <c r="AF52" s="82">
        <v>0</v>
      </c>
      <c r="AG52" s="81"/>
      <c r="AH52" s="52">
        <f t="shared" si="2"/>
        <v>66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70">
        <v>7.2</v>
      </c>
      <c r="D53" s="70">
        <v>7.2</v>
      </c>
      <c r="E53" s="70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3">
        <v>7</v>
      </c>
      <c r="N53" s="83">
        <v>9</v>
      </c>
      <c r="O53" s="83">
        <v>9</v>
      </c>
      <c r="P53" s="83">
        <v>9</v>
      </c>
      <c r="Q53" s="83">
        <v>9</v>
      </c>
      <c r="R53" s="83">
        <v>8</v>
      </c>
      <c r="S53" s="83">
        <v>8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49">
        <v>0</v>
      </c>
      <c r="AB53" s="49">
        <v>0</v>
      </c>
      <c r="AC53" s="49">
        <v>0</v>
      </c>
      <c r="AD53" s="49">
        <v>0</v>
      </c>
      <c r="AE53" s="82">
        <v>0</v>
      </c>
      <c r="AF53" s="82">
        <v>0</v>
      </c>
      <c r="AG53" s="81"/>
      <c r="AH53" s="52">
        <f t="shared" si="2"/>
        <v>9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70">
        <v>0</v>
      </c>
      <c r="D54" s="70">
        <v>0</v>
      </c>
      <c r="E54" s="70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49">
        <v>0</v>
      </c>
      <c r="AB54" s="49">
        <v>0</v>
      </c>
      <c r="AC54" s="49">
        <v>0</v>
      </c>
      <c r="AD54" s="49">
        <v>0</v>
      </c>
      <c r="AE54" s="82">
        <v>0</v>
      </c>
      <c r="AF54" s="82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49">
        <v>0</v>
      </c>
      <c r="AB55" s="49">
        <v>0</v>
      </c>
      <c r="AC55" s="49">
        <v>0</v>
      </c>
      <c r="AD55" s="49">
        <v>0</v>
      </c>
      <c r="AE55" s="82">
        <v>0</v>
      </c>
      <c r="AF55" s="82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49">
        <v>0</v>
      </c>
      <c r="AB56" s="49">
        <v>0</v>
      </c>
      <c r="AC56" s="49">
        <v>0</v>
      </c>
      <c r="AD56" s="49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70">
        <v>0</v>
      </c>
      <c r="D57" s="70">
        <v>0</v>
      </c>
      <c r="E57" s="70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2">
        <v>0</v>
      </c>
      <c r="N57" s="82">
        <v>0</v>
      </c>
      <c r="O57" s="82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49">
        <v>0</v>
      </c>
      <c r="AB57" s="49">
        <v>0</v>
      </c>
      <c r="AC57" s="49">
        <v>0</v>
      </c>
      <c r="AD57" s="49">
        <v>0</v>
      </c>
      <c r="AE57" s="82">
        <v>0</v>
      </c>
      <c r="AF57" s="82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70">
        <v>0</v>
      </c>
      <c r="D58" s="70">
        <v>0</v>
      </c>
      <c r="E58" s="70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2">
        <v>0</v>
      </c>
      <c r="N58" s="82">
        <v>0</v>
      </c>
      <c r="O58" s="82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49">
        <v>0</v>
      </c>
      <c r="AB58" s="49">
        <v>0</v>
      </c>
      <c r="AC58" s="49">
        <v>0</v>
      </c>
      <c r="AD58" s="49">
        <v>0</v>
      </c>
      <c r="AE58" s="82">
        <v>0</v>
      </c>
      <c r="AF58" s="82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 t="shared" ref="B59:AF59" si="8">SUM(B48:B58)</f>
        <v>239.68</v>
      </c>
      <c r="C59" s="69">
        <f t="shared" si="8"/>
        <v>211.32999999999998</v>
      </c>
      <c r="D59" s="69">
        <f t="shared" si="8"/>
        <v>226.89999999999998</v>
      </c>
      <c r="E59" s="69">
        <f t="shared" si="8"/>
        <v>222.29000000000002</v>
      </c>
      <c r="F59" s="69">
        <f t="shared" si="8"/>
        <v>210.22</v>
      </c>
      <c r="G59" s="69">
        <f t="shared" si="8"/>
        <v>143.19999999999999</v>
      </c>
      <c r="H59" s="69">
        <f t="shared" si="8"/>
        <v>143.19999999999999</v>
      </c>
      <c r="I59" s="69">
        <f t="shared" si="8"/>
        <v>157.80000000000001</v>
      </c>
      <c r="J59" s="69">
        <f t="shared" si="8"/>
        <v>157.32999999999998</v>
      </c>
      <c r="K59" s="69">
        <f t="shared" si="8"/>
        <v>229.8</v>
      </c>
      <c r="L59" s="69">
        <f t="shared" si="8"/>
        <v>302.8</v>
      </c>
      <c r="M59" s="69">
        <f t="shared" si="8"/>
        <v>340</v>
      </c>
      <c r="N59" s="69">
        <f t="shared" si="8"/>
        <v>368</v>
      </c>
      <c r="O59" s="69">
        <f t="shared" si="8"/>
        <v>375</v>
      </c>
      <c r="P59" s="69">
        <f t="shared" si="8"/>
        <v>333</v>
      </c>
      <c r="Q59" s="69">
        <f t="shared" si="8"/>
        <v>351.9</v>
      </c>
      <c r="R59" s="69">
        <f t="shared" si="8"/>
        <v>411</v>
      </c>
      <c r="S59" s="69">
        <f t="shared" si="8"/>
        <v>392.7</v>
      </c>
      <c r="T59" s="69">
        <f t="shared" si="8"/>
        <v>390.8</v>
      </c>
      <c r="U59" s="69">
        <f t="shared" si="8"/>
        <v>332.93</v>
      </c>
      <c r="V59" s="69">
        <f t="shared" si="8"/>
        <v>366.9</v>
      </c>
      <c r="W59" s="69">
        <f t="shared" si="8"/>
        <v>318.60000000000002</v>
      </c>
      <c r="X59" s="69">
        <f t="shared" si="8"/>
        <v>320.92</v>
      </c>
      <c r="Y59" s="69">
        <f t="shared" si="8"/>
        <v>353.61</v>
      </c>
      <c r="Z59" s="69">
        <f t="shared" si="8"/>
        <v>369.75</v>
      </c>
      <c r="AA59" s="69">
        <f t="shared" si="8"/>
        <v>402.77</v>
      </c>
      <c r="AB59" s="69">
        <f t="shared" si="8"/>
        <v>419.9</v>
      </c>
      <c r="AC59" s="69">
        <f t="shared" si="8"/>
        <v>420.62</v>
      </c>
      <c r="AD59" s="69">
        <f t="shared" si="8"/>
        <v>350.8</v>
      </c>
      <c r="AE59" s="69">
        <f t="shared" si="8"/>
        <v>274.7</v>
      </c>
      <c r="AF59" s="69">
        <f t="shared" si="8"/>
        <v>235</v>
      </c>
      <c r="AG59" s="74">
        <f>SUM(AG48:AG58)</f>
        <v>0</v>
      </c>
      <c r="AH59" s="52">
        <f t="shared" si="2"/>
        <v>420.62</v>
      </c>
      <c r="AI59" s="53">
        <f t="shared" si="3"/>
        <v>143.19999999999999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7" ht="15.75" thickBot="1" x14ac:dyDescent="0.3">
      <c r="A65" s="90" t="s">
        <v>72</v>
      </c>
      <c r="B65" s="91">
        <f t="shared" ref="B65:AF65" si="10">B63+B59+B47+B43+B30+B64</f>
        <v>1035.92</v>
      </c>
      <c r="C65" s="91">
        <f t="shared" si="10"/>
        <v>1006.67</v>
      </c>
      <c r="D65" s="91">
        <f t="shared" si="10"/>
        <v>1001.64</v>
      </c>
      <c r="E65" s="91">
        <f t="shared" si="10"/>
        <v>997.93000000000006</v>
      </c>
      <c r="F65" s="91">
        <f t="shared" si="10"/>
        <v>970.96</v>
      </c>
      <c r="G65" s="91">
        <f t="shared" si="10"/>
        <v>921.43999999999994</v>
      </c>
      <c r="H65" s="91">
        <f t="shared" si="10"/>
        <v>921.43999999999994</v>
      </c>
      <c r="I65" s="91">
        <f t="shared" si="10"/>
        <v>961.14</v>
      </c>
      <c r="J65" s="91">
        <f t="shared" si="10"/>
        <v>983.67</v>
      </c>
      <c r="K65" s="91">
        <f t="shared" si="10"/>
        <v>974.93999999999983</v>
      </c>
      <c r="L65" s="91">
        <f t="shared" si="10"/>
        <v>1111.04</v>
      </c>
      <c r="M65" s="91">
        <f t="shared" si="10"/>
        <v>1143.94</v>
      </c>
      <c r="N65" s="91">
        <f t="shared" si="10"/>
        <v>1123.24</v>
      </c>
      <c r="O65" s="91">
        <f t="shared" si="10"/>
        <v>1125.74</v>
      </c>
      <c r="P65" s="91">
        <f t="shared" si="10"/>
        <v>1134.6400000000001</v>
      </c>
      <c r="Q65" s="91">
        <f t="shared" si="10"/>
        <v>1140.94</v>
      </c>
      <c r="R65" s="91">
        <f t="shared" si="10"/>
        <v>1192.3400000000001</v>
      </c>
      <c r="S65" s="91">
        <f t="shared" si="10"/>
        <v>1184.44</v>
      </c>
      <c r="T65" s="91">
        <f t="shared" si="10"/>
        <v>1182.3400000000001</v>
      </c>
      <c r="U65" s="91">
        <f t="shared" si="10"/>
        <v>1080.3700000000001</v>
      </c>
      <c r="V65" s="91">
        <f t="shared" si="10"/>
        <v>1088.24</v>
      </c>
      <c r="W65" s="91">
        <f t="shared" si="10"/>
        <v>1037.54</v>
      </c>
      <c r="X65" s="91">
        <f t="shared" si="10"/>
        <v>1033.96</v>
      </c>
      <c r="Y65" s="91">
        <f t="shared" si="10"/>
        <v>1107.1500000000001</v>
      </c>
      <c r="Z65" s="91">
        <f t="shared" si="10"/>
        <v>1211.69</v>
      </c>
      <c r="AA65" s="91">
        <f t="shared" si="10"/>
        <v>1250.9099999999999</v>
      </c>
      <c r="AB65" s="91">
        <f t="shared" si="10"/>
        <v>1247.4399999999998</v>
      </c>
      <c r="AC65" s="91">
        <f t="shared" si="10"/>
        <v>1249.26</v>
      </c>
      <c r="AD65" s="91">
        <f t="shared" si="10"/>
        <v>1193.24</v>
      </c>
      <c r="AE65" s="91">
        <f t="shared" si="10"/>
        <v>1125.44</v>
      </c>
      <c r="AF65" s="91">
        <f t="shared" si="10"/>
        <v>1065.8400000000001</v>
      </c>
      <c r="AG65" s="74">
        <f>AG63+AG59+AG47+AG43+AG30+AG64</f>
        <v>1355.5100000000002</v>
      </c>
      <c r="AH65" s="52">
        <f t="shared" si="2"/>
        <v>1250.9099999999999</v>
      </c>
      <c r="AI65" s="53">
        <f t="shared" si="3"/>
        <v>921.43999999999994</v>
      </c>
    </row>
    <row r="66" spans="1:37" x14ac:dyDescent="0.25">
      <c r="A66" s="55" t="s">
        <v>73</v>
      </c>
      <c r="B66" s="82"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7" x14ac:dyDescent="0.25">
      <c r="A67" s="58" t="s">
        <v>74</v>
      </c>
      <c r="B67" s="82"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7" x14ac:dyDescent="0.25">
      <c r="A68" s="84" t="s">
        <v>75</v>
      </c>
      <c r="B68" s="82"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7" x14ac:dyDescent="0.25">
      <c r="A69" s="84" t="s">
        <v>76</v>
      </c>
      <c r="B69" s="82"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7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  <c r="AK70">
        <f>70*24</f>
        <v>1680</v>
      </c>
    </row>
    <row r="71" spans="1:37" ht="15.75" thickBot="1" x14ac:dyDescent="0.3">
      <c r="A71" s="90" t="s">
        <v>78</v>
      </c>
      <c r="B71" s="69">
        <f t="shared" ref="B71:AF71" si="18">SUM(B66:B70)</f>
        <v>0</v>
      </c>
      <c r="C71" s="69">
        <f t="shared" si="18"/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7" x14ac:dyDescent="0.25">
      <c r="A72" s="93" t="s">
        <v>79</v>
      </c>
      <c r="B72" s="94">
        <v>50.029000000000003</v>
      </c>
      <c r="C72" s="94">
        <v>50.006999999999998</v>
      </c>
      <c r="D72" s="94">
        <v>50.04</v>
      </c>
      <c r="E72" s="94">
        <v>50.04</v>
      </c>
      <c r="F72" s="94">
        <v>49.94</v>
      </c>
      <c r="G72" s="94">
        <v>49.95</v>
      </c>
      <c r="H72" s="94">
        <v>49.95</v>
      </c>
      <c r="I72" s="94">
        <v>50.07</v>
      </c>
      <c r="J72" s="94">
        <v>49.96</v>
      </c>
      <c r="K72" s="94">
        <v>50.12</v>
      </c>
      <c r="L72" s="94">
        <v>50.04</v>
      </c>
      <c r="M72" s="94">
        <v>50.04</v>
      </c>
      <c r="N72" s="94">
        <v>50.01</v>
      </c>
      <c r="O72" s="94">
        <v>50.021000000000001</v>
      </c>
      <c r="P72" s="94"/>
      <c r="Q72" s="95">
        <v>50.05</v>
      </c>
      <c r="R72" s="94">
        <v>50</v>
      </c>
      <c r="S72" s="94">
        <v>50.027999999999999</v>
      </c>
      <c r="T72" s="94">
        <v>50.043999999999997</v>
      </c>
      <c r="U72" s="94">
        <v>50.012</v>
      </c>
      <c r="V72" s="94">
        <v>49.832999999999998</v>
      </c>
      <c r="W72" s="94">
        <v>49.823</v>
      </c>
      <c r="X72" s="94">
        <v>50.003999999999998</v>
      </c>
      <c r="Y72" s="94">
        <v>49.945</v>
      </c>
      <c r="Z72" s="94">
        <v>50.018000000000001</v>
      </c>
      <c r="AA72" s="94">
        <v>50.005000000000003</v>
      </c>
      <c r="AB72" s="94">
        <v>49.914000000000001</v>
      </c>
      <c r="AC72" s="94">
        <v>49.984000000000002</v>
      </c>
      <c r="AD72" s="94">
        <v>50.037999999999997</v>
      </c>
      <c r="AE72" s="94">
        <v>50.036999999999999</v>
      </c>
      <c r="AF72" s="96">
        <v>50.031999999999996</v>
      </c>
      <c r="AG72" s="97"/>
      <c r="AH72" s="52">
        <f t="shared" si="2"/>
        <v>50.12</v>
      </c>
      <c r="AI72" s="53">
        <f t="shared" si="3"/>
        <v>49.823</v>
      </c>
    </row>
    <row r="73" spans="1:37" x14ac:dyDescent="0.25">
      <c r="A73" s="98" t="s">
        <v>80</v>
      </c>
      <c r="B73" s="70">
        <v>125.4</v>
      </c>
      <c r="C73" s="70">
        <v>125.9</v>
      </c>
      <c r="D73" s="70">
        <v>125.8</v>
      </c>
      <c r="E73" s="70">
        <v>126.4</v>
      </c>
      <c r="F73" s="70">
        <v>126.3</v>
      </c>
      <c r="G73" s="70">
        <v>128.1</v>
      </c>
      <c r="H73" s="70">
        <v>128.1</v>
      </c>
      <c r="I73" s="70">
        <v>128.4</v>
      </c>
      <c r="J73" s="70">
        <v>128.19999999999999</v>
      </c>
      <c r="K73" s="70">
        <v>127.2</v>
      </c>
      <c r="L73" s="70">
        <v>127.5</v>
      </c>
      <c r="M73" s="70">
        <v>127.5</v>
      </c>
      <c r="N73" s="70">
        <v>123.8</v>
      </c>
      <c r="O73" s="70">
        <v>122</v>
      </c>
      <c r="P73" s="70"/>
      <c r="Q73" s="99">
        <v>123.3</v>
      </c>
      <c r="R73" s="99">
        <v>122.2</v>
      </c>
      <c r="S73" s="99">
        <v>124.1</v>
      </c>
      <c r="T73" s="99">
        <v>125.6</v>
      </c>
      <c r="U73" s="99">
        <v>126.3</v>
      </c>
      <c r="V73" s="99">
        <v>123.3</v>
      </c>
      <c r="W73" s="99">
        <v>124.4</v>
      </c>
      <c r="X73" s="99">
        <v>124.9</v>
      </c>
      <c r="Y73" s="99">
        <v>124.6</v>
      </c>
      <c r="Z73" s="99">
        <v>126.5</v>
      </c>
      <c r="AA73" s="70">
        <v>125.9</v>
      </c>
      <c r="AB73" s="70">
        <v>125.6</v>
      </c>
      <c r="AC73" s="70">
        <v>125.1</v>
      </c>
      <c r="AD73" s="70">
        <v>125.8</v>
      </c>
      <c r="AE73" s="70">
        <v>125.2</v>
      </c>
      <c r="AF73" s="100">
        <v>125.3</v>
      </c>
      <c r="AG73" s="101"/>
      <c r="AH73" s="52">
        <f t="shared" si="2"/>
        <v>128.4</v>
      </c>
      <c r="AI73" s="53">
        <f t="shared" si="3"/>
        <v>122</v>
      </c>
    </row>
    <row r="74" spans="1:37" x14ac:dyDescent="0.25">
      <c r="A74" s="98" t="s">
        <v>81</v>
      </c>
      <c r="B74" s="70">
        <v>129</v>
      </c>
      <c r="C74" s="70">
        <v>129.4</v>
      </c>
      <c r="D74" s="70">
        <v>129.1</v>
      </c>
      <c r="E74" s="70">
        <v>129.69999999999999</v>
      </c>
      <c r="F74" s="70">
        <v>129.30000000000001</v>
      </c>
      <c r="G74" s="70">
        <v>130.19999999999999</v>
      </c>
      <c r="H74" s="70">
        <v>130.19999999999999</v>
      </c>
      <c r="I74" s="70">
        <v>130.5</v>
      </c>
      <c r="J74" s="70">
        <v>130</v>
      </c>
      <c r="K74" s="70">
        <v>65.599999999999994</v>
      </c>
      <c r="L74" s="70">
        <v>129.1</v>
      </c>
      <c r="M74" s="70">
        <v>129.1</v>
      </c>
      <c r="N74" s="70">
        <v>126.7</v>
      </c>
      <c r="O74" s="70">
        <v>124.4</v>
      </c>
      <c r="P74" s="70"/>
      <c r="Q74" s="99">
        <v>125.6</v>
      </c>
      <c r="R74" s="99">
        <v>124.7</v>
      </c>
      <c r="S74" s="99">
        <v>126.3</v>
      </c>
      <c r="T74" s="99">
        <v>127.1</v>
      </c>
      <c r="U74" s="99">
        <v>128.1</v>
      </c>
      <c r="V74" s="99">
        <v>126</v>
      </c>
      <c r="W74" s="99">
        <v>126.2</v>
      </c>
      <c r="X74" s="99">
        <v>127</v>
      </c>
      <c r="Y74" s="99">
        <v>126.4</v>
      </c>
      <c r="Z74" s="99">
        <v>129.19999999999999</v>
      </c>
      <c r="AA74" s="70">
        <v>128.80000000000001</v>
      </c>
      <c r="AB74" s="70">
        <v>128.9</v>
      </c>
      <c r="AC74" s="70">
        <v>128.69999999999999</v>
      </c>
      <c r="AD74" s="70">
        <v>129.5</v>
      </c>
      <c r="AE74" s="70">
        <v>129.1</v>
      </c>
      <c r="AF74" s="100">
        <v>129.4</v>
      </c>
      <c r="AG74" s="101"/>
      <c r="AH74" s="52">
        <f t="shared" si="2"/>
        <v>130.5</v>
      </c>
      <c r="AI74" s="53">
        <f t="shared" si="3"/>
        <v>65.599999999999994</v>
      </c>
    </row>
    <row r="75" spans="1:37" x14ac:dyDescent="0.25">
      <c r="A75" s="98" t="s">
        <v>82</v>
      </c>
      <c r="B75" s="70">
        <v>127.6</v>
      </c>
      <c r="C75" s="70">
        <v>127.4</v>
      </c>
      <c r="D75" s="70">
        <v>127.5</v>
      </c>
      <c r="E75" s="70">
        <v>127.5</v>
      </c>
      <c r="F75" s="70">
        <v>130.19999999999999</v>
      </c>
      <c r="G75" s="70">
        <v>127.3</v>
      </c>
      <c r="H75" s="70">
        <v>127.3</v>
      </c>
      <c r="I75" s="70">
        <v>126</v>
      </c>
      <c r="J75" s="70">
        <v>130.6</v>
      </c>
      <c r="K75" s="70">
        <v>101.9</v>
      </c>
      <c r="L75" s="70">
        <v>126.1</v>
      </c>
      <c r="M75" s="70">
        <v>126.1</v>
      </c>
      <c r="N75" s="70">
        <v>126.9</v>
      </c>
      <c r="O75" s="70">
        <v>126.6</v>
      </c>
      <c r="P75" s="70"/>
      <c r="Q75" s="70">
        <v>128</v>
      </c>
      <c r="R75" s="70">
        <v>125.7</v>
      </c>
      <c r="S75" s="70">
        <v>126.6</v>
      </c>
      <c r="T75" s="99">
        <v>129</v>
      </c>
      <c r="U75" s="99">
        <v>129.5</v>
      </c>
      <c r="V75" s="99">
        <v>129.1</v>
      </c>
      <c r="W75" s="99">
        <v>130.19999999999999</v>
      </c>
      <c r="X75" s="99">
        <v>127.1</v>
      </c>
      <c r="Y75" s="99">
        <v>128.30000000000001</v>
      </c>
      <c r="Z75" s="99">
        <v>128.1</v>
      </c>
      <c r="AA75" s="70">
        <v>127.2</v>
      </c>
      <c r="AB75" s="70">
        <v>126.3</v>
      </c>
      <c r="AC75" s="70">
        <v>128</v>
      </c>
      <c r="AD75" s="70">
        <v>127.4</v>
      </c>
      <c r="AE75" s="70">
        <v>128.30000000000001</v>
      </c>
      <c r="AF75" s="100">
        <v>128.69999999999999</v>
      </c>
      <c r="AG75" s="101"/>
      <c r="AH75" s="52">
        <f t="shared" si="2"/>
        <v>130.6</v>
      </c>
      <c r="AI75" s="53">
        <f t="shared" si="3"/>
        <v>101.9</v>
      </c>
    </row>
    <row r="76" spans="1:37" x14ac:dyDescent="0.25">
      <c r="A76" s="102" t="s">
        <v>83</v>
      </c>
      <c r="B76" s="70">
        <v>130.80000000000001</v>
      </c>
      <c r="C76" s="70">
        <v>131.5</v>
      </c>
      <c r="D76" s="70">
        <v>130.4</v>
      </c>
      <c r="E76" s="70">
        <v>130.6</v>
      </c>
      <c r="F76" s="70">
        <v>132.80000000000001</v>
      </c>
      <c r="G76" s="70">
        <v>130</v>
      </c>
      <c r="H76" s="70">
        <v>130</v>
      </c>
      <c r="I76" s="70">
        <v>127.6</v>
      </c>
      <c r="J76" s="70">
        <v>131.5</v>
      </c>
      <c r="K76" s="70">
        <v>128.5</v>
      </c>
      <c r="L76" s="70">
        <v>127.7</v>
      </c>
      <c r="M76" s="70">
        <v>127.7</v>
      </c>
      <c r="N76" s="70">
        <v>129</v>
      </c>
      <c r="O76" s="70">
        <v>128.80000000000001</v>
      </c>
      <c r="P76" s="70"/>
      <c r="Q76" s="70">
        <v>130.5</v>
      </c>
      <c r="R76" s="70">
        <v>128.80000000000001</v>
      </c>
      <c r="S76" s="70">
        <v>128.69999999999999</v>
      </c>
      <c r="T76" s="99">
        <v>130.9</v>
      </c>
      <c r="U76" s="99">
        <v>131.69999999999999</v>
      </c>
      <c r="V76" s="99">
        <v>131.4</v>
      </c>
      <c r="W76" s="99">
        <v>132.1</v>
      </c>
      <c r="X76" s="99">
        <v>130.1</v>
      </c>
      <c r="Y76" s="99">
        <v>130.9</v>
      </c>
      <c r="Z76" s="99">
        <v>130.80000000000001</v>
      </c>
      <c r="AA76" s="70">
        <v>130</v>
      </c>
      <c r="AB76" s="70">
        <v>130.1</v>
      </c>
      <c r="AC76" s="70">
        <v>131.69999999999999</v>
      </c>
      <c r="AD76" s="70">
        <v>131.69999999999999</v>
      </c>
      <c r="AE76" s="70">
        <v>132.4</v>
      </c>
      <c r="AF76" s="100">
        <v>132.80000000000001</v>
      </c>
      <c r="AG76" s="101"/>
      <c r="AH76" s="52">
        <f t="shared" si="2"/>
        <v>132.80000000000001</v>
      </c>
      <c r="AI76" s="53">
        <f t="shared" si="3"/>
        <v>127.6</v>
      </c>
    </row>
    <row r="77" spans="1:37" x14ac:dyDescent="0.25">
      <c r="A77" s="102" t="s">
        <v>84</v>
      </c>
      <c r="B77" s="103">
        <v>129.6</v>
      </c>
      <c r="C77" s="103">
        <v>131.9</v>
      </c>
      <c r="D77" s="103">
        <v>129.80000000000001</v>
      </c>
      <c r="E77" s="103">
        <v>132.6</v>
      </c>
      <c r="F77" s="103">
        <v>132.6</v>
      </c>
      <c r="G77" s="103">
        <v>132.6</v>
      </c>
      <c r="H77" s="103">
        <v>132.6</v>
      </c>
      <c r="I77" s="103">
        <v>132.6</v>
      </c>
      <c r="J77" s="103">
        <v>132.6</v>
      </c>
      <c r="K77" s="103">
        <v>132.6</v>
      </c>
      <c r="L77" s="103">
        <v>133</v>
      </c>
      <c r="M77" s="103">
        <v>133</v>
      </c>
      <c r="N77" s="103">
        <v>128.5</v>
      </c>
      <c r="O77" s="103">
        <v>127.2</v>
      </c>
      <c r="P77" s="103"/>
      <c r="Q77" s="103">
        <v>130.30000000000001</v>
      </c>
      <c r="R77" s="103">
        <v>130.30000000000001</v>
      </c>
      <c r="S77" s="103">
        <v>128.69999999999999</v>
      </c>
      <c r="T77" s="99">
        <v>132.80000000000001</v>
      </c>
      <c r="U77" s="99">
        <v>133.6</v>
      </c>
      <c r="V77" s="99">
        <v>134.4</v>
      </c>
      <c r="W77" s="99">
        <v>136.5</v>
      </c>
      <c r="X77" s="99">
        <v>133.9</v>
      </c>
      <c r="Y77" s="99">
        <v>132.69999999999999</v>
      </c>
      <c r="Z77" s="99">
        <v>133.5</v>
      </c>
      <c r="AA77" s="103">
        <v>134.19999999999999</v>
      </c>
      <c r="AB77" s="103">
        <v>130.69999999999999</v>
      </c>
      <c r="AC77" s="103">
        <v>133.6</v>
      </c>
      <c r="AD77" s="103">
        <v>133.1</v>
      </c>
      <c r="AE77" s="103">
        <v>131.19999999999999</v>
      </c>
      <c r="AF77" s="104">
        <v>132.9</v>
      </c>
      <c r="AG77" s="105"/>
      <c r="AH77" s="52">
        <f t="shared" si="2"/>
        <v>136.5</v>
      </c>
      <c r="AI77" s="53">
        <f t="shared" si="3"/>
        <v>127.2</v>
      </c>
    </row>
    <row r="78" spans="1:37" x14ac:dyDescent="0.25">
      <c r="A78" s="98" t="s">
        <v>85</v>
      </c>
      <c r="B78" s="70">
        <v>123.6</v>
      </c>
      <c r="C78" s="70">
        <v>126</v>
      </c>
      <c r="D78" s="70">
        <v>133.80000000000001</v>
      </c>
      <c r="E78" s="70">
        <v>133.1</v>
      </c>
      <c r="F78" s="70">
        <v>132</v>
      </c>
      <c r="G78" s="70">
        <v>132.9</v>
      </c>
      <c r="H78" s="70">
        <v>132.9</v>
      </c>
      <c r="I78" s="70">
        <v>135.5</v>
      </c>
      <c r="J78" s="70">
        <v>133.1</v>
      </c>
      <c r="K78" s="70">
        <v>135.19999999999999</v>
      </c>
      <c r="L78" s="70">
        <v>126.5</v>
      </c>
      <c r="M78" s="70">
        <v>126.5</v>
      </c>
      <c r="N78" s="70">
        <v>119.6</v>
      </c>
      <c r="O78" s="70">
        <v>116.7</v>
      </c>
      <c r="P78" s="70"/>
      <c r="Q78" s="70">
        <v>122.5</v>
      </c>
      <c r="R78" s="70">
        <v>128</v>
      </c>
      <c r="S78" s="70">
        <v>131.9</v>
      </c>
      <c r="T78" s="99">
        <v>125.5</v>
      </c>
      <c r="U78" s="99">
        <v>128.69999999999999</v>
      </c>
      <c r="V78" s="99">
        <v>128.6</v>
      </c>
      <c r="W78" s="99">
        <v>127.3</v>
      </c>
      <c r="X78" s="99">
        <v>127.8</v>
      </c>
      <c r="Y78" s="99">
        <v>128.69999999999999</v>
      </c>
      <c r="Z78" s="99">
        <v>128.80000000000001</v>
      </c>
      <c r="AA78" s="70">
        <v>124.8</v>
      </c>
      <c r="AB78" s="70">
        <v>130</v>
      </c>
      <c r="AC78" s="70">
        <v>131.6</v>
      </c>
      <c r="AD78" s="70">
        <v>132.80000000000001</v>
      </c>
      <c r="AE78" s="70">
        <v>127.2</v>
      </c>
      <c r="AF78" s="100">
        <v>126.4</v>
      </c>
      <c r="AG78" s="101"/>
      <c r="AH78" s="52">
        <f>MAX(B78:AF78)</f>
        <v>135.5</v>
      </c>
      <c r="AI78" s="53">
        <f>MIN(B78:AF78)</f>
        <v>116.7</v>
      </c>
    </row>
    <row r="79" spans="1:37" ht="15.75" thickBot="1" x14ac:dyDescent="0.3">
      <c r="A79" s="98" t="s">
        <v>86</v>
      </c>
      <c r="B79" s="106">
        <v>66</v>
      </c>
      <c r="C79" s="106">
        <v>66.3</v>
      </c>
      <c r="D79" s="106">
        <v>66.2</v>
      </c>
      <c r="E79" s="106">
        <v>66.3</v>
      </c>
      <c r="F79" s="106">
        <v>66.2</v>
      </c>
      <c r="G79" s="106">
        <v>66.5</v>
      </c>
      <c r="H79" s="106">
        <v>66.5</v>
      </c>
      <c r="I79" s="106">
        <v>66.5</v>
      </c>
      <c r="J79" s="106">
        <v>66.099999999999994</v>
      </c>
      <c r="K79" s="106">
        <v>65.5</v>
      </c>
      <c r="L79" s="106">
        <v>65.7</v>
      </c>
      <c r="M79" s="106">
        <v>65.7</v>
      </c>
      <c r="N79" s="106">
        <v>64.3</v>
      </c>
      <c r="O79" s="106">
        <v>62.2</v>
      </c>
      <c r="P79" s="106"/>
      <c r="Q79" s="106">
        <v>62.4</v>
      </c>
      <c r="R79" s="106">
        <v>62</v>
      </c>
      <c r="S79" s="106">
        <v>62.7</v>
      </c>
      <c r="T79" s="106">
        <v>63.3</v>
      </c>
      <c r="U79" s="106">
        <v>63.7</v>
      </c>
      <c r="V79" s="106">
        <v>62.6</v>
      </c>
      <c r="W79" s="106">
        <v>63</v>
      </c>
      <c r="X79" s="106">
        <v>63.2</v>
      </c>
      <c r="Y79" s="106">
        <v>62.7</v>
      </c>
      <c r="Z79" s="106">
        <v>65.7</v>
      </c>
      <c r="AA79" s="106">
        <v>65.599999999999994</v>
      </c>
      <c r="AB79" s="106">
        <v>65.599999999999994</v>
      </c>
      <c r="AC79" s="106">
        <v>65.8</v>
      </c>
      <c r="AD79" s="106">
        <v>66.2</v>
      </c>
      <c r="AE79" s="106">
        <v>66</v>
      </c>
      <c r="AF79" s="107">
        <v>66.3</v>
      </c>
      <c r="AG79" s="108"/>
      <c r="AH79" s="52">
        <f>MAX(B79:AF79)</f>
        <v>66.5</v>
      </c>
      <c r="AI79" s="53">
        <f>MIN(B79:AF79)</f>
        <v>62</v>
      </c>
    </row>
    <row r="80" spans="1:37" x14ac:dyDescent="0.25">
      <c r="A80" s="109" t="s">
        <v>87</v>
      </c>
      <c r="B80" s="110">
        <f t="shared" ref="B80:AF80" si="19">SUMIF(B48:B57,"&gt;0")</f>
        <v>239.68</v>
      </c>
      <c r="C80" s="110">
        <f t="shared" si="19"/>
        <v>211.32999999999998</v>
      </c>
      <c r="D80" s="110">
        <f t="shared" si="19"/>
        <v>226.89999999999998</v>
      </c>
      <c r="E80" s="110">
        <f t="shared" si="19"/>
        <v>222.29000000000002</v>
      </c>
      <c r="F80" s="110">
        <f t="shared" si="19"/>
        <v>210.22</v>
      </c>
      <c r="G80" s="110">
        <f t="shared" si="19"/>
        <v>143.19999999999999</v>
      </c>
      <c r="H80" s="110">
        <f t="shared" si="19"/>
        <v>143.19999999999999</v>
      </c>
      <c r="I80" s="110">
        <f t="shared" si="19"/>
        <v>157.80000000000001</v>
      </c>
      <c r="J80" s="110">
        <f t="shared" si="19"/>
        <v>157.32999999999998</v>
      </c>
      <c r="K80" s="110">
        <f t="shared" si="19"/>
        <v>229.8</v>
      </c>
      <c r="L80" s="110">
        <f t="shared" si="19"/>
        <v>302.8</v>
      </c>
      <c r="M80" s="110">
        <f t="shared" si="19"/>
        <v>340</v>
      </c>
      <c r="N80" s="110">
        <f t="shared" si="19"/>
        <v>368</v>
      </c>
      <c r="O80" s="110">
        <f t="shared" si="19"/>
        <v>375</v>
      </c>
      <c r="P80" s="110">
        <f t="shared" si="19"/>
        <v>333</v>
      </c>
      <c r="Q80" s="110">
        <f t="shared" si="19"/>
        <v>351.9</v>
      </c>
      <c r="R80" s="110">
        <f t="shared" si="19"/>
        <v>411</v>
      </c>
      <c r="S80" s="110">
        <f t="shared" si="19"/>
        <v>392.7</v>
      </c>
      <c r="T80" s="110">
        <f t="shared" si="19"/>
        <v>390.8</v>
      </c>
      <c r="U80" s="110">
        <f t="shared" si="19"/>
        <v>332.93</v>
      </c>
      <c r="V80" s="110">
        <f t="shared" si="19"/>
        <v>366.9</v>
      </c>
      <c r="W80" s="110">
        <f t="shared" si="19"/>
        <v>318.60000000000002</v>
      </c>
      <c r="X80" s="110">
        <f t="shared" si="19"/>
        <v>320.92</v>
      </c>
      <c r="Y80" s="110">
        <f t="shared" si="19"/>
        <v>353.61</v>
      </c>
      <c r="Z80" s="110">
        <f t="shared" si="19"/>
        <v>369.75</v>
      </c>
      <c r="AA80" s="110">
        <f t="shared" si="19"/>
        <v>402.77</v>
      </c>
      <c r="AB80" s="110">
        <f t="shared" si="19"/>
        <v>419.9</v>
      </c>
      <c r="AC80" s="110">
        <f t="shared" si="19"/>
        <v>420.62</v>
      </c>
      <c r="AD80" s="110">
        <f t="shared" si="19"/>
        <v>350.8</v>
      </c>
      <c r="AE80" s="110">
        <f t="shared" si="19"/>
        <v>274.7</v>
      </c>
      <c r="AF80" s="110">
        <f t="shared" si="19"/>
        <v>235</v>
      </c>
      <c r="AG80" s="111"/>
      <c r="AH80" s="52">
        <f>MAX(B80:AF80)</f>
        <v>420.62</v>
      </c>
      <c r="AI80" s="53">
        <f>MIN(B80:AF80)</f>
        <v>143.19999999999999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 t="shared" ref="B82:AF82" si="20">B11+B13+B17+B34+B36+B38+B40+B94+B108+B110+B121+B127+B130+B139+B143+B144+B147+B154+B159+B162+B163+B164+B172+B177+B83+B84+B85+B86+B99</f>
        <v>141.41999999999996</v>
      </c>
      <c r="C82" s="115">
        <f t="shared" si="20"/>
        <v>137.51999999999998</v>
      </c>
      <c r="D82" s="115">
        <f t="shared" si="20"/>
        <v>351.12</v>
      </c>
      <c r="E82" s="115">
        <f t="shared" si="20"/>
        <v>134.32</v>
      </c>
      <c r="F82" s="115">
        <f t="shared" si="20"/>
        <v>235.22000000000003</v>
      </c>
      <c r="G82" s="115">
        <f t="shared" si="20"/>
        <v>182.51999999999998</v>
      </c>
      <c r="H82" s="115">
        <f t="shared" si="20"/>
        <v>182.51999999999998</v>
      </c>
      <c r="I82" s="115">
        <f t="shared" si="20"/>
        <v>275.61999999999995</v>
      </c>
      <c r="J82" s="115">
        <f t="shared" si="20"/>
        <v>283.32</v>
      </c>
      <c r="K82" s="115">
        <f t="shared" si="20"/>
        <v>255.21999999999991</v>
      </c>
      <c r="L82" s="115">
        <f t="shared" si="20"/>
        <v>255.71999999999997</v>
      </c>
      <c r="M82" s="115">
        <f t="shared" si="20"/>
        <v>253.91999999999996</v>
      </c>
      <c r="N82" s="115">
        <f t="shared" si="20"/>
        <v>242.31999999999996</v>
      </c>
      <c r="O82" s="115">
        <f t="shared" si="20"/>
        <v>236.01999999999995</v>
      </c>
      <c r="P82" s="115">
        <f t="shared" si="20"/>
        <v>193.92</v>
      </c>
      <c r="Q82" s="115">
        <f t="shared" si="20"/>
        <v>210.51999999999998</v>
      </c>
      <c r="R82" s="115">
        <f t="shared" si="20"/>
        <v>208.82</v>
      </c>
      <c r="S82" s="115">
        <f t="shared" si="20"/>
        <v>231.22</v>
      </c>
      <c r="T82" s="115">
        <f t="shared" si="20"/>
        <v>232.71999999999997</v>
      </c>
      <c r="U82" s="115">
        <f t="shared" si="20"/>
        <v>234.41999999999996</v>
      </c>
      <c r="V82" s="115">
        <f t="shared" si="20"/>
        <v>227.82000000000002</v>
      </c>
      <c r="W82" s="115">
        <f t="shared" si="20"/>
        <v>220.11999999999998</v>
      </c>
      <c r="X82" s="115">
        <f t="shared" si="20"/>
        <v>243.21999999999994</v>
      </c>
      <c r="Y82" s="115">
        <f t="shared" si="20"/>
        <v>259.91999999999996</v>
      </c>
      <c r="Z82" s="115">
        <f t="shared" si="20"/>
        <v>302.01999999999992</v>
      </c>
      <c r="AA82" s="115">
        <f t="shared" si="20"/>
        <v>288.32</v>
      </c>
      <c r="AB82" s="115">
        <f t="shared" si="20"/>
        <v>235.82000000000002</v>
      </c>
      <c r="AC82" s="115">
        <f t="shared" si="20"/>
        <v>246.51999999999995</v>
      </c>
      <c r="AD82" s="115">
        <f t="shared" si="20"/>
        <v>193.62</v>
      </c>
      <c r="AE82" s="115">
        <f t="shared" si="20"/>
        <v>-225.48</v>
      </c>
      <c r="AF82" s="115">
        <f t="shared" si="20"/>
        <v>152.61999999999998</v>
      </c>
      <c r="AG82" s="116"/>
      <c r="AH82" s="52">
        <f>MAX(B82:AF82)</f>
        <v>351.12</v>
      </c>
      <c r="AI82" s="53">
        <f>MIN(B82:AF82)</f>
        <v>-225.48</v>
      </c>
    </row>
    <row r="83" spans="1:37" x14ac:dyDescent="0.25">
      <c r="A83" s="117" t="s">
        <v>89</v>
      </c>
      <c r="B83" s="118">
        <v>39.5</v>
      </c>
      <c r="C83" s="118">
        <v>42.9</v>
      </c>
      <c r="D83" s="118">
        <v>42.2</v>
      </c>
      <c r="E83" s="118">
        <v>43</v>
      </c>
      <c r="F83" s="118">
        <v>45.7</v>
      </c>
      <c r="G83" s="118">
        <v>44.8</v>
      </c>
      <c r="H83" s="118">
        <v>44.8</v>
      </c>
      <c r="I83" s="118">
        <v>45.4</v>
      </c>
      <c r="J83" s="118">
        <v>40.5</v>
      </c>
      <c r="K83" s="118">
        <v>31.2</v>
      </c>
      <c r="L83" s="118">
        <v>44.4</v>
      </c>
      <c r="M83" s="118">
        <v>45</v>
      </c>
      <c r="N83" s="118">
        <v>35</v>
      </c>
      <c r="O83" s="118">
        <v>30.7</v>
      </c>
      <c r="P83" s="118"/>
      <c r="Q83" s="118">
        <v>39.4</v>
      </c>
      <c r="R83" s="118">
        <v>47.4</v>
      </c>
      <c r="S83" s="118">
        <v>42.9</v>
      </c>
      <c r="T83" s="118">
        <v>39.4</v>
      </c>
      <c r="U83" s="118">
        <v>40.6</v>
      </c>
      <c r="V83" s="118">
        <v>41.4</v>
      </c>
      <c r="W83" s="118">
        <v>59.6</v>
      </c>
      <c r="X83" s="118">
        <v>62.3</v>
      </c>
      <c r="Y83" s="118">
        <v>57.8</v>
      </c>
      <c r="Z83" s="118">
        <v>48.3</v>
      </c>
      <c r="AA83" s="50">
        <v>39.5</v>
      </c>
      <c r="AB83" s="50">
        <v>33.700000000000003</v>
      </c>
      <c r="AC83" s="50">
        <v>33.4</v>
      </c>
      <c r="AD83" s="50">
        <v>43</v>
      </c>
      <c r="AE83" s="50">
        <v>41.1</v>
      </c>
      <c r="AF83" s="119">
        <v>48.5</v>
      </c>
      <c r="AG83" s="120">
        <v>75</v>
      </c>
      <c r="AH83" s="52">
        <f>IF(ABS(MAX(B83:AF83))&gt;ABS(MIN(B83:AF83)),MAX(B83:AF83),MIN(B83:AF83))</f>
        <v>62.3</v>
      </c>
      <c r="AI83" s="121">
        <f>INDEX($B$9:$AF$9,1,MATCH(AH83,B83:AF83,0))</f>
        <v>0.77083333333333337</v>
      </c>
    </row>
    <row r="84" spans="1:37" x14ac:dyDescent="0.25">
      <c r="A84" s="122" t="s">
        <v>90</v>
      </c>
      <c r="B84" s="83">
        <v>-47</v>
      </c>
      <c r="C84" s="83">
        <v>-50</v>
      </c>
      <c r="D84" s="83">
        <v>47.9</v>
      </c>
      <c r="E84" s="83">
        <v>-45.7</v>
      </c>
      <c r="F84" s="83">
        <v>39.6</v>
      </c>
      <c r="G84" s="83">
        <v>-32.299999999999997</v>
      </c>
      <c r="H84" s="83">
        <v>-32.299999999999997</v>
      </c>
      <c r="I84" s="83">
        <v>36.5</v>
      </c>
      <c r="J84" s="83">
        <v>29.1</v>
      </c>
      <c r="K84" s="83">
        <v>9.1999999999999993</v>
      </c>
      <c r="L84" s="83">
        <v>-17.8</v>
      </c>
      <c r="M84" s="83">
        <v>-14</v>
      </c>
      <c r="N84" s="83">
        <f>2.9+2.8</f>
        <v>5.6999999999999993</v>
      </c>
      <c r="O84" s="83">
        <v>5.2</v>
      </c>
      <c r="P84" s="83"/>
      <c r="Q84" s="83">
        <f>2.9-3.1</f>
        <v>-0.20000000000000018</v>
      </c>
      <c r="R84" s="83">
        <v>-16.899999999999999</v>
      </c>
      <c r="S84" s="83">
        <v>2</v>
      </c>
      <c r="T84" s="83">
        <v>3.1</v>
      </c>
      <c r="U84" s="83">
        <v>0.7</v>
      </c>
      <c r="V84" s="83">
        <v>-5.6</v>
      </c>
      <c r="W84" s="83">
        <v>-21</v>
      </c>
      <c r="X84" s="83">
        <v>-14</v>
      </c>
      <c r="Y84" s="83">
        <v>-6.3</v>
      </c>
      <c r="Z84" s="83">
        <v>-13.3</v>
      </c>
      <c r="AA84" s="70">
        <v>-9</v>
      </c>
      <c r="AB84" s="70">
        <v>-10.5</v>
      </c>
      <c r="AC84" s="70">
        <v>-11.8</v>
      </c>
      <c r="AD84" s="70">
        <v>-36</v>
      </c>
      <c r="AE84" s="70">
        <v>-42</v>
      </c>
      <c r="AF84" s="123">
        <v>-54</v>
      </c>
      <c r="AG84" s="120">
        <v>240</v>
      </c>
      <c r="AH84" s="52">
        <f>IF(ABS(MAX(B84:AF84))&gt;ABS(MIN(B84:AF84)),MAX(B84:AF84),MIN(B84:AF84))</f>
        <v>-54</v>
      </c>
      <c r="AI84" s="121">
        <f>INDEX($B$9:$AF$9,1,MATCH(AH84,B84:AF84,0))</f>
        <v>1</v>
      </c>
    </row>
    <row r="85" spans="1:37" x14ac:dyDescent="0.25">
      <c r="A85" s="122" t="s">
        <v>91</v>
      </c>
      <c r="B85" s="83">
        <v>10.5</v>
      </c>
      <c r="C85" s="83">
        <v>9.5</v>
      </c>
      <c r="D85" s="83">
        <v>5.0999999999999996</v>
      </c>
      <c r="E85" s="83">
        <v>4</v>
      </c>
      <c r="F85" s="83">
        <v>3.1</v>
      </c>
      <c r="G85" s="83">
        <v>12.7</v>
      </c>
      <c r="H85" s="83">
        <v>12.7</v>
      </c>
      <c r="I85" s="83">
        <v>25.5</v>
      </c>
      <c r="J85" s="83">
        <v>31.6</v>
      </c>
      <c r="K85" s="83">
        <v>23.2</v>
      </c>
      <c r="L85" s="83">
        <v>25.9</v>
      </c>
      <c r="M85" s="83">
        <v>22</v>
      </c>
      <c r="N85" s="83">
        <v>6.3</v>
      </c>
      <c r="O85" s="83">
        <v>6</v>
      </c>
      <c r="P85" s="83"/>
      <c r="Q85" s="83">
        <v>0</v>
      </c>
      <c r="R85" s="83">
        <v>0</v>
      </c>
      <c r="S85" s="83">
        <v>0</v>
      </c>
      <c r="T85" s="83">
        <v>0</v>
      </c>
      <c r="U85" s="83">
        <v>0</v>
      </c>
      <c r="V85" s="83">
        <v>0</v>
      </c>
      <c r="W85" s="83">
        <v>0</v>
      </c>
      <c r="X85" s="83">
        <v>0</v>
      </c>
      <c r="Y85" s="83">
        <v>0</v>
      </c>
      <c r="Z85" s="83">
        <v>37.5</v>
      </c>
      <c r="AA85" s="70">
        <v>36.1</v>
      </c>
      <c r="AB85" s="70">
        <v>27.8</v>
      </c>
      <c r="AC85" s="70">
        <v>27.6</v>
      </c>
      <c r="AD85" s="70">
        <v>20.3</v>
      </c>
      <c r="AE85" s="70">
        <v>18.899999999999999</v>
      </c>
      <c r="AF85" s="123">
        <v>15.5</v>
      </c>
      <c r="AG85" s="120">
        <v>60</v>
      </c>
      <c r="AH85" s="52">
        <f>IF(ABS(MAX(B85:AF85))&gt;ABS(MIN(B85:AF85)),MAX(B85:AF85),MIN(B85:AF85))</f>
        <v>37.5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-58.4</v>
      </c>
      <c r="C86" s="85">
        <v>-62</v>
      </c>
      <c r="D86" s="85">
        <v>61.1</v>
      </c>
      <c r="E86" s="85">
        <v>-63</v>
      </c>
      <c r="F86" s="85">
        <v>-51</v>
      </c>
      <c r="G86" s="85">
        <v>-32.700000000000003</v>
      </c>
      <c r="H86" s="85">
        <v>-32.700000000000003</v>
      </c>
      <c r="I86" s="85">
        <v>-25.3</v>
      </c>
      <c r="J86" s="85">
        <v>-13</v>
      </c>
      <c r="K86" s="85">
        <v>-4.4000000000000004</v>
      </c>
      <c r="L86" s="85">
        <v>6.3</v>
      </c>
      <c r="M86" s="85">
        <v>4</v>
      </c>
      <c r="N86" s="85">
        <v>0</v>
      </c>
      <c r="O86" s="85">
        <v>0</v>
      </c>
      <c r="P86" s="85"/>
      <c r="Q86" s="85">
        <v>-21.8</v>
      </c>
      <c r="R86" s="85">
        <v>-13.6</v>
      </c>
      <c r="S86" s="85">
        <v>-6.2</v>
      </c>
      <c r="T86" s="85">
        <v>-5.4</v>
      </c>
      <c r="U86" s="85">
        <v>0</v>
      </c>
      <c r="V86" s="85">
        <v>2.4</v>
      </c>
      <c r="W86" s="85">
        <v>0</v>
      </c>
      <c r="X86" s="85">
        <v>0</v>
      </c>
      <c r="Y86" s="85">
        <v>13.5</v>
      </c>
      <c r="Z86" s="85">
        <v>36.5</v>
      </c>
      <c r="AA86" s="125">
        <v>24.5</v>
      </c>
      <c r="AB86" s="125">
        <v>-10.8</v>
      </c>
      <c r="AC86" s="125">
        <v>0</v>
      </c>
      <c r="AD86" s="125">
        <v>-28</v>
      </c>
      <c r="AE86" s="125">
        <v>-438</v>
      </c>
      <c r="AF86" s="126">
        <v>-52.5</v>
      </c>
      <c r="AG86" s="127">
        <v>120</v>
      </c>
      <c r="AH86" s="52">
        <f>IF(ABS(MAX(B86:AF86))&gt;ABS(MIN(B86:AF86)),MAX(B86:AF86),MIN(B86:AF86))</f>
        <v>-438</v>
      </c>
      <c r="AI86" s="121">
        <f>INDEX($B$9:$AF$9,1,MATCH(AH86,B86:AF86,0))</f>
        <v>0.95833333333333304</v>
      </c>
    </row>
    <row r="87" spans="1:37" ht="15.75" thickBot="1" x14ac:dyDescent="0.3">
      <c r="A87" s="124" t="s">
        <v>93</v>
      </c>
      <c r="B87" s="85">
        <v>38</v>
      </c>
      <c r="C87" s="85">
        <v>30.2</v>
      </c>
      <c r="D87" s="85">
        <v>38.5</v>
      </c>
      <c r="E87" s="85">
        <v>43</v>
      </c>
      <c r="F87" s="85">
        <v>43.3</v>
      </c>
      <c r="G87" s="85">
        <v>5.6</v>
      </c>
      <c r="H87" s="85">
        <v>5.6</v>
      </c>
      <c r="I87" s="85">
        <v>-10</v>
      </c>
      <c r="J87" s="85">
        <v>-7.9</v>
      </c>
      <c r="K87" s="85">
        <v>28.1</v>
      </c>
      <c r="L87" s="85">
        <v>18.2</v>
      </c>
      <c r="M87" s="85">
        <v>25</v>
      </c>
      <c r="N87" s="85">
        <v>72.7</v>
      </c>
      <c r="O87" s="85">
        <v>75.599999999999994</v>
      </c>
      <c r="P87" s="85"/>
      <c r="Q87" s="85">
        <v>67.900000000000006</v>
      </c>
      <c r="R87" s="85">
        <v>67</v>
      </c>
      <c r="S87" s="85">
        <v>66.5</v>
      </c>
      <c r="T87" s="85">
        <v>65</v>
      </c>
      <c r="U87" s="85">
        <v>58.4</v>
      </c>
      <c r="V87" s="85">
        <v>71.5</v>
      </c>
      <c r="W87" s="85">
        <v>43.3</v>
      </c>
      <c r="X87" s="85">
        <v>44.6</v>
      </c>
      <c r="Y87" s="85">
        <v>60</v>
      </c>
      <c r="Z87" s="85">
        <v>36</v>
      </c>
      <c r="AA87" s="125">
        <v>56.5</v>
      </c>
      <c r="AB87" s="125">
        <v>60.4</v>
      </c>
      <c r="AC87" s="125">
        <v>60.1</v>
      </c>
      <c r="AD87" s="125">
        <v>37.9</v>
      </c>
      <c r="AE87" s="125">
        <v>40</v>
      </c>
      <c r="AF87" s="126">
        <v>16.899999999999999</v>
      </c>
      <c r="AG87" s="127"/>
      <c r="AH87" s="52">
        <f>IF(ABS(MAX(B87:AF87))&gt;ABS(MIN(B87:AF87)),MAX(B87:AF87),MIN(B87:AF87))</f>
        <v>75.599999999999994</v>
      </c>
      <c r="AI87" s="121">
        <f>INDEX($B$9:$AF$9,1,MATCH(AH87,B87:AF87,0))</f>
        <v>0.45833333333333298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1143.94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24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24)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24)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1035.92</v>
      </c>
      <c r="U193" s="173">
        <f t="shared" si="37"/>
        <v>1006.67</v>
      </c>
      <c r="V193" s="173">
        <f t="shared" si="37"/>
        <v>1001.64</v>
      </c>
      <c r="W193" s="173">
        <f t="shared" si="37"/>
        <v>997.93000000000006</v>
      </c>
      <c r="X193" s="173">
        <f t="shared" si="37"/>
        <v>970.96</v>
      </c>
      <c r="Y193" s="173">
        <f t="shared" si="37"/>
        <v>921.43999999999994</v>
      </c>
      <c r="Z193" s="173">
        <f t="shared" si="37"/>
        <v>921.43999999999994</v>
      </c>
      <c r="AA193" s="173">
        <f t="shared" si="37"/>
        <v>961.14</v>
      </c>
      <c r="AB193" s="173">
        <f t="shared" si="37"/>
        <v>983.67</v>
      </c>
      <c r="AC193" s="173">
        <f t="shared" si="37"/>
        <v>974.93999999999983</v>
      </c>
      <c r="AD193" s="173">
        <f t="shared" si="37"/>
        <v>1111.04</v>
      </c>
      <c r="AE193" s="173">
        <f t="shared" si="37"/>
        <v>1143.94</v>
      </c>
      <c r="AF193" s="173">
        <f t="shared" si="37"/>
        <v>1123.24</v>
      </c>
      <c r="AG193" s="173">
        <f t="shared" si="37"/>
        <v>1125.74</v>
      </c>
      <c r="AH193" s="173">
        <f t="shared" si="37"/>
        <v>1134.6400000000001</v>
      </c>
      <c r="AI193" s="173">
        <f t="shared" si="37"/>
        <v>1140.94</v>
      </c>
      <c r="AJ193" s="173">
        <f t="shared" si="37"/>
        <v>1192.3400000000001</v>
      </c>
      <c r="AK193" s="173">
        <f t="shared" si="37"/>
        <v>1184.44</v>
      </c>
      <c r="AL193" s="173">
        <f t="shared" si="37"/>
        <v>1182.3400000000001</v>
      </c>
      <c r="AM193" s="173">
        <f t="shared" si="37"/>
        <v>1080.3700000000001</v>
      </c>
      <c r="AN193" s="173">
        <f t="shared" si="37"/>
        <v>1088.24</v>
      </c>
      <c r="AO193" s="173">
        <f t="shared" si="37"/>
        <v>1037.54</v>
      </c>
      <c r="AP193" s="173">
        <f t="shared" si="37"/>
        <v>1033.96</v>
      </c>
      <c r="AQ193" s="173">
        <f t="shared" si="37"/>
        <v>1107.1500000000001</v>
      </c>
      <c r="AR193" s="173">
        <f t="shared" si="37"/>
        <v>1211.69</v>
      </c>
      <c r="AS193" s="173">
        <f t="shared" si="37"/>
        <v>1250.9099999999999</v>
      </c>
      <c r="AT193" s="173">
        <f t="shared" si="37"/>
        <v>1247.4399999999998</v>
      </c>
      <c r="AU193" s="173">
        <f t="shared" si="37"/>
        <v>1249.26</v>
      </c>
      <c r="AV193" s="173">
        <f t="shared" si="37"/>
        <v>1193.24</v>
      </c>
      <c r="AW193" s="173">
        <f t="shared" si="37"/>
        <v>1125.44</v>
      </c>
      <c r="AX193" s="173">
        <f t="shared" si="37"/>
        <v>1065.8400000000001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632" priority="149">
      <formula>S$9&gt;=20/24</formula>
    </cfRule>
    <cfRule type="expression" dxfId="1631" priority="150">
      <formula>AND(S$9&gt;=14/24,S$9&lt;20/24)</formula>
    </cfRule>
    <cfRule type="expression" dxfId="1630" priority="151">
      <formula>AND(S$9&gt;=8/24,S$9&lt;14/24)</formula>
    </cfRule>
    <cfRule type="expression" dxfId="1629" priority="152">
      <formula>S$9&lt;8/24</formula>
    </cfRule>
  </conditionalFormatting>
  <conditionalFormatting sqref="B8:AF10 AA70:AF70 B70:Q70 L32:Z33 L31:Q31 C173:AF179 M36 N35:Q36 L29:Q29 M37:Q39 L34:Q34 V35:W35 S34:W34 X34:Z35 AA72:AF79 AA48:AF51 B53:B58 R11:T11 U11:Z12 B47:AF47 B59:AF69 B71:AF71 B48:G50 B52:E52 F52:F58 B51:F51 G51:G58 I48:K58 M31:M34 N73:Z79 N72:Q72 B72:M79 O36:O39 L44:AF46 L49:T50 P31:P39 L51:Q58 AE52:AF58">
    <cfRule type="expression" dxfId="1628" priority="145">
      <formula>B$9&gt;=20/24</formula>
    </cfRule>
    <cfRule type="expression" dxfId="1627" priority="146">
      <formula>AND(B$9&gt;=14/24,B$9&lt;20/24)</formula>
    </cfRule>
    <cfRule type="expression" dxfId="1626" priority="147">
      <formula>AND(B$9&gt;=8/24,B$9&lt;14/24)</formula>
    </cfRule>
    <cfRule type="expression" dxfId="1625" priority="148">
      <formula>B$9&lt;8/24</formula>
    </cfRule>
  </conditionalFormatting>
  <conditionalFormatting sqref="B171:AF171">
    <cfRule type="expression" dxfId="1624" priority="141">
      <formula>B$9&gt;=20/24</formula>
    </cfRule>
    <cfRule type="expression" dxfId="1623" priority="142">
      <formula>AND(B$9&gt;=14/24,B$9&lt;20/24)</formula>
    </cfRule>
    <cfRule type="expression" dxfId="1622" priority="143">
      <formula>AND(B$9&gt;=8/24,B$9&lt;14/24)</formula>
    </cfRule>
    <cfRule type="expression" dxfId="1621" priority="144">
      <formula>B$9&lt;8/24</formula>
    </cfRule>
  </conditionalFormatting>
  <conditionalFormatting sqref="AL4:AL6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620" priority="136">
      <formula>L$9&gt;=20/24</formula>
    </cfRule>
    <cfRule type="expression" dxfId="1619" priority="137">
      <formula>AND(L$9&gt;=14/24,L$9&lt;20/24)</formula>
    </cfRule>
    <cfRule type="expression" dxfId="1618" priority="138">
      <formula>AND(L$9&gt;=8/24,L$9&lt;14/24)</formula>
    </cfRule>
    <cfRule type="expression" dxfId="1617" priority="139">
      <formula>L$9&lt;8/24</formula>
    </cfRule>
  </conditionalFormatting>
  <conditionalFormatting sqref="L35:M35">
    <cfRule type="expression" dxfId="1616" priority="132">
      <formula>L$9&gt;=20/24</formula>
    </cfRule>
    <cfRule type="expression" dxfId="1615" priority="133">
      <formula>AND(L$9&gt;=14/24,L$9&lt;20/24)</formula>
    </cfRule>
    <cfRule type="expression" dxfId="1614" priority="134">
      <formula>AND(L$9&gt;=8/24,L$9&lt;14/24)</formula>
    </cfRule>
    <cfRule type="expression" dxfId="1613" priority="135">
      <formula>L$9&lt;8/24</formula>
    </cfRule>
  </conditionalFormatting>
  <conditionalFormatting sqref="U13:Z13">
    <cfRule type="expression" dxfId="1612" priority="128">
      <formula>U$9&gt;=20/24</formula>
    </cfRule>
    <cfRule type="expression" dxfId="1611" priority="129">
      <formula>AND(U$9&gt;=14/24,U$9&lt;20/24)</formula>
    </cfRule>
    <cfRule type="expression" dxfId="1610" priority="130">
      <formula>AND(U$9&gt;=8/24,U$9&lt;14/24)</formula>
    </cfRule>
    <cfRule type="expression" dxfId="1609" priority="131">
      <formula>U$9&lt;8/24</formula>
    </cfRule>
  </conditionalFormatting>
  <conditionalFormatting sqref="R31:Z31">
    <cfRule type="expression" dxfId="1608" priority="124">
      <formula>R$9&gt;=20/24</formula>
    </cfRule>
    <cfRule type="expression" dxfId="1607" priority="125">
      <formula>AND(R$9&gt;=14/24,R$9&lt;20/24)</formula>
    </cfRule>
    <cfRule type="expression" dxfId="1606" priority="126">
      <formula>AND(R$9&gt;=8/24,R$9&lt;14/24)</formula>
    </cfRule>
    <cfRule type="expression" dxfId="1605" priority="127">
      <formula>R$9&lt;8/24</formula>
    </cfRule>
  </conditionalFormatting>
  <conditionalFormatting sqref="R48:Z48">
    <cfRule type="expression" dxfId="1604" priority="120">
      <formula>R$9&gt;=20/24</formula>
    </cfRule>
    <cfRule type="expression" dxfId="1603" priority="121">
      <formula>AND(R$9&gt;=14/24,R$9&lt;20/24)</formula>
    </cfRule>
    <cfRule type="expression" dxfId="1602" priority="122">
      <formula>AND(R$9&gt;=8/24,R$9&lt;14/24)</formula>
    </cfRule>
    <cfRule type="expression" dxfId="1601" priority="123">
      <formula>R$9&lt;8/24</formula>
    </cfRule>
  </conditionalFormatting>
  <conditionalFormatting sqref="R70:Z70">
    <cfRule type="expression" dxfId="1600" priority="116">
      <formula>R$9&gt;=20/24</formula>
    </cfRule>
    <cfRule type="expression" dxfId="1599" priority="117">
      <formula>AND(R$9&gt;=14/24,R$9&lt;20/24)</formula>
    </cfRule>
    <cfRule type="expression" dxfId="1598" priority="118">
      <formula>AND(R$9&gt;=8/24,R$9&lt;14/24)</formula>
    </cfRule>
    <cfRule type="expression" dxfId="1597" priority="119">
      <formula>R$9&lt;8/24</formula>
    </cfRule>
  </conditionalFormatting>
  <conditionalFormatting sqref="R72:Z72">
    <cfRule type="expression" dxfId="1596" priority="112">
      <formula>R$9&gt;=20/24</formula>
    </cfRule>
    <cfRule type="expression" dxfId="1595" priority="113">
      <formula>AND(R$9&gt;=14/24,R$9&lt;20/24)</formula>
    </cfRule>
    <cfRule type="expression" dxfId="1594" priority="114">
      <formula>AND(R$9&gt;=8/24,R$9&lt;14/24)</formula>
    </cfRule>
    <cfRule type="expression" dxfId="1593" priority="115">
      <formula>R$9&lt;8/24</formula>
    </cfRule>
  </conditionalFormatting>
  <conditionalFormatting sqref="L11:Q27 R22:T26">
    <cfRule type="expression" dxfId="1592" priority="108">
      <formula>L$9&gt;=20/24</formula>
    </cfRule>
    <cfRule type="expression" dxfId="1591" priority="109">
      <formula>AND(L$9&gt;=14/24,L$9&lt;20/24)</formula>
    </cfRule>
    <cfRule type="expression" dxfId="1590" priority="110">
      <formula>AND(L$9&gt;=8/24,L$9&lt;14/24)</formula>
    </cfRule>
    <cfRule type="expression" dxfId="1589" priority="111">
      <formula>L$9&lt;8/24</formula>
    </cfRule>
  </conditionalFormatting>
  <conditionalFormatting sqref="L40:Q40">
    <cfRule type="expression" dxfId="1588" priority="104">
      <formula>L$9&gt;=20/24</formula>
    </cfRule>
    <cfRule type="expression" dxfId="1587" priority="105">
      <formula>AND(L$9&gt;=14/24,L$9&lt;20/24)</formula>
    </cfRule>
    <cfRule type="expression" dxfId="1586" priority="106">
      <formula>AND(L$9&gt;=8/24,L$9&lt;14/24)</formula>
    </cfRule>
    <cfRule type="expression" dxfId="1585" priority="107">
      <formula>L$9&lt;8/24</formula>
    </cfRule>
  </conditionalFormatting>
  <conditionalFormatting sqref="L41:Q41">
    <cfRule type="expression" dxfId="1584" priority="100">
      <formula>L$9&gt;=20/24</formula>
    </cfRule>
    <cfRule type="expression" dxfId="1583" priority="101">
      <formula>AND(L$9&gt;=14/24,L$9&lt;20/24)</formula>
    </cfRule>
    <cfRule type="expression" dxfId="1582" priority="102">
      <formula>AND(L$9&gt;=8/24,L$9&lt;14/24)</formula>
    </cfRule>
    <cfRule type="expression" dxfId="1581" priority="103">
      <formula>L$9&lt;8/24</formula>
    </cfRule>
  </conditionalFormatting>
  <conditionalFormatting sqref="L36:M39">
    <cfRule type="expression" dxfId="1580" priority="96">
      <formula>L$9&gt;=20/24</formula>
    </cfRule>
    <cfRule type="expression" dxfId="1579" priority="97">
      <formula>AND(L$9&gt;=14/24,L$9&lt;20/24)</formula>
    </cfRule>
    <cfRule type="expression" dxfId="1578" priority="98">
      <formula>AND(L$9&gt;=8/24,L$9&lt;14/24)</formula>
    </cfRule>
    <cfRule type="expression" dxfId="1577" priority="99">
      <formula>L$9&lt;8/24</formula>
    </cfRule>
  </conditionalFormatting>
  <conditionalFormatting sqref="R29:AD29">
    <cfRule type="expression" dxfId="1576" priority="92">
      <formula>R$9&gt;=20/24</formula>
    </cfRule>
    <cfRule type="expression" dxfId="1575" priority="93">
      <formula>AND(R$9&gt;=14/24,R$9&lt;20/24)</formula>
    </cfRule>
    <cfRule type="expression" dxfId="1574" priority="94">
      <formula>AND(R$9&gt;=8/24,R$9&lt;14/24)</formula>
    </cfRule>
    <cfRule type="expression" dxfId="1573" priority="95">
      <formula>R$9&lt;8/24</formula>
    </cfRule>
  </conditionalFormatting>
  <conditionalFormatting sqref="R12:T27 U14:Z27 AA16:AF27">
    <cfRule type="expression" dxfId="1572" priority="88">
      <formula>R$9&gt;=20/24</formula>
    </cfRule>
    <cfRule type="expression" dxfId="1571" priority="89">
      <formula>AND(R$9&gt;=14/24,R$9&lt;20/24)</formula>
    </cfRule>
    <cfRule type="expression" dxfId="1570" priority="90">
      <formula>AND(R$9&gt;=8/24,R$9&lt;14/24)</formula>
    </cfRule>
    <cfRule type="expression" dxfId="1569" priority="91">
      <formula>R$9&lt;8/24</formula>
    </cfRule>
  </conditionalFormatting>
  <conditionalFormatting sqref="R34:R39 S35:U39 V36:Z39">
    <cfRule type="expression" dxfId="1568" priority="84">
      <formula>R$9&gt;=20/24</formula>
    </cfRule>
    <cfRule type="expression" dxfId="1567" priority="85">
      <formula>AND(R$9&gt;=14/24,R$9&lt;20/24)</formula>
    </cfRule>
    <cfRule type="expression" dxfId="1566" priority="86">
      <formula>AND(R$9&gt;=8/24,R$9&lt;14/24)</formula>
    </cfRule>
    <cfRule type="expression" dxfId="1565" priority="87">
      <formula>R$9&lt;8/24</formula>
    </cfRule>
  </conditionalFormatting>
  <conditionalFormatting sqref="R40:Z40">
    <cfRule type="expression" dxfId="1564" priority="80">
      <formula>R$9&gt;=20/24</formula>
    </cfRule>
    <cfRule type="expression" dxfId="1563" priority="81">
      <formula>AND(R$9&gt;=14/24,R$9&lt;20/24)</formula>
    </cfRule>
    <cfRule type="expression" dxfId="1562" priority="82">
      <formula>AND(R$9&gt;=8/24,R$9&lt;14/24)</formula>
    </cfRule>
    <cfRule type="expression" dxfId="1561" priority="83">
      <formula>R$9&lt;8/24</formula>
    </cfRule>
  </conditionalFormatting>
  <conditionalFormatting sqref="R41:Z41">
    <cfRule type="expression" dxfId="1560" priority="76">
      <formula>R$9&gt;=20/24</formula>
    </cfRule>
    <cfRule type="expression" dxfId="1559" priority="77">
      <formula>AND(R$9&gt;=14/24,R$9&lt;20/24)</formula>
    </cfRule>
    <cfRule type="expression" dxfId="1558" priority="78">
      <formula>AND(R$9&gt;=8/24,R$9&lt;14/24)</formula>
    </cfRule>
    <cfRule type="expression" dxfId="1557" priority="79">
      <formula>R$9&lt;8/24</formula>
    </cfRule>
  </conditionalFormatting>
  <conditionalFormatting sqref="R51:Z58 AA52:AD58">
    <cfRule type="expression" dxfId="1556" priority="72">
      <formula>R$9&gt;=20/24</formula>
    </cfRule>
    <cfRule type="expression" dxfId="1555" priority="73">
      <formula>AND(R$9&gt;=14/24,R$9&lt;20/24)</formula>
    </cfRule>
    <cfRule type="expression" dxfId="1554" priority="74">
      <formula>AND(R$9&gt;=8/24,R$9&lt;14/24)</formula>
    </cfRule>
    <cfRule type="expression" dxfId="1553" priority="75">
      <formula>R$9&lt;8/24</formula>
    </cfRule>
  </conditionalFormatting>
  <conditionalFormatting sqref="AA83:AF86">
    <cfRule type="expression" dxfId="1552" priority="68">
      <formula>AA$9&gt;=20/24</formula>
    </cfRule>
    <cfRule type="expression" dxfId="1551" priority="69">
      <formula>AND(AA$9&gt;=14/24,AA$9&lt;20/24)</formula>
    </cfRule>
    <cfRule type="expression" dxfId="1550" priority="70">
      <formula>AND(AA$9&gt;=8/24,AA$9&lt;14/24)</formula>
    </cfRule>
    <cfRule type="expression" dxfId="1549" priority="71">
      <formula>AA$9&lt;8/24</formula>
    </cfRule>
  </conditionalFormatting>
  <conditionalFormatting sqref="C53:E58">
    <cfRule type="expression" dxfId="1548" priority="64">
      <formula>C$9&gt;=20/24</formula>
    </cfRule>
    <cfRule type="expression" dxfId="1547" priority="65">
      <formula>AND(C$9&gt;=14/24,C$9&lt;20/24)</formula>
    </cfRule>
    <cfRule type="expression" dxfId="1546" priority="66">
      <formula>AND(C$9&gt;=8/24,C$9&lt;14/24)</formula>
    </cfRule>
    <cfRule type="expression" dxfId="1545" priority="67">
      <formula>C$9&lt;8/24</formula>
    </cfRule>
  </conditionalFormatting>
  <conditionalFormatting sqref="B83:F86 H83:K86">
    <cfRule type="expression" dxfId="1544" priority="60">
      <formula>B$9&gt;=20/24</formula>
    </cfRule>
    <cfRule type="expression" dxfId="1543" priority="61">
      <formula>AND(B$9&gt;=14/24,B$9&lt;20/24)</formula>
    </cfRule>
    <cfRule type="expression" dxfId="1542" priority="62">
      <formula>AND(B$9&gt;=8/24,B$9&lt;14/24)</formula>
    </cfRule>
    <cfRule type="expression" dxfId="1541" priority="63">
      <formula>B$9&lt;8/24</formula>
    </cfRule>
  </conditionalFormatting>
  <conditionalFormatting sqref="L83:Q86">
    <cfRule type="expression" dxfId="1540" priority="56">
      <formula>L$9&gt;=20/24</formula>
    </cfRule>
    <cfRule type="expression" dxfId="1539" priority="57">
      <formula>AND(L$9&gt;=14/24,L$9&lt;20/24)</formula>
    </cfRule>
    <cfRule type="expression" dxfId="1538" priority="58">
      <formula>AND(L$9&gt;=8/24,L$9&lt;14/24)</formula>
    </cfRule>
    <cfRule type="expression" dxfId="1537" priority="59">
      <formula>L$9&lt;8/24</formula>
    </cfRule>
  </conditionalFormatting>
  <conditionalFormatting sqref="R83:Z86">
    <cfRule type="expression" dxfId="1536" priority="52">
      <formula>R$9&gt;=20/24</formula>
    </cfRule>
    <cfRule type="expression" dxfId="1535" priority="53">
      <formula>AND(R$9&gt;=14/24,R$9&lt;20/24)</formula>
    </cfRule>
    <cfRule type="expression" dxfId="1534" priority="54">
      <formula>AND(R$9&gt;=8/24,R$9&lt;14/24)</formula>
    </cfRule>
    <cfRule type="expression" dxfId="1533" priority="55">
      <formula>R$9&lt;8/24</formula>
    </cfRule>
  </conditionalFormatting>
  <conditionalFormatting sqref="AG42 B11:AF47">
    <cfRule type="expression" dxfId="1532" priority="51">
      <formula>B11&gt;$AG11</formula>
    </cfRule>
  </conditionalFormatting>
  <conditionalFormatting sqref="T192:AX192">
    <cfRule type="expression" dxfId="1531" priority="47">
      <formula>T$9&gt;=20/24</formula>
    </cfRule>
    <cfRule type="expression" dxfId="1530" priority="48">
      <formula>AND(T$9&gt;=14/24,T$9&lt;20/24)</formula>
    </cfRule>
    <cfRule type="expression" dxfId="1529" priority="49">
      <formula>AND(T$9&gt;=8/24,T$9&lt;14/24)</formula>
    </cfRule>
    <cfRule type="expression" dxfId="1528" priority="50">
      <formula>T$9&lt;8/24</formula>
    </cfRule>
  </conditionalFormatting>
  <conditionalFormatting sqref="A11:A86 A88:A180">
    <cfRule type="expression" dxfId="1527" priority="46">
      <formula>$AH11=0</formula>
    </cfRule>
  </conditionalFormatting>
  <conditionalFormatting sqref="AA87:AF87">
    <cfRule type="expression" dxfId="1526" priority="42">
      <formula>AA$9&gt;=20/24</formula>
    </cfRule>
    <cfRule type="expression" dxfId="1525" priority="43">
      <formula>AND(AA$9&gt;=14/24,AA$9&lt;20/24)</formula>
    </cfRule>
    <cfRule type="expression" dxfId="1524" priority="44">
      <formula>AND(AA$9&gt;=8/24,AA$9&lt;14/24)</formula>
    </cfRule>
    <cfRule type="expression" dxfId="1523" priority="45">
      <formula>AA$9&lt;8/24</formula>
    </cfRule>
  </conditionalFormatting>
  <conditionalFormatting sqref="B87:F87 H87:K87">
    <cfRule type="expression" dxfId="1522" priority="38">
      <formula>B$9&gt;=20/24</formula>
    </cfRule>
    <cfRule type="expression" dxfId="1521" priority="39">
      <formula>AND(B$9&gt;=14/24,B$9&lt;20/24)</formula>
    </cfRule>
    <cfRule type="expression" dxfId="1520" priority="40">
      <formula>AND(B$9&gt;=8/24,B$9&lt;14/24)</formula>
    </cfRule>
    <cfRule type="expression" dxfId="1519" priority="41">
      <formula>B$9&lt;8/24</formula>
    </cfRule>
  </conditionalFormatting>
  <conditionalFormatting sqref="L87:Q87">
    <cfRule type="expression" dxfId="1518" priority="34">
      <formula>L$9&gt;=20/24</formula>
    </cfRule>
    <cfRule type="expression" dxfId="1517" priority="35">
      <formula>AND(L$9&gt;=14/24,L$9&lt;20/24)</formula>
    </cfRule>
    <cfRule type="expression" dxfId="1516" priority="36">
      <formula>AND(L$9&gt;=8/24,L$9&lt;14/24)</formula>
    </cfRule>
    <cfRule type="expression" dxfId="1515" priority="37">
      <formula>L$9&lt;8/24</formula>
    </cfRule>
  </conditionalFormatting>
  <conditionalFormatting sqref="R87:Z87">
    <cfRule type="expression" dxfId="1514" priority="30">
      <formula>R$9&gt;=20/24</formula>
    </cfRule>
    <cfRule type="expression" dxfId="1513" priority="31">
      <formula>AND(R$9&gt;=14/24,R$9&lt;20/24)</formula>
    </cfRule>
    <cfRule type="expression" dxfId="1512" priority="32">
      <formula>AND(R$9&gt;=8/24,R$9&lt;14/24)</formula>
    </cfRule>
    <cfRule type="expression" dxfId="1511" priority="33">
      <formula>R$9&lt;8/24</formula>
    </cfRule>
  </conditionalFormatting>
  <conditionalFormatting sqref="A87">
    <cfRule type="expression" dxfId="1510" priority="29">
      <formula>$AH87=0</formula>
    </cfRule>
  </conditionalFormatting>
  <conditionalFormatting sqref="B28:AF28">
    <cfRule type="expression" dxfId="1509" priority="25">
      <formula>B$9&gt;=20/24</formula>
    </cfRule>
    <cfRule type="expression" dxfId="1508" priority="26">
      <formula>AND(B$9&gt;=14/24,B$9&lt;20/24)</formula>
    </cfRule>
    <cfRule type="expression" dxfId="1507" priority="27">
      <formula>AND(B$9&gt;=8/24,B$9&lt;14/24)</formula>
    </cfRule>
    <cfRule type="expression" dxfId="1506" priority="28">
      <formula>B$9&lt;8/24</formula>
    </cfRule>
  </conditionalFormatting>
  <conditionalFormatting sqref="R28:AA28">
    <cfRule type="expression" dxfId="1505" priority="21">
      <formula>R$9&gt;=20/24</formula>
    </cfRule>
    <cfRule type="expression" dxfId="1504" priority="22">
      <formula>AND(R$9&gt;=14/24,R$9&lt;20/24)</formula>
    </cfRule>
    <cfRule type="expression" dxfId="1503" priority="23">
      <formula>AND(R$9&gt;=8/24,R$9&lt;14/24)</formula>
    </cfRule>
    <cfRule type="expression" dxfId="1502" priority="24">
      <formula>R$9&lt;8/24</formula>
    </cfRule>
  </conditionalFormatting>
  <conditionalFormatting sqref="H48:H58">
    <cfRule type="expression" dxfId="1501" priority="17">
      <formula>H$9&gt;=20/24</formula>
    </cfRule>
    <cfRule type="expression" dxfId="1500" priority="18">
      <formula>AND(H$9&gt;=14/24,H$9&lt;20/24)</formula>
    </cfRule>
    <cfRule type="expression" dxfId="1499" priority="19">
      <formula>AND(H$9&gt;=8/24,H$9&lt;14/24)</formula>
    </cfRule>
    <cfRule type="expression" dxfId="1498" priority="20">
      <formula>H$9&lt;8/24</formula>
    </cfRule>
  </conditionalFormatting>
  <conditionalFormatting sqref="G83:G86">
    <cfRule type="expression" dxfId="1497" priority="13">
      <formula>G$9&gt;=20/24</formula>
    </cfRule>
    <cfRule type="expression" dxfId="1496" priority="14">
      <formula>AND(G$9&gt;=14/24,G$9&lt;20/24)</formula>
    </cfRule>
    <cfRule type="expression" dxfId="1495" priority="15">
      <formula>AND(G$9&gt;=8/24,G$9&lt;14/24)</formula>
    </cfRule>
    <cfRule type="expression" dxfId="1494" priority="16">
      <formula>G$9&lt;8/24</formula>
    </cfRule>
  </conditionalFormatting>
  <conditionalFormatting sqref="G87">
    <cfRule type="expression" dxfId="1493" priority="9">
      <formula>G$9&gt;=20/24</formula>
    </cfRule>
    <cfRule type="expression" dxfId="1492" priority="10">
      <formula>AND(G$9&gt;=14/24,G$9&lt;20/24)</formula>
    </cfRule>
    <cfRule type="expression" dxfId="1491" priority="11">
      <formula>AND(G$9&gt;=8/24,G$9&lt;14/24)</formula>
    </cfRule>
    <cfRule type="expression" dxfId="1490" priority="12">
      <formula>G$9&lt;8/24</formula>
    </cfRule>
  </conditionalFormatting>
  <conditionalFormatting sqref="U22:V26">
    <cfRule type="expression" dxfId="1489" priority="5">
      <formula>U$9&gt;=20/24</formula>
    </cfRule>
    <cfRule type="expression" dxfId="1488" priority="6">
      <formula>AND(U$9&gt;=14/24,U$9&lt;20/24)</formula>
    </cfRule>
    <cfRule type="expression" dxfId="1487" priority="7">
      <formula>AND(U$9&gt;=8/24,U$9&lt;14/24)</formula>
    </cfRule>
    <cfRule type="expression" dxfId="1486" priority="8">
      <formula>U$9&lt;8/24</formula>
    </cfRule>
  </conditionalFormatting>
  <conditionalFormatting sqref="W22:Z26">
    <cfRule type="expression" dxfId="1485" priority="1">
      <formula>W$9&gt;=20/24</formula>
    </cfRule>
    <cfRule type="expression" dxfId="1484" priority="2">
      <formula>AND(W$9&gt;=14/24,W$9&lt;20/24)</formula>
    </cfRule>
    <cfRule type="expression" dxfId="1483" priority="3">
      <formula>AND(W$9&gt;=8/24,W$9&lt;14/24)</formula>
    </cfRule>
    <cfRule type="expression" dxfId="1482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7" activePane="bottomRight" state="frozen"/>
      <selection activeCell="AF88" sqref="AF88"/>
      <selection pane="topRight" activeCell="AF88" sqref="AF88"/>
      <selection pane="bottomLeft" activeCell="AF88" sqref="AF88"/>
      <selection pane="bottomRight" activeCell="L49" sqref="L49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25</v>
      </c>
      <c r="D4" s="324">
        <f ca="1">IFERROR(DATE(2021,5,14)+C4,"")</f>
        <v>44355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243</v>
      </c>
      <c r="C5" s="32">
        <f t="shared" ref="C5:AF5" si="0">C59</f>
        <v>247</v>
      </c>
      <c r="D5" s="32">
        <f t="shared" si="0"/>
        <v>259.8</v>
      </c>
      <c r="E5" s="32">
        <f t="shared" si="0"/>
        <v>267.10000000000002</v>
      </c>
      <c r="F5" s="32">
        <f t="shared" si="0"/>
        <v>261.60000000000002</v>
      </c>
      <c r="G5" s="32">
        <f t="shared" si="0"/>
        <v>203.7</v>
      </c>
      <c r="H5" s="32">
        <f t="shared" si="0"/>
        <v>235.3</v>
      </c>
      <c r="I5" s="32">
        <f t="shared" si="0"/>
        <v>284.8</v>
      </c>
      <c r="J5" s="32">
        <f t="shared" si="0"/>
        <v>310.35000000000002</v>
      </c>
      <c r="K5" s="32">
        <f t="shared" si="0"/>
        <v>368.6</v>
      </c>
      <c r="L5" s="32">
        <f t="shared" si="0"/>
        <v>365.8</v>
      </c>
      <c r="M5" s="32">
        <f t="shared" si="0"/>
        <v>384.2</v>
      </c>
      <c r="N5" s="32">
        <f t="shared" si="0"/>
        <v>395</v>
      </c>
      <c r="O5" s="32">
        <f t="shared" si="0"/>
        <v>391</v>
      </c>
      <c r="P5" s="32">
        <f t="shared" si="0"/>
        <v>383</v>
      </c>
      <c r="Q5" s="32">
        <f t="shared" si="0"/>
        <v>393</v>
      </c>
      <c r="R5" s="32">
        <f t="shared" si="0"/>
        <v>361</v>
      </c>
      <c r="S5" s="32">
        <f t="shared" si="0"/>
        <v>397.6</v>
      </c>
      <c r="T5" s="32">
        <f t="shared" si="0"/>
        <v>382</v>
      </c>
      <c r="U5" s="32">
        <f t="shared" si="0"/>
        <v>358.5</v>
      </c>
      <c r="V5" s="32">
        <f t="shared" si="0"/>
        <v>317.5</v>
      </c>
      <c r="W5" s="32">
        <f t="shared" si="0"/>
        <v>301.5</v>
      </c>
      <c r="X5" s="32">
        <f t="shared" si="0"/>
        <v>330.5</v>
      </c>
      <c r="Y5" s="32">
        <f t="shared" si="0"/>
        <v>351</v>
      </c>
      <c r="Z5" s="32">
        <f t="shared" si="0"/>
        <v>393</v>
      </c>
      <c r="AA5" s="32">
        <f t="shared" si="0"/>
        <v>457.3</v>
      </c>
      <c r="AB5" s="32">
        <f t="shared" si="0"/>
        <v>456</v>
      </c>
      <c r="AC5" s="32">
        <f t="shared" si="0"/>
        <v>423.64000000000004</v>
      </c>
      <c r="AD5" s="32">
        <f t="shared" si="0"/>
        <v>323</v>
      </c>
      <c r="AE5" s="32">
        <f t="shared" si="0"/>
        <v>245.86</v>
      </c>
      <c r="AF5" s="32">
        <f t="shared" si="0"/>
        <v>200.49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1188MW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Load=1019</v>
      </c>
      <c r="B7" s="36">
        <f t="shared" ref="B7:AF7" si="1">B65</f>
        <v>1096.6399999999999</v>
      </c>
      <c r="C7" s="36">
        <f t="shared" si="1"/>
        <v>1067.3400000000001</v>
      </c>
      <c r="D7" s="36">
        <f t="shared" si="1"/>
        <v>1065.8399999999999</v>
      </c>
      <c r="E7" s="36">
        <f t="shared" si="1"/>
        <v>1056.74</v>
      </c>
      <c r="F7" s="36">
        <f t="shared" si="1"/>
        <v>1048.04</v>
      </c>
      <c r="G7" s="36">
        <f t="shared" si="1"/>
        <v>1034.3400000000001</v>
      </c>
      <c r="H7" s="36">
        <f t="shared" si="1"/>
        <v>1076.74</v>
      </c>
      <c r="I7" s="36">
        <f t="shared" si="1"/>
        <v>1077.6399999999999</v>
      </c>
      <c r="J7" s="36">
        <f t="shared" si="1"/>
        <v>1110.0900000000001</v>
      </c>
      <c r="K7" s="36">
        <f t="shared" si="1"/>
        <v>1142.04</v>
      </c>
      <c r="L7" s="36">
        <f>L65</f>
        <v>1149.0400000000002</v>
      </c>
      <c r="M7" s="36">
        <f t="shared" si="1"/>
        <v>1188.44</v>
      </c>
      <c r="N7" s="36">
        <f t="shared" si="1"/>
        <v>1195.94</v>
      </c>
      <c r="O7" s="36">
        <f t="shared" si="1"/>
        <v>1205.94</v>
      </c>
      <c r="P7" s="36">
        <f t="shared" si="1"/>
        <v>1166.44</v>
      </c>
      <c r="Q7" s="36">
        <f t="shared" si="1"/>
        <v>1178.04</v>
      </c>
      <c r="R7" s="36">
        <f t="shared" si="1"/>
        <v>1141.04</v>
      </c>
      <c r="S7" s="36">
        <f t="shared" si="1"/>
        <v>1105.1399999999999</v>
      </c>
      <c r="T7" s="36">
        <f t="shared" si="1"/>
        <v>1087.74</v>
      </c>
      <c r="U7" s="36">
        <f t="shared" si="1"/>
        <v>1104.1399999999999</v>
      </c>
      <c r="V7" s="36">
        <f t="shared" si="1"/>
        <v>1063.1399999999999</v>
      </c>
      <c r="W7" s="36">
        <f t="shared" si="1"/>
        <v>1018.84</v>
      </c>
      <c r="X7" s="36">
        <f t="shared" si="1"/>
        <v>1057.1399999999999</v>
      </c>
      <c r="Y7" s="36">
        <f t="shared" si="1"/>
        <v>1078.94</v>
      </c>
      <c r="Z7" s="36">
        <f t="shared" si="1"/>
        <v>1241.94</v>
      </c>
      <c r="AA7" s="36">
        <f t="shared" si="1"/>
        <v>1271.8399999999999</v>
      </c>
      <c r="AB7" s="36">
        <f t="shared" si="1"/>
        <v>1255.24</v>
      </c>
      <c r="AC7" s="36">
        <f t="shared" si="1"/>
        <v>1211.68</v>
      </c>
      <c r="AD7" s="36">
        <f t="shared" si="1"/>
        <v>1154.8399999999999</v>
      </c>
      <c r="AE7" s="36">
        <f t="shared" si="1"/>
        <v>1105</v>
      </c>
      <c r="AF7" s="36">
        <f t="shared" si="1"/>
        <v>1086.8300000000002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33.1</v>
      </c>
      <c r="C11" s="48">
        <v>33.1</v>
      </c>
      <c r="D11" s="48">
        <v>32.5</v>
      </c>
      <c r="E11" s="48">
        <v>33</v>
      </c>
      <c r="F11" s="48">
        <v>33.299999999999997</v>
      </c>
      <c r="G11" s="48">
        <v>35.4</v>
      </c>
      <c r="H11" s="48">
        <v>36.4</v>
      </c>
      <c r="I11" s="48">
        <v>35.799999999999997</v>
      </c>
      <c r="J11" s="48">
        <v>36</v>
      </c>
      <c r="K11" s="48">
        <v>36</v>
      </c>
      <c r="L11" s="49">
        <v>36</v>
      </c>
      <c r="M11" s="49">
        <v>36.5</v>
      </c>
      <c r="N11" s="49">
        <v>37</v>
      </c>
      <c r="O11" s="49">
        <v>38</v>
      </c>
      <c r="P11" s="49">
        <v>39.200000000000003</v>
      </c>
      <c r="Q11" s="49">
        <v>38.200000000000003</v>
      </c>
      <c r="R11" s="49">
        <v>34.4</v>
      </c>
      <c r="S11" s="49">
        <v>35.700000000000003</v>
      </c>
      <c r="T11" s="49">
        <v>36.9</v>
      </c>
      <c r="U11" s="49">
        <v>36.9</v>
      </c>
      <c r="V11" s="49">
        <v>36.9</v>
      </c>
      <c r="W11" s="49">
        <v>42.6</v>
      </c>
      <c r="X11" s="49">
        <v>45.9</v>
      </c>
      <c r="Y11" s="49">
        <v>50.8</v>
      </c>
      <c r="Z11" s="49">
        <v>50</v>
      </c>
      <c r="AA11" s="48">
        <v>38.200000000000003</v>
      </c>
      <c r="AB11" s="48">
        <v>38.299999999999997</v>
      </c>
      <c r="AC11" s="48">
        <v>37.5</v>
      </c>
      <c r="AD11" s="48">
        <v>36.6</v>
      </c>
      <c r="AE11" s="48">
        <v>34.799999999999997</v>
      </c>
      <c r="AF11" s="48">
        <v>33.200000000000003</v>
      </c>
      <c r="AG11" s="51">
        <v>60</v>
      </c>
      <c r="AH11" s="52">
        <f>MAX(B11:AF11)</f>
        <v>50.8</v>
      </c>
      <c r="AI11" s="53">
        <f>MIN(B11:AF11)</f>
        <v>32.5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50.8</v>
      </c>
      <c r="C12" s="56">
        <v>50.8</v>
      </c>
      <c r="D12" s="56">
        <v>50.6</v>
      </c>
      <c r="E12" s="56">
        <v>50.5</v>
      </c>
      <c r="F12" s="56">
        <v>50.6</v>
      </c>
      <c r="G12" s="56">
        <v>50.5</v>
      </c>
      <c r="H12" s="56">
        <v>50.5</v>
      </c>
      <c r="I12" s="56">
        <v>50.4</v>
      </c>
      <c r="J12" s="56">
        <v>50.5</v>
      </c>
      <c r="K12" s="56">
        <v>50.2</v>
      </c>
      <c r="L12" s="49">
        <v>50.2</v>
      </c>
      <c r="M12" s="49">
        <v>50.3</v>
      </c>
      <c r="N12" s="49">
        <v>50.2</v>
      </c>
      <c r="O12" s="49">
        <v>50.3</v>
      </c>
      <c r="P12" s="49">
        <v>50.4</v>
      </c>
      <c r="Q12" s="49">
        <v>50.4</v>
      </c>
      <c r="R12" s="49">
        <v>50.3</v>
      </c>
      <c r="S12" s="49">
        <v>50.3</v>
      </c>
      <c r="T12" s="49">
        <v>50.6</v>
      </c>
      <c r="U12" s="49">
        <v>50.6</v>
      </c>
      <c r="V12" s="49">
        <v>50.6</v>
      </c>
      <c r="W12" s="49">
        <v>50.4</v>
      </c>
      <c r="X12" s="49">
        <v>50.7</v>
      </c>
      <c r="Y12" s="49">
        <v>50.1</v>
      </c>
      <c r="Z12" s="49">
        <v>50.4</v>
      </c>
      <c r="AA12" s="56">
        <v>50.5</v>
      </c>
      <c r="AB12" s="56">
        <v>50.7</v>
      </c>
      <c r="AC12" s="56">
        <v>50.4</v>
      </c>
      <c r="AD12" s="56">
        <v>50.6</v>
      </c>
      <c r="AE12" s="56">
        <v>50.4</v>
      </c>
      <c r="AF12" s="56">
        <v>50.7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50.1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44</v>
      </c>
      <c r="C13" s="56">
        <v>44</v>
      </c>
      <c r="D13" s="56">
        <v>44.1</v>
      </c>
      <c r="E13" s="56">
        <v>44.2</v>
      </c>
      <c r="F13" s="56">
        <v>44.2</v>
      </c>
      <c r="G13" s="56">
        <v>44.2</v>
      </c>
      <c r="H13" s="56">
        <v>44</v>
      </c>
      <c r="I13" s="56">
        <v>0</v>
      </c>
      <c r="J13" s="56">
        <v>0</v>
      </c>
      <c r="K13" s="56">
        <v>0</v>
      </c>
      <c r="L13" s="49">
        <v>0</v>
      </c>
      <c r="M13" s="49">
        <v>0</v>
      </c>
      <c r="N13" s="49">
        <v>0</v>
      </c>
      <c r="O13" s="49">
        <v>39.799999999999997</v>
      </c>
      <c r="P13" s="49">
        <v>39.799999999999997</v>
      </c>
      <c r="Q13" s="49">
        <v>39.6</v>
      </c>
      <c r="R13" s="49">
        <v>39.200000000000003</v>
      </c>
      <c r="S13" s="49">
        <v>40.799999999999997</v>
      </c>
      <c r="T13" s="49">
        <v>40.9</v>
      </c>
      <c r="U13" s="49">
        <v>40.9</v>
      </c>
      <c r="V13" s="49">
        <v>40.9</v>
      </c>
      <c r="W13" s="49">
        <v>40.9</v>
      </c>
      <c r="X13" s="49">
        <v>40.9</v>
      </c>
      <c r="Y13" s="49">
        <v>40.799999999999997</v>
      </c>
      <c r="Z13" s="49">
        <v>40.9</v>
      </c>
      <c r="AA13" s="56">
        <v>41.9</v>
      </c>
      <c r="AB13" s="56">
        <v>41.8</v>
      </c>
      <c r="AC13" s="56">
        <v>41.9</v>
      </c>
      <c r="AD13" s="56">
        <v>41.8</v>
      </c>
      <c r="AE13" s="56">
        <v>44.5</v>
      </c>
      <c r="AF13" s="56">
        <v>43.9</v>
      </c>
      <c r="AG13" s="59">
        <v>45</v>
      </c>
      <c r="AH13" s="52">
        <f t="shared" si="2"/>
        <v>44.5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17</v>
      </c>
      <c r="C14" s="56">
        <v>0</v>
      </c>
      <c r="D14" s="56">
        <v>0</v>
      </c>
      <c r="E14" s="56">
        <v>0</v>
      </c>
      <c r="F14" s="56">
        <v>12</v>
      </c>
      <c r="G14" s="56">
        <v>0</v>
      </c>
      <c r="H14" s="56">
        <v>0</v>
      </c>
      <c r="I14" s="56">
        <v>0</v>
      </c>
      <c r="J14" s="56">
        <v>10</v>
      </c>
      <c r="K14" s="56">
        <v>10</v>
      </c>
      <c r="L14" s="49">
        <v>10</v>
      </c>
      <c r="M14" s="49">
        <v>10</v>
      </c>
      <c r="N14" s="49">
        <v>10</v>
      </c>
      <c r="O14" s="49">
        <v>10</v>
      </c>
      <c r="P14" s="49">
        <v>10</v>
      </c>
      <c r="Q14" s="49">
        <v>10.3</v>
      </c>
      <c r="R14" s="49">
        <v>10.3</v>
      </c>
      <c r="S14" s="49">
        <v>10.3</v>
      </c>
      <c r="T14" s="49">
        <v>10.3</v>
      </c>
      <c r="U14" s="49">
        <v>10.3</v>
      </c>
      <c r="V14" s="49">
        <v>10.3</v>
      </c>
      <c r="W14" s="49">
        <v>10.3</v>
      </c>
      <c r="X14" s="49">
        <v>10.3</v>
      </c>
      <c r="Y14" s="49">
        <v>10.3</v>
      </c>
      <c r="Z14" s="49">
        <v>17</v>
      </c>
      <c r="AA14" s="56">
        <v>17</v>
      </c>
      <c r="AB14" s="56">
        <v>17</v>
      </c>
      <c r="AC14" s="56">
        <v>17</v>
      </c>
      <c r="AD14" s="56">
        <v>17</v>
      </c>
      <c r="AE14" s="56">
        <v>17</v>
      </c>
      <c r="AF14" s="56">
        <v>17</v>
      </c>
      <c r="AG14" s="59">
        <v>25</v>
      </c>
      <c r="AH14" s="52">
        <f t="shared" si="2"/>
        <v>17</v>
      </c>
      <c r="AI14" s="53">
        <f t="shared" si="3"/>
        <v>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</v>
      </c>
      <c r="C15" s="56">
        <v>25</v>
      </c>
      <c r="D15" s="56">
        <v>23.1</v>
      </c>
      <c r="E15" s="56">
        <v>23.1</v>
      </c>
      <c r="F15" s="56">
        <v>22.1</v>
      </c>
      <c r="G15" s="56">
        <v>22.2</v>
      </c>
      <c r="H15" s="56">
        <v>21.5</v>
      </c>
      <c r="I15" s="56">
        <v>21.5</v>
      </c>
      <c r="J15" s="56">
        <v>21.6</v>
      </c>
      <c r="K15" s="56">
        <v>21.5</v>
      </c>
      <c r="L15" s="49">
        <v>21.5</v>
      </c>
      <c r="M15" s="49">
        <v>21.5</v>
      </c>
      <c r="N15" s="49">
        <v>21.7</v>
      </c>
      <c r="O15" s="49">
        <v>21.5</v>
      </c>
      <c r="P15" s="49">
        <v>19.899999999999999</v>
      </c>
      <c r="Q15" s="49">
        <v>19.2</v>
      </c>
      <c r="R15" s="49">
        <v>19.899999999999999</v>
      </c>
      <c r="S15" s="49">
        <v>20.6</v>
      </c>
      <c r="T15" s="49">
        <v>21.1</v>
      </c>
      <c r="U15" s="49">
        <v>21.1</v>
      </c>
      <c r="V15" s="49">
        <v>21.1</v>
      </c>
      <c r="W15" s="49">
        <v>25</v>
      </c>
      <c r="X15" s="49">
        <v>25</v>
      </c>
      <c r="Y15" s="49">
        <v>21.9</v>
      </c>
      <c r="Z15" s="49">
        <v>22</v>
      </c>
      <c r="AA15" s="56">
        <v>24.3</v>
      </c>
      <c r="AB15" s="56">
        <v>24</v>
      </c>
      <c r="AC15" s="56">
        <v>24</v>
      </c>
      <c r="AD15" s="56">
        <v>25.1</v>
      </c>
      <c r="AE15" s="56">
        <v>25.1</v>
      </c>
      <c r="AF15" s="56">
        <v>25</v>
      </c>
      <c r="AG15" s="59">
        <v>25</v>
      </c>
      <c r="AH15" s="52">
        <f t="shared" si="2"/>
        <v>25.1</v>
      </c>
      <c r="AI15" s="53">
        <f t="shared" si="3"/>
        <v>19.2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6.2</v>
      </c>
      <c r="C16" s="56">
        <v>6.2</v>
      </c>
      <c r="D16" s="56">
        <v>6.2</v>
      </c>
      <c r="E16" s="56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6.2</v>
      </c>
      <c r="K16" s="56">
        <v>6.2</v>
      </c>
      <c r="L16" s="49">
        <v>6.2</v>
      </c>
      <c r="M16" s="49">
        <v>6.2</v>
      </c>
      <c r="N16" s="49">
        <v>6.2</v>
      </c>
      <c r="O16" s="49">
        <v>6.2</v>
      </c>
      <c r="P16" s="49">
        <v>6.2</v>
      </c>
      <c r="Q16" s="49">
        <v>6.2</v>
      </c>
      <c r="R16" s="49">
        <v>6.2</v>
      </c>
      <c r="S16" s="49">
        <v>6.2</v>
      </c>
      <c r="T16" s="49">
        <v>6.2</v>
      </c>
      <c r="U16" s="49">
        <v>6.2</v>
      </c>
      <c r="V16" s="49">
        <v>6.2</v>
      </c>
      <c r="W16" s="49">
        <v>6.2</v>
      </c>
      <c r="X16" s="49">
        <v>6.2</v>
      </c>
      <c r="Y16" s="49">
        <v>6.2</v>
      </c>
      <c r="Z16" s="49">
        <v>6.2</v>
      </c>
      <c r="AA16" s="49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6.2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22.1</v>
      </c>
      <c r="C17" s="56">
        <v>22.1</v>
      </c>
      <c r="D17" s="56">
        <v>22.1</v>
      </c>
      <c r="E17" s="56">
        <v>22.1</v>
      </c>
      <c r="F17" s="56">
        <v>22.1</v>
      </c>
      <c r="G17" s="56">
        <v>22.8</v>
      </c>
      <c r="H17" s="56">
        <v>23</v>
      </c>
      <c r="I17" s="56">
        <v>22.8</v>
      </c>
      <c r="J17" s="56">
        <v>22.8</v>
      </c>
      <c r="K17" s="56">
        <v>22.7</v>
      </c>
      <c r="L17" s="49">
        <v>22</v>
      </c>
      <c r="M17" s="49">
        <v>22</v>
      </c>
      <c r="N17" s="49">
        <v>22</v>
      </c>
      <c r="O17" s="49">
        <v>22</v>
      </c>
      <c r="P17" s="49">
        <v>22</v>
      </c>
      <c r="Q17" s="49">
        <v>22</v>
      </c>
      <c r="R17" s="49">
        <v>22.7</v>
      </c>
      <c r="S17" s="49">
        <v>22.5</v>
      </c>
      <c r="T17" s="49">
        <v>22.7</v>
      </c>
      <c r="U17" s="49">
        <v>22.7</v>
      </c>
      <c r="V17" s="49">
        <v>22.7</v>
      </c>
      <c r="W17" s="49">
        <v>23</v>
      </c>
      <c r="X17" s="49">
        <v>23</v>
      </c>
      <c r="Y17" s="49">
        <v>22.4</v>
      </c>
      <c r="Z17" s="49">
        <v>22.2</v>
      </c>
      <c r="AA17" s="49">
        <v>22.6</v>
      </c>
      <c r="AB17" s="49">
        <v>22.6</v>
      </c>
      <c r="AC17" s="49">
        <v>22.7</v>
      </c>
      <c r="AD17" s="49">
        <v>22.9</v>
      </c>
      <c r="AE17" s="49">
        <v>22.9</v>
      </c>
      <c r="AF17" s="49">
        <v>23.2</v>
      </c>
      <c r="AG17" s="59">
        <v>22.1</v>
      </c>
      <c r="AH17" s="52">
        <f t="shared" si="2"/>
        <v>23.2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11</v>
      </c>
      <c r="C19" s="56">
        <v>11</v>
      </c>
      <c r="D19" s="56">
        <v>9.8000000000000007</v>
      </c>
      <c r="E19" s="56">
        <v>9.8000000000000007</v>
      </c>
      <c r="F19" s="56">
        <v>9.5</v>
      </c>
      <c r="G19" s="56">
        <v>9.5</v>
      </c>
      <c r="H19" s="56">
        <v>9.1999999999999993</v>
      </c>
      <c r="I19" s="56">
        <v>9.1</v>
      </c>
      <c r="J19" s="56">
        <v>8.8000000000000007</v>
      </c>
      <c r="K19" s="56">
        <v>8.8000000000000007</v>
      </c>
      <c r="L19" s="49">
        <v>8.8000000000000007</v>
      </c>
      <c r="M19" s="49">
        <v>8.8000000000000007</v>
      </c>
      <c r="N19" s="49">
        <v>8.1</v>
      </c>
      <c r="O19" s="49">
        <v>8.1</v>
      </c>
      <c r="P19" s="49">
        <v>8.1</v>
      </c>
      <c r="Q19" s="49">
        <v>8.1</v>
      </c>
      <c r="R19" s="49">
        <v>7.2</v>
      </c>
      <c r="S19" s="49">
        <v>7.3</v>
      </c>
      <c r="T19" s="49">
        <v>8.3000000000000007</v>
      </c>
      <c r="U19" s="49">
        <v>8.3000000000000007</v>
      </c>
      <c r="V19" s="49">
        <v>8.3000000000000007</v>
      </c>
      <c r="W19" s="49">
        <v>9.1</v>
      </c>
      <c r="X19" s="49">
        <v>10</v>
      </c>
      <c r="Y19" s="49">
        <v>10.8</v>
      </c>
      <c r="Z19" s="49">
        <v>10.199999999999999</v>
      </c>
      <c r="AA19" s="49">
        <v>9.4</v>
      </c>
      <c r="AB19" s="49">
        <v>9.6</v>
      </c>
      <c r="AC19" s="49">
        <v>10</v>
      </c>
      <c r="AD19" s="49">
        <v>11.5</v>
      </c>
      <c r="AE19" s="49">
        <v>22.8</v>
      </c>
      <c r="AF19" s="49">
        <v>22.8</v>
      </c>
      <c r="AG19" s="59">
        <v>22</v>
      </c>
      <c r="AH19" s="52">
        <f t="shared" si="2"/>
        <v>22.8</v>
      </c>
      <c r="AI19" s="53">
        <f t="shared" si="3"/>
        <v>7.2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>
        <v>8.5</v>
      </c>
      <c r="C20" s="56">
        <v>8.5</v>
      </c>
      <c r="D20" s="56">
        <v>8.5</v>
      </c>
      <c r="E20" s="56">
        <v>8.5</v>
      </c>
      <c r="F20" s="56">
        <v>8.5</v>
      </c>
      <c r="G20" s="56">
        <v>8.5</v>
      </c>
      <c r="H20" s="56">
        <v>8.5</v>
      </c>
      <c r="I20" s="56">
        <v>8.5</v>
      </c>
      <c r="J20" s="56">
        <v>8.5</v>
      </c>
      <c r="K20" s="56">
        <v>8.5</v>
      </c>
      <c r="L20" s="49">
        <v>8.5</v>
      </c>
      <c r="M20" s="49">
        <v>8.5</v>
      </c>
      <c r="N20" s="49">
        <v>8.5</v>
      </c>
      <c r="O20" s="49">
        <v>8.5</v>
      </c>
      <c r="P20" s="49">
        <v>8.5</v>
      </c>
      <c r="Q20" s="49">
        <v>8.5</v>
      </c>
      <c r="R20" s="49">
        <v>8.5</v>
      </c>
      <c r="S20" s="49">
        <v>8.5</v>
      </c>
      <c r="T20" s="49">
        <v>8.5</v>
      </c>
      <c r="U20" s="49">
        <v>8.5</v>
      </c>
      <c r="V20" s="49">
        <v>8.5</v>
      </c>
      <c r="W20" s="49">
        <v>8.5</v>
      </c>
      <c r="X20" s="49">
        <v>8.5</v>
      </c>
      <c r="Y20" s="49">
        <v>8.5</v>
      </c>
      <c r="Z20" s="49">
        <v>8.5</v>
      </c>
      <c r="AA20" s="49">
        <v>8.5</v>
      </c>
      <c r="AB20" s="49">
        <v>8.5</v>
      </c>
      <c r="AC20" s="49">
        <v>8.5</v>
      </c>
      <c r="AD20" s="49">
        <v>8.5</v>
      </c>
      <c r="AE20" s="49">
        <v>8.5</v>
      </c>
      <c r="AF20" s="49">
        <v>8.5</v>
      </c>
      <c r="AG20" s="59">
        <v>22</v>
      </c>
      <c r="AH20" s="52">
        <f t="shared" si="2"/>
        <v>8.5</v>
      </c>
      <c r="AI20" s="53">
        <f t="shared" si="3"/>
        <v>8.5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0</v>
      </c>
      <c r="AF21" s="56">
        <v>0</v>
      </c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10</v>
      </c>
      <c r="C22" s="56">
        <v>10</v>
      </c>
      <c r="D22" s="56">
        <v>10</v>
      </c>
      <c r="E22" s="56">
        <v>10</v>
      </c>
      <c r="F22" s="56">
        <v>10</v>
      </c>
      <c r="G22" s="56">
        <v>10</v>
      </c>
      <c r="H22" s="56">
        <v>10</v>
      </c>
      <c r="I22" s="56">
        <v>10</v>
      </c>
      <c r="J22" s="56">
        <v>10</v>
      </c>
      <c r="K22" s="56">
        <v>10</v>
      </c>
      <c r="L22" s="56">
        <v>10</v>
      </c>
      <c r="M22" s="56">
        <v>10</v>
      </c>
      <c r="N22" s="56">
        <v>10</v>
      </c>
      <c r="O22" s="56">
        <v>10</v>
      </c>
      <c r="P22" s="56">
        <v>10</v>
      </c>
      <c r="Q22" s="56">
        <v>10</v>
      </c>
      <c r="R22" s="56">
        <v>10</v>
      </c>
      <c r="S22" s="56">
        <v>10</v>
      </c>
      <c r="T22" s="56">
        <v>10</v>
      </c>
      <c r="U22" s="56">
        <v>10</v>
      </c>
      <c r="V22" s="56">
        <v>10</v>
      </c>
      <c r="W22" s="56">
        <v>10</v>
      </c>
      <c r="X22" s="56">
        <v>10</v>
      </c>
      <c r="Y22" s="56">
        <v>10</v>
      </c>
      <c r="Z22" s="56">
        <v>10</v>
      </c>
      <c r="AA22" s="56">
        <v>10</v>
      </c>
      <c r="AB22" s="56">
        <v>10</v>
      </c>
      <c r="AC22" s="56">
        <v>10</v>
      </c>
      <c r="AD22" s="56">
        <v>10</v>
      </c>
      <c r="AE22" s="56">
        <v>10</v>
      </c>
      <c r="AF22" s="56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10.5</v>
      </c>
      <c r="C23" s="56">
        <v>10.5</v>
      </c>
      <c r="D23" s="56">
        <v>10.5</v>
      </c>
      <c r="E23" s="56">
        <v>10.5</v>
      </c>
      <c r="F23" s="56">
        <v>10.5</v>
      </c>
      <c r="G23" s="56">
        <v>10.5</v>
      </c>
      <c r="H23" s="56">
        <v>10.5</v>
      </c>
      <c r="I23" s="56">
        <v>10.5</v>
      </c>
      <c r="J23" s="56">
        <v>10.5</v>
      </c>
      <c r="K23" s="56">
        <v>10.5</v>
      </c>
      <c r="L23" s="56">
        <v>10.5</v>
      </c>
      <c r="M23" s="56">
        <v>10.5</v>
      </c>
      <c r="N23" s="56">
        <v>10.5</v>
      </c>
      <c r="O23" s="56">
        <v>10.5</v>
      </c>
      <c r="P23" s="56">
        <v>10.5</v>
      </c>
      <c r="Q23" s="56">
        <v>10.5</v>
      </c>
      <c r="R23" s="56">
        <v>10.5</v>
      </c>
      <c r="S23" s="56">
        <v>10.5</v>
      </c>
      <c r="T23" s="56">
        <v>10.5</v>
      </c>
      <c r="U23" s="56">
        <v>10.5</v>
      </c>
      <c r="V23" s="56">
        <v>10.5</v>
      </c>
      <c r="W23" s="56">
        <v>10.5</v>
      </c>
      <c r="X23" s="56">
        <v>10.5</v>
      </c>
      <c r="Y23" s="56">
        <v>10.5</v>
      </c>
      <c r="Z23" s="56">
        <v>10.5</v>
      </c>
      <c r="AA23" s="56">
        <v>10.5</v>
      </c>
      <c r="AB23" s="56">
        <v>10.5</v>
      </c>
      <c r="AC23" s="56">
        <v>10.5</v>
      </c>
      <c r="AD23" s="56">
        <v>10.5</v>
      </c>
      <c r="AE23" s="56">
        <v>10.5</v>
      </c>
      <c r="AF23" s="56">
        <v>10.5</v>
      </c>
      <c r="AG23" s="59">
        <v>13</v>
      </c>
      <c r="AH23" s="52">
        <f t="shared" si="2"/>
        <v>10.5</v>
      </c>
      <c r="AI23" s="53">
        <f t="shared" si="3"/>
        <v>10.5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4.4000000000000004</v>
      </c>
      <c r="C24" s="56">
        <v>4.4000000000000004</v>
      </c>
      <c r="D24" s="56">
        <v>4.4000000000000004</v>
      </c>
      <c r="E24" s="56">
        <v>4.4000000000000004</v>
      </c>
      <c r="F24" s="56">
        <v>4.4000000000000004</v>
      </c>
      <c r="G24" s="56">
        <v>4.4000000000000004</v>
      </c>
      <c r="H24" s="56">
        <v>4.4000000000000004</v>
      </c>
      <c r="I24" s="56">
        <v>4.4000000000000004</v>
      </c>
      <c r="J24" s="56">
        <v>4.4000000000000004</v>
      </c>
      <c r="K24" s="56">
        <v>4.4000000000000004</v>
      </c>
      <c r="L24" s="56">
        <v>4.4000000000000004</v>
      </c>
      <c r="M24" s="56">
        <v>4.4000000000000004</v>
      </c>
      <c r="N24" s="56">
        <v>4.4000000000000004</v>
      </c>
      <c r="O24" s="56">
        <v>4.4000000000000004</v>
      </c>
      <c r="P24" s="56">
        <v>4.4000000000000004</v>
      </c>
      <c r="Q24" s="56">
        <v>4.4000000000000004</v>
      </c>
      <c r="R24" s="56">
        <v>4.4000000000000004</v>
      </c>
      <c r="S24" s="56">
        <v>4.4000000000000004</v>
      </c>
      <c r="T24" s="56">
        <v>4.4000000000000004</v>
      </c>
      <c r="U24" s="56">
        <v>4.4000000000000004</v>
      </c>
      <c r="V24" s="56">
        <v>4.4000000000000004</v>
      </c>
      <c r="W24" s="56">
        <v>4.4000000000000004</v>
      </c>
      <c r="X24" s="56">
        <v>4.4000000000000004</v>
      </c>
      <c r="Y24" s="56">
        <v>4.4000000000000004</v>
      </c>
      <c r="Z24" s="56">
        <v>4.4000000000000004</v>
      </c>
      <c r="AA24" s="56">
        <v>4.4000000000000004</v>
      </c>
      <c r="AB24" s="56">
        <v>4.4000000000000004</v>
      </c>
      <c r="AC24" s="56">
        <v>4.4000000000000004</v>
      </c>
      <c r="AD24" s="56">
        <v>4.4000000000000004</v>
      </c>
      <c r="AE24" s="56">
        <v>4.4000000000000004</v>
      </c>
      <c r="AF24" s="56">
        <v>4.4000000000000004</v>
      </c>
      <c r="AG24" s="59">
        <v>12</v>
      </c>
      <c r="AH24" s="52">
        <f t="shared" si="2"/>
        <v>4.4000000000000004</v>
      </c>
      <c r="AI24" s="53">
        <f t="shared" si="3"/>
        <v>4.4000000000000004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56">
        <v>2.2000000000000002</v>
      </c>
      <c r="AC25" s="56">
        <v>2.2000000000000002</v>
      </c>
      <c r="AD25" s="56">
        <v>2.2000000000000002</v>
      </c>
      <c r="AE25" s="56">
        <v>2.2000000000000002</v>
      </c>
      <c r="AF25" s="56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10</v>
      </c>
      <c r="AA26" s="56">
        <v>10</v>
      </c>
      <c r="AB26" s="56">
        <v>10</v>
      </c>
      <c r="AC26" s="56">
        <v>10</v>
      </c>
      <c r="AD26" s="56">
        <v>10</v>
      </c>
      <c r="AE26" s="56">
        <v>10</v>
      </c>
      <c r="AF26" s="56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6</v>
      </c>
      <c r="C27" s="56">
        <v>6</v>
      </c>
      <c r="D27" s="56">
        <v>6</v>
      </c>
      <c r="E27" s="56">
        <v>6</v>
      </c>
      <c r="F27" s="56">
        <v>6</v>
      </c>
      <c r="G27" s="56">
        <v>6</v>
      </c>
      <c r="H27" s="56">
        <v>6</v>
      </c>
      <c r="I27" s="56">
        <v>6</v>
      </c>
      <c r="J27" s="56">
        <v>6</v>
      </c>
      <c r="K27" s="56">
        <v>6</v>
      </c>
      <c r="L27" s="56">
        <v>6</v>
      </c>
      <c r="M27" s="56">
        <v>6</v>
      </c>
      <c r="N27" s="56">
        <v>6</v>
      </c>
      <c r="O27" s="56">
        <v>6</v>
      </c>
      <c r="P27" s="56">
        <v>6</v>
      </c>
      <c r="Q27" s="56">
        <v>6</v>
      </c>
      <c r="R27" s="56">
        <v>6</v>
      </c>
      <c r="S27" s="56">
        <v>6</v>
      </c>
      <c r="T27" s="56">
        <v>6</v>
      </c>
      <c r="U27" s="56">
        <v>6</v>
      </c>
      <c r="V27" s="56">
        <v>6</v>
      </c>
      <c r="W27" s="56">
        <v>6</v>
      </c>
      <c r="X27" s="56">
        <v>6</v>
      </c>
      <c r="Y27" s="56">
        <v>6</v>
      </c>
      <c r="Z27" s="56">
        <v>4</v>
      </c>
      <c r="AA27" s="56">
        <v>4</v>
      </c>
      <c r="AB27" s="56">
        <v>4</v>
      </c>
      <c r="AC27" s="56">
        <v>4</v>
      </c>
      <c r="AD27" s="56">
        <v>4</v>
      </c>
      <c r="AE27" s="56">
        <v>4</v>
      </c>
      <c r="AF27" s="56">
        <v>4</v>
      </c>
      <c r="AG27" s="59">
        <v>10</v>
      </c>
      <c r="AH27" s="52">
        <f t="shared" si="2"/>
        <v>6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160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160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>
        <v>89.1</v>
      </c>
      <c r="C29" s="56">
        <v>65</v>
      </c>
      <c r="D29" s="56">
        <v>65</v>
      </c>
      <c r="E29" s="56">
        <v>65</v>
      </c>
      <c r="F29" s="56">
        <v>80</v>
      </c>
      <c r="G29" s="56">
        <v>64.099999999999994</v>
      </c>
      <c r="H29" s="56">
        <v>64.2</v>
      </c>
      <c r="I29" s="56">
        <v>64</v>
      </c>
      <c r="J29" s="56">
        <v>71.8</v>
      </c>
      <c r="K29" s="56">
        <v>71.099999999999994</v>
      </c>
      <c r="L29" s="67">
        <v>87.8</v>
      </c>
      <c r="M29" s="67">
        <v>87.5</v>
      </c>
      <c r="N29" s="67">
        <v>88.2</v>
      </c>
      <c r="O29" s="67">
        <v>89.2</v>
      </c>
      <c r="P29" s="67">
        <v>90</v>
      </c>
      <c r="Q29" s="67">
        <v>88.9</v>
      </c>
      <c r="R29" s="67">
        <v>89.3</v>
      </c>
      <c r="S29" s="67">
        <v>87.1</v>
      </c>
      <c r="T29" s="67">
        <v>83</v>
      </c>
      <c r="U29" s="67">
        <v>76.599999999999994</v>
      </c>
      <c r="V29" s="67">
        <v>81</v>
      </c>
      <c r="W29" s="67">
        <v>96.7</v>
      </c>
      <c r="X29" s="67">
        <v>97.6</v>
      </c>
      <c r="Y29" s="67">
        <v>96.7</v>
      </c>
      <c r="Z29" s="67">
        <v>93.2</v>
      </c>
      <c r="AA29" s="67">
        <v>93.7</v>
      </c>
      <c r="AB29" s="67">
        <v>93.6</v>
      </c>
      <c r="AC29" s="67">
        <v>93.3</v>
      </c>
      <c r="AD29" s="67">
        <v>91.9</v>
      </c>
      <c r="AE29" s="56">
        <v>93.4</v>
      </c>
      <c r="AF29" s="56">
        <v>97.2</v>
      </c>
      <c r="AG29" s="59">
        <v>240</v>
      </c>
      <c r="AH29" s="52">
        <f t="shared" si="2"/>
        <v>97.6</v>
      </c>
      <c r="AI29" s="53">
        <f t="shared" si="3"/>
        <v>64</v>
      </c>
      <c r="AK29" s="54"/>
    </row>
    <row r="30" spans="1:88" ht="15.75" thickBot="1" x14ac:dyDescent="0.3">
      <c r="A30" s="68" t="s">
        <v>37</v>
      </c>
      <c r="B30" s="69">
        <f>SUM(B11:B28)</f>
        <v>415.79999999999995</v>
      </c>
      <c r="C30" s="69">
        <f t="shared" ref="C30:AF30" si="4">SUM(C11:C28)</f>
        <v>398.79999999999995</v>
      </c>
      <c r="D30" s="69">
        <f t="shared" si="4"/>
        <v>395</v>
      </c>
      <c r="E30" s="69">
        <f t="shared" si="4"/>
        <v>395.5</v>
      </c>
      <c r="F30" s="69">
        <f t="shared" si="4"/>
        <v>406.6</v>
      </c>
      <c r="G30" s="69">
        <f t="shared" si="4"/>
        <v>397.4</v>
      </c>
      <c r="H30" s="69">
        <f t="shared" si="4"/>
        <v>397.4</v>
      </c>
      <c r="I30" s="69">
        <f t="shared" si="4"/>
        <v>352.4</v>
      </c>
      <c r="J30" s="69">
        <f t="shared" si="4"/>
        <v>362.5</v>
      </c>
      <c r="K30" s="69">
        <f t="shared" si="4"/>
        <v>362</v>
      </c>
      <c r="L30" s="69">
        <f t="shared" si="4"/>
        <v>361.3</v>
      </c>
      <c r="M30" s="69">
        <f t="shared" si="4"/>
        <v>361.9</v>
      </c>
      <c r="N30" s="69">
        <f t="shared" si="4"/>
        <v>361.8</v>
      </c>
      <c r="O30" s="69">
        <f t="shared" si="4"/>
        <v>402.5</v>
      </c>
      <c r="P30" s="69">
        <f t="shared" si="4"/>
        <v>402.19999999999993</v>
      </c>
      <c r="Q30" s="69">
        <f t="shared" si="4"/>
        <v>400.59999999999997</v>
      </c>
      <c r="R30" s="69">
        <f t="shared" si="4"/>
        <v>396.79999999999995</v>
      </c>
      <c r="S30" s="69">
        <f t="shared" si="4"/>
        <v>400.29999999999995</v>
      </c>
      <c r="T30" s="69">
        <f t="shared" si="4"/>
        <v>403.6</v>
      </c>
      <c r="U30" s="69">
        <f t="shared" si="4"/>
        <v>403.6</v>
      </c>
      <c r="V30" s="69">
        <f>SUM(V11:V28)</f>
        <v>403.6</v>
      </c>
      <c r="W30" s="69">
        <f t="shared" si="4"/>
        <v>414.1</v>
      </c>
      <c r="X30" s="69">
        <f t="shared" si="4"/>
        <v>418.6</v>
      </c>
      <c r="Y30" s="69">
        <f t="shared" si="4"/>
        <v>419.9</v>
      </c>
      <c r="Z30" s="69">
        <f t="shared" si="4"/>
        <v>433.49999999999994</v>
      </c>
      <c r="AA30" s="69">
        <f t="shared" si="4"/>
        <v>414.7</v>
      </c>
      <c r="AB30" s="69">
        <f t="shared" si="4"/>
        <v>414.79999999999995</v>
      </c>
      <c r="AC30" s="69">
        <f t="shared" si="4"/>
        <v>414.29999999999995</v>
      </c>
      <c r="AD30" s="69">
        <f t="shared" si="4"/>
        <v>416.29999999999995</v>
      </c>
      <c r="AE30" s="69">
        <f t="shared" si="4"/>
        <v>428.29999999999995</v>
      </c>
      <c r="AF30" s="69">
        <f t="shared" si="4"/>
        <v>426.59999999999997</v>
      </c>
      <c r="AG30" s="59">
        <f>SUM(AG11:AG29)</f>
        <v>729.2</v>
      </c>
      <c r="AH30" s="52">
        <f t="shared" si="2"/>
        <v>433.49999999999994</v>
      </c>
      <c r="AI30" s="53">
        <f t="shared" si="3"/>
        <v>352.4</v>
      </c>
      <c r="AK30" s="54"/>
    </row>
    <row r="31" spans="1:88" x14ac:dyDescent="0.25">
      <c r="A31" s="55" t="s">
        <v>38</v>
      </c>
      <c r="B31" s="56">
        <v>97</v>
      </c>
      <c r="C31" s="56">
        <v>97</v>
      </c>
      <c r="D31" s="56">
        <v>96.9</v>
      </c>
      <c r="E31" s="56">
        <v>96.6</v>
      </c>
      <c r="F31" s="56">
        <v>96.9</v>
      </c>
      <c r="G31" s="56">
        <v>96.9</v>
      </c>
      <c r="H31" s="56">
        <v>96.9</v>
      </c>
      <c r="I31" s="56">
        <v>96.9</v>
      </c>
      <c r="J31" s="56">
        <v>96.8</v>
      </c>
      <c r="K31" s="56">
        <v>96.9</v>
      </c>
      <c r="L31" s="49">
        <v>97</v>
      </c>
      <c r="M31" s="49">
        <v>97</v>
      </c>
      <c r="N31" s="49">
        <v>96.8</v>
      </c>
      <c r="O31" s="49">
        <v>96.8</v>
      </c>
      <c r="P31" s="49">
        <v>97.3</v>
      </c>
      <c r="Q31" s="49">
        <v>97.2</v>
      </c>
      <c r="R31" s="49">
        <v>97</v>
      </c>
      <c r="S31" s="49">
        <v>0</v>
      </c>
      <c r="T31" s="49">
        <v>0</v>
      </c>
      <c r="U31" s="49">
        <v>96.9</v>
      </c>
      <c r="V31" s="49">
        <v>96.9</v>
      </c>
      <c r="W31" s="49">
        <v>96.9</v>
      </c>
      <c r="X31" s="49">
        <v>96.9</v>
      </c>
      <c r="Y31" s="49">
        <v>96.9</v>
      </c>
      <c r="Z31" s="49">
        <v>96.9</v>
      </c>
      <c r="AA31" s="48">
        <v>96.9</v>
      </c>
      <c r="AB31" s="48">
        <v>96.9</v>
      </c>
      <c r="AC31" s="48">
        <v>96.6</v>
      </c>
      <c r="AD31" s="48">
        <v>96.8</v>
      </c>
      <c r="AE31" s="48">
        <v>96.4</v>
      </c>
      <c r="AF31" s="48">
        <v>133.1</v>
      </c>
      <c r="AG31" s="57">
        <v>144</v>
      </c>
      <c r="AH31" s="52">
        <f t="shared" si="2"/>
        <v>133.1</v>
      </c>
      <c r="AI31" s="53">
        <f t="shared" si="3"/>
        <v>0</v>
      </c>
      <c r="AK31" s="54"/>
    </row>
    <row r="32" spans="1:88" x14ac:dyDescent="0.25">
      <c r="A32" s="58" t="s">
        <v>39</v>
      </c>
      <c r="B32" s="56">
        <v>70</v>
      </c>
      <c r="C32" s="56">
        <v>70</v>
      </c>
      <c r="D32" s="56">
        <v>71</v>
      </c>
      <c r="E32" s="56">
        <v>70.099999999999994</v>
      </c>
      <c r="F32" s="56">
        <v>70.900000000000006</v>
      </c>
      <c r="G32" s="56">
        <v>70.3</v>
      </c>
      <c r="H32" s="56">
        <v>70.5</v>
      </c>
      <c r="I32" s="56">
        <v>71.2</v>
      </c>
      <c r="J32" s="56">
        <v>70.7</v>
      </c>
      <c r="K32" s="56">
        <v>70.2</v>
      </c>
      <c r="L32" s="70">
        <v>70</v>
      </c>
      <c r="M32" s="70">
        <v>70</v>
      </c>
      <c r="N32" s="70">
        <v>70.8</v>
      </c>
      <c r="O32" s="70">
        <v>70.8</v>
      </c>
      <c r="P32" s="70">
        <v>71.5</v>
      </c>
      <c r="Q32" s="70">
        <v>70</v>
      </c>
      <c r="R32" s="70">
        <v>69</v>
      </c>
      <c r="S32" s="70">
        <v>69</v>
      </c>
      <c r="T32" s="70">
        <v>69</v>
      </c>
      <c r="U32" s="70">
        <v>69</v>
      </c>
      <c r="V32" s="70">
        <v>69</v>
      </c>
      <c r="W32" s="70">
        <v>55.5</v>
      </c>
      <c r="X32" s="70">
        <v>69.599999999999994</v>
      </c>
      <c r="Y32" s="70">
        <v>69.599999999999994</v>
      </c>
      <c r="Z32" s="70">
        <v>70.099999999999994</v>
      </c>
      <c r="AA32" s="56">
        <v>69.5</v>
      </c>
      <c r="AB32" s="56">
        <v>69.5</v>
      </c>
      <c r="AC32" s="56">
        <v>69.599999999999994</v>
      </c>
      <c r="AD32" s="56">
        <v>70.7</v>
      </c>
      <c r="AE32" s="56">
        <v>71.400000000000006</v>
      </c>
      <c r="AF32" s="56">
        <v>70.2</v>
      </c>
      <c r="AG32" s="59">
        <v>70</v>
      </c>
      <c r="AH32" s="52">
        <f t="shared" si="2"/>
        <v>71.5</v>
      </c>
      <c r="AI32" s="53">
        <f t="shared" si="3"/>
        <v>55.5</v>
      </c>
      <c r="AK32" s="54"/>
    </row>
    <row r="33" spans="1:41" x14ac:dyDescent="0.25">
      <c r="A33" s="58" t="s">
        <v>40</v>
      </c>
      <c r="B33" s="56">
        <v>62</v>
      </c>
      <c r="C33" s="56">
        <v>62.6</v>
      </c>
      <c r="D33" s="56">
        <v>62.9</v>
      </c>
      <c r="E33" s="56">
        <v>62.5</v>
      </c>
      <c r="F33" s="56">
        <v>62.8</v>
      </c>
      <c r="G33" s="56">
        <v>63.1</v>
      </c>
      <c r="H33" s="56">
        <v>62.7</v>
      </c>
      <c r="I33" s="56">
        <v>62.7</v>
      </c>
      <c r="J33" s="56">
        <v>62.9</v>
      </c>
      <c r="K33" s="56">
        <v>62.7</v>
      </c>
      <c r="L33" s="70">
        <v>63</v>
      </c>
      <c r="M33" s="70">
        <v>63.5</v>
      </c>
      <c r="N33" s="70">
        <v>62.9</v>
      </c>
      <c r="O33" s="70">
        <v>62.9</v>
      </c>
      <c r="P33" s="70">
        <v>63.2</v>
      </c>
      <c r="Q33" s="70">
        <v>62.6</v>
      </c>
      <c r="R33" s="70">
        <v>62.6</v>
      </c>
      <c r="S33" s="70">
        <v>62.6</v>
      </c>
      <c r="T33" s="70">
        <v>62.6</v>
      </c>
      <c r="U33" s="70">
        <v>62.6</v>
      </c>
      <c r="V33" s="70">
        <v>62.6</v>
      </c>
      <c r="W33" s="70">
        <v>56.7</v>
      </c>
      <c r="X33" s="70">
        <v>46.8</v>
      </c>
      <c r="Y33" s="70">
        <v>46.8</v>
      </c>
      <c r="Z33" s="70">
        <v>63</v>
      </c>
      <c r="AA33" s="56">
        <v>62.5</v>
      </c>
      <c r="AB33" s="56">
        <v>63.7</v>
      </c>
      <c r="AC33" s="56">
        <v>62.5</v>
      </c>
      <c r="AD33" s="56">
        <v>42.8</v>
      </c>
      <c r="AE33" s="56">
        <v>62</v>
      </c>
      <c r="AF33" s="56">
        <v>62.1</v>
      </c>
      <c r="AG33" s="59">
        <v>69</v>
      </c>
      <c r="AH33" s="52">
        <f t="shared" si="2"/>
        <v>63.7</v>
      </c>
      <c r="AI33" s="53">
        <f t="shared" si="3"/>
        <v>42.8</v>
      </c>
      <c r="AK33" s="54"/>
    </row>
    <row r="34" spans="1:41" x14ac:dyDescent="0.25">
      <c r="A34" s="58" t="s">
        <v>41</v>
      </c>
      <c r="B34" s="56">
        <v>28.7</v>
      </c>
      <c r="C34" s="56">
        <v>28.7</v>
      </c>
      <c r="D34" s="56">
        <v>28.7</v>
      </c>
      <c r="E34" s="56">
        <v>28.7</v>
      </c>
      <c r="F34" s="56">
        <v>28.5</v>
      </c>
      <c r="G34" s="56">
        <v>28.2</v>
      </c>
      <c r="H34" s="56">
        <v>28.2</v>
      </c>
      <c r="I34" s="56">
        <v>28.2</v>
      </c>
      <c r="J34" s="56">
        <v>28.2</v>
      </c>
      <c r="K34" s="56">
        <v>28.5</v>
      </c>
      <c r="L34" s="70">
        <v>28.6</v>
      </c>
      <c r="M34" s="70">
        <v>28.8</v>
      </c>
      <c r="N34" s="70">
        <v>28.9</v>
      </c>
      <c r="O34" s="70">
        <v>28.9</v>
      </c>
      <c r="P34" s="70">
        <v>28.5</v>
      </c>
      <c r="Q34" s="70">
        <v>28.6</v>
      </c>
      <c r="R34" s="70">
        <v>28.6</v>
      </c>
      <c r="S34" s="70">
        <v>28.6</v>
      </c>
      <c r="T34" s="70">
        <v>28.6</v>
      </c>
      <c r="U34" s="70">
        <v>28.6</v>
      </c>
      <c r="V34" s="70">
        <v>28.6</v>
      </c>
      <c r="W34" s="70">
        <v>28.2</v>
      </c>
      <c r="X34" s="70">
        <v>28.5</v>
      </c>
      <c r="Y34" s="70">
        <v>28.5</v>
      </c>
      <c r="Z34" s="70">
        <v>28.7</v>
      </c>
      <c r="AA34" s="56">
        <v>28.5</v>
      </c>
      <c r="AB34" s="56">
        <v>28.5</v>
      </c>
      <c r="AC34" s="56">
        <v>28.5</v>
      </c>
      <c r="AD34" s="56">
        <v>28.5</v>
      </c>
      <c r="AE34" s="56">
        <v>28.7</v>
      </c>
      <c r="AF34" s="56">
        <v>28.7</v>
      </c>
      <c r="AG34" s="59">
        <v>60</v>
      </c>
      <c r="AH34" s="52">
        <f t="shared" si="2"/>
        <v>28.9</v>
      </c>
      <c r="AI34" s="53">
        <f t="shared" si="3"/>
        <v>28.2</v>
      </c>
      <c r="AK34" s="54"/>
    </row>
    <row r="35" spans="1:41" x14ac:dyDescent="0.25">
      <c r="A35" s="58" t="s">
        <v>42</v>
      </c>
      <c r="B35" s="56">
        <v>29.5</v>
      </c>
      <c r="C35" s="56">
        <v>29.5</v>
      </c>
      <c r="D35" s="56">
        <v>29.9</v>
      </c>
      <c r="E35" s="56">
        <v>29.9</v>
      </c>
      <c r="F35" s="56">
        <v>29.6</v>
      </c>
      <c r="G35" s="56">
        <v>29.8</v>
      </c>
      <c r="H35" s="56">
        <v>29.9</v>
      </c>
      <c r="I35" s="56">
        <v>25.2</v>
      </c>
      <c r="J35" s="56">
        <v>22</v>
      </c>
      <c r="K35" s="56">
        <v>23.4</v>
      </c>
      <c r="L35" s="49">
        <v>23.2</v>
      </c>
      <c r="M35" s="49">
        <v>23.2</v>
      </c>
      <c r="N35" s="49">
        <v>23.5</v>
      </c>
      <c r="O35" s="49">
        <v>23.5</v>
      </c>
      <c r="P35" s="49">
        <v>15.4</v>
      </c>
      <c r="Q35" s="49">
        <v>20.2</v>
      </c>
      <c r="R35" s="49">
        <v>20.2</v>
      </c>
      <c r="S35" s="49">
        <v>20.2</v>
      </c>
      <c r="T35" s="49">
        <v>29</v>
      </c>
      <c r="U35" s="49">
        <v>29</v>
      </c>
      <c r="V35" s="49">
        <v>29</v>
      </c>
      <c r="W35" s="70">
        <v>10</v>
      </c>
      <c r="X35" s="70">
        <v>10.4</v>
      </c>
      <c r="Y35" s="70">
        <v>10.4</v>
      </c>
      <c r="Z35" s="70">
        <v>10</v>
      </c>
      <c r="AA35" s="56">
        <v>24.8</v>
      </c>
      <c r="AB35" s="56">
        <v>24.6</v>
      </c>
      <c r="AC35" s="56">
        <v>24.9</v>
      </c>
      <c r="AD35" s="56">
        <v>24.9</v>
      </c>
      <c r="AE35" s="56">
        <v>25.1</v>
      </c>
      <c r="AF35" s="56">
        <v>29.1</v>
      </c>
      <c r="AG35" s="59">
        <v>30</v>
      </c>
      <c r="AH35" s="52">
        <f t="shared" si="2"/>
        <v>29.9</v>
      </c>
      <c r="AI35" s="53">
        <f t="shared" si="3"/>
        <v>10</v>
      </c>
      <c r="AK35" s="54"/>
    </row>
    <row r="36" spans="1:41" x14ac:dyDescent="0.25">
      <c r="A36" s="58" t="s">
        <v>43</v>
      </c>
      <c r="B36" s="71">
        <v>16.8</v>
      </c>
      <c r="C36" s="71">
        <v>16.8</v>
      </c>
      <c r="D36" s="71">
        <v>16.899999999999999</v>
      </c>
      <c r="E36" s="71">
        <v>16.8</v>
      </c>
      <c r="F36" s="71">
        <v>16.8</v>
      </c>
      <c r="G36" s="71">
        <v>16.8</v>
      </c>
      <c r="H36" s="71">
        <v>16.8</v>
      </c>
      <c r="I36" s="71">
        <v>16.899999999999999</v>
      </c>
      <c r="J36" s="71">
        <v>16.899999999999999</v>
      </c>
      <c r="K36" s="71">
        <v>16.8</v>
      </c>
      <c r="L36" s="71">
        <v>16.8</v>
      </c>
      <c r="M36" s="49">
        <v>16.8</v>
      </c>
      <c r="N36" s="49">
        <v>16.5</v>
      </c>
      <c r="O36" s="49">
        <v>16.5</v>
      </c>
      <c r="P36" s="49">
        <v>16.899999999999999</v>
      </c>
      <c r="Q36" s="49">
        <v>16.899999999999999</v>
      </c>
      <c r="R36" s="49">
        <v>16.899999999999999</v>
      </c>
      <c r="S36" s="49">
        <v>16.899999999999999</v>
      </c>
      <c r="T36" s="49">
        <v>16.899999999999999</v>
      </c>
      <c r="U36" s="49">
        <v>16.899999999999999</v>
      </c>
      <c r="V36" s="49">
        <v>16.899999999999999</v>
      </c>
      <c r="W36" s="49">
        <v>16.899999999999999</v>
      </c>
      <c r="X36" s="49">
        <v>16.8</v>
      </c>
      <c r="Y36" s="49">
        <v>16.8</v>
      </c>
      <c r="Z36" s="49">
        <v>16.8</v>
      </c>
      <c r="AA36" s="56">
        <v>16.8</v>
      </c>
      <c r="AB36" s="56">
        <v>16.8</v>
      </c>
      <c r="AC36" s="56">
        <v>16.8</v>
      </c>
      <c r="AD36" s="56">
        <v>16.8</v>
      </c>
      <c r="AE36" s="56">
        <v>16.8</v>
      </c>
      <c r="AF36" s="56">
        <v>10</v>
      </c>
      <c r="AG36" s="59">
        <v>24</v>
      </c>
      <c r="AH36" s="52">
        <f t="shared" si="2"/>
        <v>16.899999999999999</v>
      </c>
      <c r="AI36" s="53">
        <f t="shared" si="3"/>
        <v>10</v>
      </c>
      <c r="AK36" s="54"/>
    </row>
    <row r="37" spans="1:41" x14ac:dyDescent="0.25">
      <c r="A37" s="58" t="s">
        <v>44</v>
      </c>
      <c r="B37" s="56">
        <v>2.1</v>
      </c>
      <c r="C37" s="56">
        <v>2.1</v>
      </c>
      <c r="D37" s="56">
        <v>2.1</v>
      </c>
      <c r="E37" s="56">
        <v>2.1</v>
      </c>
      <c r="F37" s="56">
        <v>2.1</v>
      </c>
      <c r="G37" s="56">
        <v>2.1</v>
      </c>
      <c r="H37" s="56">
        <v>2.1</v>
      </c>
      <c r="I37" s="56">
        <v>2.1</v>
      </c>
      <c r="J37" s="56">
        <v>2.1</v>
      </c>
      <c r="K37" s="56">
        <v>2.1</v>
      </c>
      <c r="L37" s="56">
        <v>2.1</v>
      </c>
      <c r="M37" s="49">
        <v>2.1</v>
      </c>
      <c r="N37" s="49">
        <v>2.1</v>
      </c>
      <c r="O37" s="49">
        <v>2.1</v>
      </c>
      <c r="P37" s="49">
        <v>2.1</v>
      </c>
      <c r="Q37" s="49">
        <v>2.2000000000000002</v>
      </c>
      <c r="R37" s="49">
        <v>2.2000000000000002</v>
      </c>
      <c r="S37" s="49">
        <v>2.2000000000000002</v>
      </c>
      <c r="T37" s="49">
        <v>2.2000000000000002</v>
      </c>
      <c r="U37" s="49">
        <v>2.2000000000000002</v>
      </c>
      <c r="V37" s="49">
        <v>2.2000000000000002</v>
      </c>
      <c r="W37" s="49">
        <v>2.2000000000000002</v>
      </c>
      <c r="X37" s="49">
        <v>2.2000000000000002</v>
      </c>
      <c r="Y37" s="49">
        <v>2.2000000000000002</v>
      </c>
      <c r="Z37" s="49">
        <v>2.1</v>
      </c>
      <c r="AA37" s="56">
        <v>2.1</v>
      </c>
      <c r="AB37" s="56">
        <v>2.1</v>
      </c>
      <c r="AC37" s="56">
        <v>2.1</v>
      </c>
      <c r="AD37" s="56">
        <v>2.1</v>
      </c>
      <c r="AE37" s="56">
        <v>2.1</v>
      </c>
      <c r="AF37" s="56">
        <v>2.1</v>
      </c>
      <c r="AG37" s="59">
        <v>15</v>
      </c>
      <c r="AH37" s="52">
        <f t="shared" si="2"/>
        <v>2.2000000000000002</v>
      </c>
      <c r="AI37" s="53">
        <f t="shared" si="3"/>
        <v>2.1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56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12</v>
      </c>
      <c r="C39" s="71">
        <v>12</v>
      </c>
      <c r="D39" s="71">
        <v>9</v>
      </c>
      <c r="E39" s="71">
        <v>9</v>
      </c>
      <c r="F39" s="71">
        <v>9</v>
      </c>
      <c r="G39" s="71">
        <v>9</v>
      </c>
      <c r="H39" s="71">
        <v>9</v>
      </c>
      <c r="I39" s="71">
        <v>9</v>
      </c>
      <c r="J39" s="71">
        <v>9</v>
      </c>
      <c r="K39" s="71">
        <v>9</v>
      </c>
      <c r="L39" s="71">
        <v>9</v>
      </c>
      <c r="M39" s="49">
        <v>9</v>
      </c>
      <c r="N39" s="49">
        <v>9</v>
      </c>
      <c r="O39" s="49">
        <v>9</v>
      </c>
      <c r="P39" s="49">
        <v>9</v>
      </c>
      <c r="Q39" s="49">
        <v>9</v>
      </c>
      <c r="R39" s="49">
        <v>9</v>
      </c>
      <c r="S39" s="49">
        <v>9</v>
      </c>
      <c r="T39" s="49">
        <v>9</v>
      </c>
      <c r="U39" s="49">
        <v>9</v>
      </c>
      <c r="V39" s="49">
        <v>9</v>
      </c>
      <c r="W39" s="49">
        <v>9</v>
      </c>
      <c r="X39" s="49">
        <v>9</v>
      </c>
      <c r="Y39" s="49">
        <v>9</v>
      </c>
      <c r="Z39" s="49">
        <v>12</v>
      </c>
      <c r="AA39" s="56">
        <v>12</v>
      </c>
      <c r="AB39" s="56">
        <v>7</v>
      </c>
      <c r="AC39" s="56">
        <v>7</v>
      </c>
      <c r="AD39" s="56">
        <v>7</v>
      </c>
      <c r="AE39" s="56">
        <v>7</v>
      </c>
      <c r="AF39" s="56">
        <v>7</v>
      </c>
      <c r="AG39" s="59">
        <v>14</v>
      </c>
      <c r="AH39" s="52">
        <f t="shared" si="2"/>
        <v>12</v>
      </c>
      <c r="AI39" s="53">
        <f t="shared" si="3"/>
        <v>7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9.5</v>
      </c>
      <c r="C40" s="56">
        <v>9.5</v>
      </c>
      <c r="D40" s="56">
        <v>9.4</v>
      </c>
      <c r="E40" s="56">
        <v>9.4</v>
      </c>
      <c r="F40" s="56">
        <v>9.4</v>
      </c>
      <c r="G40" s="56">
        <v>9.4</v>
      </c>
      <c r="H40" s="56">
        <v>9.3000000000000007</v>
      </c>
      <c r="I40" s="56">
        <v>9.1</v>
      </c>
      <c r="J40" s="56">
        <v>9.4</v>
      </c>
      <c r="K40" s="56">
        <v>9.3000000000000007</v>
      </c>
      <c r="L40" s="56">
        <v>9.3000000000000007</v>
      </c>
      <c r="M40" s="49">
        <v>9.3000000000000007</v>
      </c>
      <c r="N40" s="49">
        <v>9.3000000000000007</v>
      </c>
      <c r="O40" s="49">
        <v>9.3000000000000007</v>
      </c>
      <c r="P40" s="49">
        <v>9.3000000000000007</v>
      </c>
      <c r="Q40" s="49">
        <v>9.3000000000000007</v>
      </c>
      <c r="R40" s="49">
        <v>9.3000000000000007</v>
      </c>
      <c r="S40" s="49">
        <v>9.3000000000000007</v>
      </c>
      <c r="T40" s="49">
        <v>9.3000000000000007</v>
      </c>
      <c r="U40" s="49">
        <v>9.3000000000000007</v>
      </c>
      <c r="V40" s="49">
        <v>9.3000000000000007</v>
      </c>
      <c r="W40" s="49">
        <v>9.3000000000000007</v>
      </c>
      <c r="X40" s="49">
        <v>9.3000000000000007</v>
      </c>
      <c r="Y40" s="49">
        <v>9.3000000000000007</v>
      </c>
      <c r="Z40" s="49">
        <v>8.8000000000000007</v>
      </c>
      <c r="AA40" s="56">
        <v>8.6999999999999993</v>
      </c>
      <c r="AB40" s="56">
        <v>8.3000000000000007</v>
      </c>
      <c r="AC40" s="56">
        <v>8.4</v>
      </c>
      <c r="AD40" s="56">
        <v>8.6999999999999993</v>
      </c>
      <c r="AE40" s="56">
        <v>8.6</v>
      </c>
      <c r="AF40" s="56">
        <v>8.6</v>
      </c>
      <c r="AG40" s="59">
        <v>10.050000000000001</v>
      </c>
      <c r="AH40" s="52">
        <f t="shared" si="2"/>
        <v>9.5</v>
      </c>
      <c r="AI40" s="53">
        <f t="shared" si="3"/>
        <v>8.3000000000000007</v>
      </c>
      <c r="AK40" s="54"/>
    </row>
    <row r="41" spans="1:41" x14ac:dyDescent="0.2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56">
        <v>5</v>
      </c>
      <c r="M41" s="49">
        <v>5</v>
      </c>
      <c r="N41" s="49">
        <v>5</v>
      </c>
      <c r="O41" s="49">
        <v>5</v>
      </c>
      <c r="P41" s="49">
        <v>5</v>
      </c>
      <c r="Q41" s="49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56">
        <v>5</v>
      </c>
      <c r="AB41" s="56">
        <v>5</v>
      </c>
      <c r="AC41" s="56">
        <v>5</v>
      </c>
      <c r="AD41" s="56">
        <v>5</v>
      </c>
      <c r="AE41" s="56">
        <v>5</v>
      </c>
      <c r="AF41" s="56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346.14000000000004</v>
      </c>
      <c r="C43" s="69">
        <f t="shared" si="6"/>
        <v>346.74000000000007</v>
      </c>
      <c r="D43" s="69">
        <f t="shared" si="6"/>
        <v>345.34</v>
      </c>
      <c r="E43" s="69">
        <f t="shared" si="6"/>
        <v>343.64</v>
      </c>
      <c r="F43" s="69">
        <f t="shared" si="6"/>
        <v>344.54000000000008</v>
      </c>
      <c r="G43" s="69">
        <f t="shared" si="6"/>
        <v>344.14000000000004</v>
      </c>
      <c r="H43" s="69">
        <f t="shared" si="6"/>
        <v>343.94000000000005</v>
      </c>
      <c r="I43" s="69">
        <f t="shared" si="6"/>
        <v>339.84000000000003</v>
      </c>
      <c r="J43" s="69">
        <f t="shared" si="6"/>
        <v>336.54</v>
      </c>
      <c r="K43" s="69">
        <f t="shared" si="6"/>
        <v>337.44000000000005</v>
      </c>
      <c r="L43" s="69">
        <f t="shared" si="6"/>
        <v>337.54000000000008</v>
      </c>
      <c r="M43" s="69">
        <f t="shared" si="6"/>
        <v>338.24000000000007</v>
      </c>
      <c r="N43" s="69">
        <f t="shared" si="6"/>
        <v>338.34000000000003</v>
      </c>
      <c r="O43" s="69">
        <f t="shared" si="6"/>
        <v>338.34000000000003</v>
      </c>
      <c r="P43" s="69">
        <f t="shared" si="6"/>
        <v>331.74</v>
      </c>
      <c r="Q43" s="69">
        <f t="shared" si="6"/>
        <v>334.53999999999996</v>
      </c>
      <c r="R43" s="69">
        <f t="shared" si="6"/>
        <v>333.34</v>
      </c>
      <c r="S43" s="69">
        <f t="shared" si="6"/>
        <v>236.33999999999997</v>
      </c>
      <c r="T43" s="69">
        <f t="shared" si="6"/>
        <v>245.14</v>
      </c>
      <c r="U43" s="69">
        <f t="shared" si="6"/>
        <v>342.04</v>
      </c>
      <c r="V43" s="69">
        <f t="shared" si="6"/>
        <v>342.04</v>
      </c>
      <c r="W43" s="69">
        <f t="shared" si="6"/>
        <v>303.24</v>
      </c>
      <c r="X43" s="69">
        <f t="shared" si="6"/>
        <v>308.04000000000002</v>
      </c>
      <c r="Y43" s="69">
        <f t="shared" si="6"/>
        <v>308.04000000000002</v>
      </c>
      <c r="Z43" s="69">
        <f t="shared" si="6"/>
        <v>326.94000000000005</v>
      </c>
      <c r="AA43" s="69">
        <f t="shared" si="6"/>
        <v>340.34000000000003</v>
      </c>
      <c r="AB43" s="69">
        <f t="shared" si="6"/>
        <v>335.94000000000011</v>
      </c>
      <c r="AC43" s="69">
        <f t="shared" si="6"/>
        <v>334.94</v>
      </c>
      <c r="AD43" s="69">
        <f t="shared" si="6"/>
        <v>316.84000000000003</v>
      </c>
      <c r="AE43" s="69">
        <f t="shared" si="6"/>
        <v>336.6400000000001</v>
      </c>
      <c r="AF43" s="69">
        <f t="shared" si="6"/>
        <v>369.44000000000011</v>
      </c>
      <c r="AG43" s="74">
        <f>SUM(AG31:AG42)</f>
        <v>464.91</v>
      </c>
      <c r="AH43" s="52">
        <f t="shared" si="2"/>
        <v>369.44000000000011</v>
      </c>
      <c r="AI43" s="53">
        <f t="shared" si="3"/>
        <v>236.33999999999997</v>
      </c>
      <c r="AK43" s="54"/>
    </row>
    <row r="44" spans="1:41" x14ac:dyDescent="0.25">
      <c r="A44" s="55" t="s">
        <v>51</v>
      </c>
      <c r="B44" s="56">
        <v>55</v>
      </c>
      <c r="C44" s="56">
        <v>50</v>
      </c>
      <c r="D44" s="56">
        <v>39.799999999999997</v>
      </c>
      <c r="E44" s="56">
        <v>29.6</v>
      </c>
      <c r="F44" s="56">
        <v>13.9</v>
      </c>
      <c r="G44" s="56">
        <v>49.7</v>
      </c>
      <c r="H44" s="56">
        <v>59</v>
      </c>
      <c r="I44" s="56">
        <v>59.4</v>
      </c>
      <c r="J44" s="56">
        <v>59.5</v>
      </c>
      <c r="K44" s="56">
        <v>50.1</v>
      </c>
      <c r="L44" s="75">
        <v>49.3</v>
      </c>
      <c r="M44" s="75">
        <v>59.8</v>
      </c>
      <c r="N44" s="75">
        <v>59.6</v>
      </c>
      <c r="O44" s="75">
        <v>45</v>
      </c>
      <c r="P44" s="49">
        <v>29.7</v>
      </c>
      <c r="Q44" s="49">
        <v>30.3</v>
      </c>
      <c r="R44" s="49">
        <v>30.3</v>
      </c>
      <c r="S44" s="49">
        <v>20</v>
      </c>
      <c r="T44" s="49">
        <v>30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59.5</v>
      </c>
      <c r="AA44" s="49">
        <v>30.2</v>
      </c>
      <c r="AB44" s="49">
        <v>29.9</v>
      </c>
      <c r="AC44" s="49">
        <v>19.3</v>
      </c>
      <c r="AD44" s="49">
        <v>59.8</v>
      </c>
      <c r="AE44" s="49">
        <v>58.8</v>
      </c>
      <c r="AF44" s="49">
        <v>54.7</v>
      </c>
      <c r="AG44" s="57">
        <v>60</v>
      </c>
      <c r="AH44" s="52">
        <f t="shared" si="2"/>
        <v>59.8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27</v>
      </c>
      <c r="C45" s="56">
        <v>18</v>
      </c>
      <c r="D45" s="56">
        <v>19</v>
      </c>
      <c r="E45" s="56">
        <v>15.3</v>
      </c>
      <c r="F45" s="56">
        <v>15.7</v>
      </c>
      <c r="G45" s="56">
        <v>29.1</v>
      </c>
      <c r="H45" s="56">
        <v>30.1</v>
      </c>
      <c r="I45" s="56">
        <v>30.2</v>
      </c>
      <c r="J45" s="56">
        <v>30.2</v>
      </c>
      <c r="K45" s="56">
        <v>17.5</v>
      </c>
      <c r="L45" s="75">
        <v>25.7</v>
      </c>
      <c r="M45" s="75">
        <v>30.5</v>
      </c>
      <c r="N45" s="75">
        <v>30</v>
      </c>
      <c r="O45" s="75">
        <v>23</v>
      </c>
      <c r="P45" s="70">
        <v>14.5</v>
      </c>
      <c r="Q45" s="70">
        <v>14.4</v>
      </c>
      <c r="R45" s="70">
        <v>14.4</v>
      </c>
      <c r="S45" s="49">
        <v>19</v>
      </c>
      <c r="T45" s="49">
        <v>20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22</v>
      </c>
      <c r="AA45" s="70">
        <v>15.1</v>
      </c>
      <c r="AB45" s="70">
        <v>13.6</v>
      </c>
      <c r="AC45" s="70">
        <v>14.3</v>
      </c>
      <c r="AD45" s="70">
        <v>28.5</v>
      </c>
      <c r="AE45" s="70">
        <v>25.9</v>
      </c>
      <c r="AF45" s="70">
        <v>26.3</v>
      </c>
      <c r="AG45" s="59">
        <v>32</v>
      </c>
      <c r="AH45" s="52">
        <f t="shared" si="2"/>
        <v>30.5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9.6999999999999993</v>
      </c>
      <c r="C46" s="71">
        <v>6.8</v>
      </c>
      <c r="D46" s="71">
        <v>6.9</v>
      </c>
      <c r="E46" s="71">
        <v>5.6</v>
      </c>
      <c r="F46" s="71">
        <v>5.7</v>
      </c>
      <c r="G46" s="71">
        <v>10.3</v>
      </c>
      <c r="H46" s="71">
        <v>11</v>
      </c>
      <c r="I46" s="71">
        <v>11</v>
      </c>
      <c r="J46" s="71">
        <v>11</v>
      </c>
      <c r="K46" s="71">
        <v>6.4</v>
      </c>
      <c r="L46" s="76">
        <v>9.4</v>
      </c>
      <c r="M46" s="76">
        <v>13.8</v>
      </c>
      <c r="N46" s="76">
        <v>11.2</v>
      </c>
      <c r="O46" s="76">
        <v>6.1</v>
      </c>
      <c r="P46" s="77">
        <v>5.3</v>
      </c>
      <c r="Q46" s="77">
        <v>5.2</v>
      </c>
      <c r="R46" s="77">
        <v>5.2</v>
      </c>
      <c r="S46" s="49">
        <v>6.9</v>
      </c>
      <c r="T46" s="49">
        <v>7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7</v>
      </c>
      <c r="AA46" s="77">
        <v>14.2</v>
      </c>
      <c r="AB46" s="77">
        <v>5</v>
      </c>
      <c r="AC46" s="77">
        <v>5.2</v>
      </c>
      <c r="AD46" s="77">
        <v>10.4</v>
      </c>
      <c r="AE46" s="77">
        <v>9.5</v>
      </c>
      <c r="AF46" s="77">
        <v>9.3000000000000007</v>
      </c>
      <c r="AG46" s="78">
        <v>14</v>
      </c>
      <c r="AH46" s="52">
        <f t="shared" si="2"/>
        <v>14.2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91.7</v>
      </c>
      <c r="C47" s="69">
        <f t="shared" ref="C47:AF47" si="7">SUM(C44:C46)</f>
        <v>74.8</v>
      </c>
      <c r="D47" s="69">
        <f t="shared" si="7"/>
        <v>65.7</v>
      </c>
      <c r="E47" s="69">
        <f t="shared" si="7"/>
        <v>50.500000000000007</v>
      </c>
      <c r="F47" s="69">
        <f t="shared" si="7"/>
        <v>35.300000000000004</v>
      </c>
      <c r="G47" s="69">
        <f t="shared" si="7"/>
        <v>89.100000000000009</v>
      </c>
      <c r="H47" s="69">
        <f t="shared" si="7"/>
        <v>100.1</v>
      </c>
      <c r="I47" s="69">
        <f t="shared" si="7"/>
        <v>100.6</v>
      </c>
      <c r="J47" s="69">
        <f t="shared" si="7"/>
        <v>100.7</v>
      </c>
      <c r="K47" s="69">
        <f t="shared" si="7"/>
        <v>74</v>
      </c>
      <c r="L47" s="69">
        <f t="shared" si="7"/>
        <v>84.4</v>
      </c>
      <c r="M47" s="69">
        <f t="shared" si="7"/>
        <v>104.1</v>
      </c>
      <c r="N47" s="69">
        <f t="shared" si="7"/>
        <v>100.8</v>
      </c>
      <c r="O47" s="69">
        <f t="shared" si="7"/>
        <v>74.099999999999994</v>
      </c>
      <c r="P47" s="69">
        <f t="shared" si="7"/>
        <v>49.5</v>
      </c>
      <c r="Q47" s="69">
        <f t="shared" si="7"/>
        <v>49.900000000000006</v>
      </c>
      <c r="R47" s="69">
        <f t="shared" si="7"/>
        <v>49.900000000000006</v>
      </c>
      <c r="S47" s="69">
        <f t="shared" si="7"/>
        <v>45.9</v>
      </c>
      <c r="T47" s="69">
        <f t="shared" si="7"/>
        <v>57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88.5</v>
      </c>
      <c r="AA47" s="69">
        <f t="shared" si="7"/>
        <v>59.5</v>
      </c>
      <c r="AB47" s="69">
        <f t="shared" si="7"/>
        <v>48.5</v>
      </c>
      <c r="AC47" s="69">
        <f t="shared" si="7"/>
        <v>38.800000000000004</v>
      </c>
      <c r="AD47" s="69">
        <f t="shared" si="7"/>
        <v>98.7</v>
      </c>
      <c r="AE47" s="69">
        <f t="shared" si="7"/>
        <v>94.199999999999989</v>
      </c>
      <c r="AF47" s="69">
        <f t="shared" si="7"/>
        <v>90.3</v>
      </c>
      <c r="AG47" s="74">
        <f>SUM(AG44:AG46)</f>
        <v>106</v>
      </c>
      <c r="AH47" s="52">
        <f t="shared" si="2"/>
        <v>104.1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62</v>
      </c>
      <c r="C48" s="49">
        <v>62</v>
      </c>
      <c r="D48" s="49">
        <v>60</v>
      </c>
      <c r="E48" s="49">
        <v>56</v>
      </c>
      <c r="F48" s="49">
        <v>51.5</v>
      </c>
      <c r="G48" s="49">
        <v>46</v>
      </c>
      <c r="H48" s="49">
        <v>43.1</v>
      </c>
      <c r="I48" s="49">
        <v>44.7</v>
      </c>
      <c r="J48" s="49">
        <v>44.85</v>
      </c>
      <c r="K48" s="49">
        <v>50.6</v>
      </c>
      <c r="L48" s="49">
        <v>56</v>
      </c>
      <c r="M48" s="49">
        <v>62.2</v>
      </c>
      <c r="N48" s="49">
        <v>65</v>
      </c>
      <c r="O48" s="49">
        <v>76</v>
      </c>
      <c r="P48" s="49">
        <v>78</v>
      </c>
      <c r="Q48" s="49">
        <v>63</v>
      </c>
      <c r="R48" s="49">
        <v>61</v>
      </c>
      <c r="S48" s="49">
        <v>62.6</v>
      </c>
      <c r="T48" s="49">
        <v>77</v>
      </c>
      <c r="U48" s="49">
        <v>74</v>
      </c>
      <c r="V48" s="49">
        <v>60</v>
      </c>
      <c r="W48" s="49">
        <v>61.5</v>
      </c>
      <c r="X48" s="49">
        <v>60.5</v>
      </c>
      <c r="Y48" s="49">
        <v>58</v>
      </c>
      <c r="Z48" s="49">
        <v>50</v>
      </c>
      <c r="AA48" s="49">
        <v>60</v>
      </c>
      <c r="AB48" s="49">
        <v>55.4</v>
      </c>
      <c r="AC48" s="49">
        <v>60.94</v>
      </c>
      <c r="AD48" s="49">
        <v>59</v>
      </c>
      <c r="AE48" s="49">
        <v>55.36</v>
      </c>
      <c r="AF48" s="49">
        <v>70.19</v>
      </c>
      <c r="AG48" s="57"/>
      <c r="AH48" s="52">
        <f t="shared" si="2"/>
        <v>78</v>
      </c>
      <c r="AI48" s="53">
        <f t="shared" si="3"/>
        <v>43.1</v>
      </c>
      <c r="AK48" s="54"/>
    </row>
    <row r="49" spans="1:37" x14ac:dyDescent="0.25">
      <c r="A49" s="58" t="s">
        <v>56</v>
      </c>
      <c r="B49" s="70">
        <v>98</v>
      </c>
      <c r="C49" s="70">
        <v>110</v>
      </c>
      <c r="D49" s="70">
        <f>5+44.8</f>
        <v>49.8</v>
      </c>
      <c r="E49" s="70">
        <f>46.1+5</f>
        <v>51.1</v>
      </c>
      <c r="F49" s="70">
        <f>52.1+12</f>
        <v>64.099999999999994</v>
      </c>
      <c r="G49" s="70">
        <v>74.7</v>
      </c>
      <c r="H49" s="70">
        <v>92.2</v>
      </c>
      <c r="I49" s="70">
        <v>78.099999999999994</v>
      </c>
      <c r="J49" s="70">
        <v>75.5</v>
      </c>
      <c r="K49" s="70">
        <v>48</v>
      </c>
      <c r="L49" s="49">
        <v>43.8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0</v>
      </c>
      <c r="AG49" s="59"/>
      <c r="AH49" s="52">
        <f t="shared" si="2"/>
        <v>110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83</v>
      </c>
      <c r="C50" s="70">
        <v>75</v>
      </c>
      <c r="D50" s="70">
        <v>150</v>
      </c>
      <c r="E50" s="70">
        <v>160</v>
      </c>
      <c r="F50" s="70">
        <v>146</v>
      </c>
      <c r="G50" s="49">
        <v>63</v>
      </c>
      <c r="H50" s="49">
        <v>80</v>
      </c>
      <c r="I50" s="49">
        <v>142</v>
      </c>
      <c r="J50" s="49">
        <v>170</v>
      </c>
      <c r="K50" s="49">
        <v>250</v>
      </c>
      <c r="L50" s="70">
        <v>244</v>
      </c>
      <c r="M50" s="70">
        <v>300</v>
      </c>
      <c r="N50" s="70">
        <v>306</v>
      </c>
      <c r="O50" s="70">
        <v>290</v>
      </c>
      <c r="P50" s="70">
        <v>280</v>
      </c>
      <c r="Q50" s="70">
        <v>306</v>
      </c>
      <c r="R50" s="70">
        <v>280</v>
      </c>
      <c r="S50" s="70">
        <v>250</v>
      </c>
      <c r="T50" s="70">
        <v>280</v>
      </c>
      <c r="U50" s="80">
        <v>260</v>
      </c>
      <c r="V50" s="80">
        <v>250</v>
      </c>
      <c r="W50" s="80">
        <v>240</v>
      </c>
      <c r="X50" s="80">
        <v>270</v>
      </c>
      <c r="Y50" s="80">
        <v>270</v>
      </c>
      <c r="Z50" s="80">
        <v>305</v>
      </c>
      <c r="AA50" s="70">
        <v>294</v>
      </c>
      <c r="AB50" s="70">
        <v>297</v>
      </c>
      <c r="AC50" s="70">
        <v>264.3</v>
      </c>
      <c r="AD50" s="70">
        <v>236</v>
      </c>
      <c r="AE50" s="70">
        <v>172.5</v>
      </c>
      <c r="AF50" s="70">
        <v>130.30000000000001</v>
      </c>
      <c r="AG50" s="81"/>
      <c r="AH50" s="52">
        <f t="shared" si="2"/>
        <v>306</v>
      </c>
      <c r="AI50" s="53">
        <f t="shared" si="3"/>
        <v>63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20</v>
      </c>
      <c r="H51" s="82">
        <v>20</v>
      </c>
      <c r="I51" s="82">
        <v>20</v>
      </c>
      <c r="J51" s="82">
        <v>20</v>
      </c>
      <c r="K51" s="82">
        <v>20</v>
      </c>
      <c r="L51" s="70">
        <v>22</v>
      </c>
      <c r="M51" s="70">
        <v>22</v>
      </c>
      <c r="N51" s="70">
        <v>24</v>
      </c>
      <c r="O51" s="70">
        <v>25</v>
      </c>
      <c r="P51" s="70">
        <v>25</v>
      </c>
      <c r="Q51" s="70">
        <v>24</v>
      </c>
      <c r="R51" s="70">
        <v>20</v>
      </c>
      <c r="S51" s="70">
        <v>17</v>
      </c>
      <c r="T51" s="70">
        <v>17</v>
      </c>
      <c r="U51" s="70">
        <v>17</v>
      </c>
      <c r="V51" s="70">
        <v>0</v>
      </c>
      <c r="W51" s="70">
        <v>0</v>
      </c>
      <c r="X51" s="70">
        <v>0</v>
      </c>
      <c r="Y51" s="70">
        <v>17</v>
      </c>
      <c r="Z51" s="70">
        <v>21</v>
      </c>
      <c r="AA51" s="82">
        <v>21</v>
      </c>
      <c r="AB51" s="82">
        <v>21</v>
      </c>
      <c r="AC51" s="82">
        <v>20.6</v>
      </c>
      <c r="AD51" s="82">
        <v>18</v>
      </c>
      <c r="AE51" s="82">
        <v>18</v>
      </c>
      <c r="AF51" s="82">
        <v>0</v>
      </c>
      <c r="AG51" s="81"/>
      <c r="AH51" s="52">
        <f t="shared" si="2"/>
        <v>25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60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65.3</v>
      </c>
      <c r="AB52" s="49">
        <v>65.599999999999994</v>
      </c>
      <c r="AC52" s="49">
        <v>67.8</v>
      </c>
      <c r="AD52" s="49">
        <v>0</v>
      </c>
      <c r="AE52" s="49">
        <v>0</v>
      </c>
      <c r="AF52" s="49">
        <v>0</v>
      </c>
      <c r="AG52" s="81"/>
      <c r="AH52" s="52">
        <f t="shared" si="2"/>
        <v>67.8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70">
        <v>0</v>
      </c>
      <c r="E53" s="70">
        <v>0</v>
      </c>
      <c r="F53" s="70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8</v>
      </c>
      <c r="T53" s="83">
        <v>8</v>
      </c>
      <c r="U53" s="83">
        <v>7.5</v>
      </c>
      <c r="V53" s="83">
        <v>7.5</v>
      </c>
      <c r="W53" s="83">
        <v>0</v>
      </c>
      <c r="X53" s="83">
        <v>0</v>
      </c>
      <c r="Y53" s="83">
        <v>0</v>
      </c>
      <c r="Z53" s="83">
        <v>10</v>
      </c>
      <c r="AA53" s="83">
        <v>10</v>
      </c>
      <c r="AB53" s="83">
        <v>10</v>
      </c>
      <c r="AC53" s="83">
        <v>10</v>
      </c>
      <c r="AD53" s="83">
        <v>10</v>
      </c>
      <c r="AE53" s="83">
        <v>0</v>
      </c>
      <c r="AF53" s="83">
        <v>0</v>
      </c>
      <c r="AG53" s="81"/>
      <c r="AH53" s="52">
        <f t="shared" si="2"/>
        <v>10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70">
        <v>0</v>
      </c>
      <c r="E54" s="70">
        <v>0</v>
      </c>
      <c r="F54" s="70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6</v>
      </c>
      <c r="Z55" s="82">
        <v>7</v>
      </c>
      <c r="AA55" s="82">
        <v>7</v>
      </c>
      <c r="AB55" s="82">
        <v>7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7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70">
        <v>0</v>
      </c>
      <c r="E57" s="70">
        <v>0</v>
      </c>
      <c r="F57" s="70">
        <v>0</v>
      </c>
      <c r="G57" s="82">
        <v>0</v>
      </c>
      <c r="H57" s="82">
        <v>0</v>
      </c>
      <c r="I57" s="82">
        <v>0</v>
      </c>
      <c r="J57" s="82">
        <v>0</v>
      </c>
      <c r="K57" s="82">
        <v>0</v>
      </c>
      <c r="L57" s="82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70">
        <v>0</v>
      </c>
      <c r="E58" s="70">
        <v>0</v>
      </c>
      <c r="F58" s="70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243</v>
      </c>
      <c r="C59" s="69">
        <f t="shared" ref="C59:AF59" si="8">SUM(C48:C58)</f>
        <v>247</v>
      </c>
      <c r="D59" s="69">
        <f t="shared" si="8"/>
        <v>259.8</v>
      </c>
      <c r="E59" s="69">
        <f t="shared" si="8"/>
        <v>267.10000000000002</v>
      </c>
      <c r="F59" s="69">
        <f t="shared" si="8"/>
        <v>261.60000000000002</v>
      </c>
      <c r="G59" s="69">
        <f t="shared" si="8"/>
        <v>203.7</v>
      </c>
      <c r="H59" s="69">
        <f t="shared" si="8"/>
        <v>235.3</v>
      </c>
      <c r="I59" s="69">
        <f t="shared" si="8"/>
        <v>284.8</v>
      </c>
      <c r="J59" s="69">
        <f t="shared" si="8"/>
        <v>310.35000000000002</v>
      </c>
      <c r="K59" s="69">
        <f t="shared" si="8"/>
        <v>368.6</v>
      </c>
      <c r="L59" s="69">
        <f t="shared" si="8"/>
        <v>365.8</v>
      </c>
      <c r="M59" s="69">
        <f t="shared" si="8"/>
        <v>384.2</v>
      </c>
      <c r="N59" s="69">
        <f t="shared" si="8"/>
        <v>395</v>
      </c>
      <c r="O59" s="69">
        <f t="shared" si="8"/>
        <v>391</v>
      </c>
      <c r="P59" s="69">
        <f t="shared" si="8"/>
        <v>383</v>
      </c>
      <c r="Q59" s="69">
        <f t="shared" si="8"/>
        <v>393</v>
      </c>
      <c r="R59" s="69">
        <f t="shared" si="8"/>
        <v>361</v>
      </c>
      <c r="S59" s="69">
        <f t="shared" si="8"/>
        <v>397.6</v>
      </c>
      <c r="T59" s="69">
        <f t="shared" si="8"/>
        <v>382</v>
      </c>
      <c r="U59" s="69">
        <f t="shared" si="8"/>
        <v>358.5</v>
      </c>
      <c r="V59" s="69">
        <f t="shared" si="8"/>
        <v>317.5</v>
      </c>
      <c r="W59" s="69">
        <f t="shared" si="8"/>
        <v>301.5</v>
      </c>
      <c r="X59" s="69">
        <f t="shared" si="8"/>
        <v>330.5</v>
      </c>
      <c r="Y59" s="69">
        <f t="shared" si="8"/>
        <v>351</v>
      </c>
      <c r="Z59" s="69">
        <f t="shared" si="8"/>
        <v>393</v>
      </c>
      <c r="AA59" s="69">
        <f t="shared" si="8"/>
        <v>457.3</v>
      </c>
      <c r="AB59" s="69">
        <f t="shared" si="8"/>
        <v>456</v>
      </c>
      <c r="AC59" s="69">
        <f t="shared" si="8"/>
        <v>423.64000000000004</v>
      </c>
      <c r="AD59" s="69">
        <f t="shared" si="8"/>
        <v>323</v>
      </c>
      <c r="AE59" s="69">
        <f t="shared" si="8"/>
        <v>245.86</v>
      </c>
      <c r="AF59" s="69">
        <f t="shared" si="8"/>
        <v>200.49</v>
      </c>
      <c r="AG59" s="74">
        <f>SUM(AG48:AG58)</f>
        <v>0</v>
      </c>
      <c r="AH59" s="52">
        <f t="shared" si="2"/>
        <v>457.3</v>
      </c>
      <c r="AI59" s="53">
        <f t="shared" si="3"/>
        <v>200.49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>
        <v>25</v>
      </c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25</v>
      </c>
      <c r="AI64" s="53">
        <f t="shared" si="3"/>
        <v>25</v>
      </c>
    </row>
    <row r="65" spans="1:35" ht="15.75" thickBot="1" x14ac:dyDescent="0.3">
      <c r="A65" s="90" t="s">
        <v>72</v>
      </c>
      <c r="B65" s="91">
        <f>B63+B59+B47+B43+B30+B64</f>
        <v>1096.6399999999999</v>
      </c>
      <c r="C65" s="91">
        <f t="shared" ref="C65:AF65" si="10">C63+C59+C47+C43+C30+C64</f>
        <v>1067.3400000000001</v>
      </c>
      <c r="D65" s="91">
        <f t="shared" si="10"/>
        <v>1065.8399999999999</v>
      </c>
      <c r="E65" s="91">
        <f t="shared" si="10"/>
        <v>1056.74</v>
      </c>
      <c r="F65" s="91">
        <f t="shared" si="10"/>
        <v>1048.04</v>
      </c>
      <c r="G65" s="91">
        <f t="shared" si="10"/>
        <v>1034.3400000000001</v>
      </c>
      <c r="H65" s="91">
        <f t="shared" si="10"/>
        <v>1076.74</v>
      </c>
      <c r="I65" s="91">
        <f t="shared" si="10"/>
        <v>1077.6399999999999</v>
      </c>
      <c r="J65" s="91">
        <f t="shared" si="10"/>
        <v>1110.0900000000001</v>
      </c>
      <c r="K65" s="91">
        <f t="shared" si="10"/>
        <v>1142.04</v>
      </c>
      <c r="L65" s="91">
        <f t="shared" si="10"/>
        <v>1149.0400000000002</v>
      </c>
      <c r="M65" s="91">
        <f t="shared" si="10"/>
        <v>1188.44</v>
      </c>
      <c r="N65" s="91">
        <f t="shared" si="10"/>
        <v>1195.94</v>
      </c>
      <c r="O65" s="91">
        <f t="shared" si="10"/>
        <v>1205.94</v>
      </c>
      <c r="P65" s="91">
        <f t="shared" si="10"/>
        <v>1166.44</v>
      </c>
      <c r="Q65" s="91">
        <f t="shared" si="10"/>
        <v>1178.04</v>
      </c>
      <c r="R65" s="91">
        <f t="shared" si="10"/>
        <v>1141.04</v>
      </c>
      <c r="S65" s="91">
        <f t="shared" si="10"/>
        <v>1105.1399999999999</v>
      </c>
      <c r="T65" s="91">
        <f t="shared" si="10"/>
        <v>1087.74</v>
      </c>
      <c r="U65" s="91">
        <f t="shared" si="10"/>
        <v>1104.1399999999999</v>
      </c>
      <c r="V65" s="91">
        <f t="shared" si="10"/>
        <v>1063.1399999999999</v>
      </c>
      <c r="W65" s="91">
        <f t="shared" si="10"/>
        <v>1018.84</v>
      </c>
      <c r="X65" s="91">
        <f t="shared" si="10"/>
        <v>1057.1399999999999</v>
      </c>
      <c r="Y65" s="91">
        <f t="shared" si="10"/>
        <v>1078.94</v>
      </c>
      <c r="Z65" s="91">
        <f t="shared" si="10"/>
        <v>1241.94</v>
      </c>
      <c r="AA65" s="91">
        <f t="shared" si="10"/>
        <v>1271.8399999999999</v>
      </c>
      <c r="AB65" s="91">
        <f t="shared" si="10"/>
        <v>1255.24</v>
      </c>
      <c r="AC65" s="91">
        <f t="shared" si="10"/>
        <v>1211.68</v>
      </c>
      <c r="AD65" s="91">
        <f t="shared" si="10"/>
        <v>1154.8399999999999</v>
      </c>
      <c r="AE65" s="91">
        <f t="shared" si="10"/>
        <v>1105</v>
      </c>
      <c r="AF65" s="91">
        <f t="shared" si="10"/>
        <v>1086.8300000000002</v>
      </c>
      <c r="AG65" s="74">
        <f>AG63+AG59+AG47+AG43+AG30+AG64</f>
        <v>1355.5100000000002</v>
      </c>
      <c r="AH65" s="52">
        <f t="shared" si="2"/>
        <v>1271.8399999999999</v>
      </c>
      <c r="AI65" s="53">
        <f t="shared" si="3"/>
        <v>1018.84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49.994999999999997</v>
      </c>
      <c r="C72" s="94">
        <v>49.96</v>
      </c>
      <c r="D72" s="94">
        <v>49.930999999999997</v>
      </c>
      <c r="E72" s="94">
        <v>50.051000000000002</v>
      </c>
      <c r="F72" s="94">
        <v>49.965000000000003</v>
      </c>
      <c r="G72" s="94">
        <v>50.021999999999998</v>
      </c>
      <c r="H72" s="94">
        <v>50.000999999999998</v>
      </c>
      <c r="I72" s="94">
        <v>49.975000000000001</v>
      </c>
      <c r="J72" s="94">
        <v>49.973999999999997</v>
      </c>
      <c r="K72" s="94">
        <v>50.029000000000003</v>
      </c>
      <c r="L72" s="94">
        <v>50.119</v>
      </c>
      <c r="M72" s="94">
        <v>50.098999999999997</v>
      </c>
      <c r="N72" s="94">
        <v>50.024000000000001</v>
      </c>
      <c r="O72" s="94">
        <v>50.024000000000001</v>
      </c>
      <c r="P72" s="94">
        <v>49.99</v>
      </c>
      <c r="Q72" s="95">
        <v>49.945</v>
      </c>
      <c r="R72" s="94">
        <v>50.046999999999997</v>
      </c>
      <c r="S72" s="94">
        <v>50.01</v>
      </c>
      <c r="T72" s="94">
        <v>50.01</v>
      </c>
      <c r="U72" s="94">
        <v>49.991</v>
      </c>
      <c r="V72" s="94">
        <v>50.033000000000001</v>
      </c>
      <c r="W72" s="94">
        <v>50.009</v>
      </c>
      <c r="X72" s="94">
        <v>50.07</v>
      </c>
      <c r="Y72" s="94">
        <v>50</v>
      </c>
      <c r="Z72" s="94">
        <v>49.835999999999999</v>
      </c>
      <c r="AA72" s="94">
        <v>50.036000000000001</v>
      </c>
      <c r="AB72" s="94">
        <v>49.997999999999998</v>
      </c>
      <c r="AC72" s="94">
        <v>50.018000000000001</v>
      </c>
      <c r="AD72" s="94">
        <v>50.027000000000001</v>
      </c>
      <c r="AE72" s="94">
        <v>49.957000000000001</v>
      </c>
      <c r="AF72" s="96">
        <v>50.046999999999997</v>
      </c>
      <c r="AG72" s="97"/>
      <c r="AH72" s="52">
        <f t="shared" si="2"/>
        <v>50.119</v>
      </c>
      <c r="AI72" s="53">
        <f t="shared" si="3"/>
        <v>49.835999999999999</v>
      </c>
    </row>
    <row r="73" spans="1:35" x14ac:dyDescent="0.25">
      <c r="A73" s="98" t="s">
        <v>80</v>
      </c>
      <c r="B73" s="70">
        <v>125</v>
      </c>
      <c r="C73" s="70">
        <v>126</v>
      </c>
      <c r="D73" s="70">
        <v>126.9</v>
      </c>
      <c r="E73" s="70">
        <v>126.1</v>
      </c>
      <c r="F73" s="70">
        <v>126.1</v>
      </c>
      <c r="G73" s="70">
        <v>126.9</v>
      </c>
      <c r="H73" s="70">
        <v>126.1</v>
      </c>
      <c r="I73" s="70">
        <v>125.5</v>
      </c>
      <c r="J73" s="70">
        <v>125.1</v>
      </c>
      <c r="K73" s="70">
        <v>123.6</v>
      </c>
      <c r="L73" s="70">
        <v>122.7</v>
      </c>
      <c r="M73" s="70">
        <v>124.7</v>
      </c>
      <c r="N73" s="70">
        <v>124</v>
      </c>
      <c r="O73" s="70">
        <v>126.6</v>
      </c>
      <c r="P73" s="70">
        <v>125.8</v>
      </c>
      <c r="Q73" s="99">
        <v>124.6</v>
      </c>
      <c r="R73" s="99">
        <v>127</v>
      </c>
      <c r="S73" s="99">
        <v>127</v>
      </c>
      <c r="T73" s="99">
        <v>124.6</v>
      </c>
      <c r="U73" s="99">
        <v>124.6</v>
      </c>
      <c r="V73" s="99">
        <v>126.4</v>
      </c>
      <c r="W73" s="99">
        <v>126.5</v>
      </c>
      <c r="X73" s="99">
        <v>125.8</v>
      </c>
      <c r="Y73" s="99">
        <v>127</v>
      </c>
      <c r="Z73" s="99">
        <v>128.30000000000001</v>
      </c>
      <c r="AA73" s="70">
        <v>128</v>
      </c>
      <c r="AB73" s="70">
        <v>126.6</v>
      </c>
      <c r="AC73" s="70">
        <v>126.6</v>
      </c>
      <c r="AD73" s="70">
        <v>125.5</v>
      </c>
      <c r="AE73" s="70">
        <v>125.6</v>
      </c>
      <c r="AF73" s="100">
        <v>126.6</v>
      </c>
      <c r="AG73" s="101"/>
      <c r="AH73" s="52">
        <f t="shared" si="2"/>
        <v>128.30000000000001</v>
      </c>
      <c r="AI73" s="53">
        <f t="shared" si="3"/>
        <v>122.7</v>
      </c>
    </row>
    <row r="74" spans="1:35" x14ac:dyDescent="0.25">
      <c r="A74" s="98" t="s">
        <v>81</v>
      </c>
      <c r="B74" s="70">
        <v>129.6</v>
      </c>
      <c r="C74" s="70">
        <v>130</v>
      </c>
      <c r="D74" s="70">
        <v>130.6</v>
      </c>
      <c r="E74" s="70">
        <v>129.80000000000001</v>
      </c>
      <c r="F74" s="70">
        <v>129.4</v>
      </c>
      <c r="G74" s="70">
        <v>130.19999999999999</v>
      </c>
      <c r="H74" s="70">
        <v>128.69999999999999</v>
      </c>
      <c r="I74" s="70">
        <v>127.8</v>
      </c>
      <c r="J74" s="70">
        <v>127.4</v>
      </c>
      <c r="K74" s="70">
        <v>126.3</v>
      </c>
      <c r="L74" s="70">
        <v>124.9</v>
      </c>
      <c r="M74" s="70">
        <v>126.4</v>
      </c>
      <c r="N74" s="70">
        <v>126.1</v>
      </c>
      <c r="O74" s="70">
        <v>129.80000000000001</v>
      </c>
      <c r="P74" s="70">
        <v>128.5</v>
      </c>
      <c r="Q74" s="99">
        <v>127.1</v>
      </c>
      <c r="R74" s="99">
        <v>130</v>
      </c>
      <c r="S74" s="99">
        <v>130</v>
      </c>
      <c r="T74" s="99">
        <v>127.3</v>
      </c>
      <c r="U74" s="99">
        <v>127.3</v>
      </c>
      <c r="V74" s="99">
        <v>129.19999999999999</v>
      </c>
      <c r="W74" s="99">
        <v>129.5</v>
      </c>
      <c r="X74" s="99">
        <v>128.9</v>
      </c>
      <c r="Y74" s="99">
        <v>129.80000000000001</v>
      </c>
      <c r="Z74" s="99">
        <v>130.69999999999999</v>
      </c>
      <c r="AA74" s="70">
        <v>130.4</v>
      </c>
      <c r="AB74" s="70">
        <v>129.4</v>
      </c>
      <c r="AC74" s="70">
        <v>129.5</v>
      </c>
      <c r="AD74" s="70">
        <v>128.9</v>
      </c>
      <c r="AE74" s="70">
        <v>129</v>
      </c>
      <c r="AF74" s="100">
        <v>130</v>
      </c>
      <c r="AG74" s="101"/>
      <c r="AH74" s="52">
        <f t="shared" si="2"/>
        <v>130.69999999999999</v>
      </c>
      <c r="AI74" s="53">
        <f t="shared" si="3"/>
        <v>124.9</v>
      </c>
    </row>
    <row r="75" spans="1:35" x14ac:dyDescent="0.25">
      <c r="A75" s="98" t="s">
        <v>82</v>
      </c>
      <c r="B75" s="70">
        <v>129</v>
      </c>
      <c r="C75" s="70">
        <v>128</v>
      </c>
      <c r="D75" s="70">
        <v>130.4</v>
      </c>
      <c r="E75" s="70">
        <v>130.1</v>
      </c>
      <c r="F75" s="70">
        <v>131.19999999999999</v>
      </c>
      <c r="G75" s="70">
        <v>133.1</v>
      </c>
      <c r="H75" s="70">
        <v>129.1</v>
      </c>
      <c r="I75" s="70">
        <v>129.69999999999999</v>
      </c>
      <c r="J75" s="70">
        <v>130.5</v>
      </c>
      <c r="K75" s="70">
        <v>127</v>
      </c>
      <c r="L75" s="70">
        <v>127.7</v>
      </c>
      <c r="M75" s="70">
        <v>129.19999999999999</v>
      </c>
      <c r="N75" s="70">
        <v>127.2</v>
      </c>
      <c r="O75" s="70">
        <v>127</v>
      </c>
      <c r="P75" s="70">
        <v>129.19999999999999</v>
      </c>
      <c r="Q75" s="70">
        <v>127.2</v>
      </c>
      <c r="R75" s="70">
        <v>127</v>
      </c>
      <c r="S75" s="70">
        <v>127</v>
      </c>
      <c r="T75" s="99">
        <v>128.9</v>
      </c>
      <c r="U75" s="99">
        <v>128.9</v>
      </c>
      <c r="V75" s="99">
        <v>128.69999999999999</v>
      </c>
      <c r="W75" s="99">
        <v>128.69999999999999</v>
      </c>
      <c r="X75" s="99">
        <v>128.1</v>
      </c>
      <c r="Y75" s="99">
        <v>129.19999999999999</v>
      </c>
      <c r="Z75" s="99">
        <v>127.3</v>
      </c>
      <c r="AA75" s="70">
        <v>129.4</v>
      </c>
      <c r="AB75" s="70">
        <v>125.6</v>
      </c>
      <c r="AC75" s="70">
        <v>126.5</v>
      </c>
      <c r="AD75" s="70">
        <v>128.80000000000001</v>
      </c>
      <c r="AE75" s="70">
        <v>127.5</v>
      </c>
      <c r="AF75" s="100">
        <v>129</v>
      </c>
      <c r="AG75" s="101"/>
      <c r="AH75" s="52">
        <f t="shared" si="2"/>
        <v>133.1</v>
      </c>
      <c r="AI75" s="53">
        <f t="shared" si="3"/>
        <v>125.6</v>
      </c>
    </row>
    <row r="76" spans="1:35" x14ac:dyDescent="0.25">
      <c r="A76" s="102" t="s">
        <v>83</v>
      </c>
      <c r="B76" s="70">
        <v>133</v>
      </c>
      <c r="C76" s="70">
        <v>132</v>
      </c>
      <c r="D76" s="70">
        <v>132.6</v>
      </c>
      <c r="E76" s="70">
        <v>131.1</v>
      </c>
      <c r="F76" s="70">
        <v>131.9</v>
      </c>
      <c r="G76" s="70">
        <v>132.9</v>
      </c>
      <c r="H76" s="70">
        <v>129.5</v>
      </c>
      <c r="I76" s="70">
        <v>129.80000000000001</v>
      </c>
      <c r="J76" s="70">
        <v>131.69999999999999</v>
      </c>
      <c r="K76" s="70">
        <v>128.30000000000001</v>
      </c>
      <c r="L76" s="70">
        <v>130.1</v>
      </c>
      <c r="M76" s="70">
        <v>132.80000000000001</v>
      </c>
      <c r="N76" s="70">
        <v>131</v>
      </c>
      <c r="O76" s="70">
        <v>130.9</v>
      </c>
      <c r="P76" s="70">
        <v>133</v>
      </c>
      <c r="Q76" s="70">
        <v>131.1</v>
      </c>
      <c r="R76" s="70">
        <v>130.9</v>
      </c>
      <c r="S76" s="70">
        <v>130.9</v>
      </c>
      <c r="T76" s="99">
        <v>132.80000000000001</v>
      </c>
      <c r="U76" s="99">
        <v>132.80000000000001</v>
      </c>
      <c r="V76" s="99">
        <v>132.9</v>
      </c>
      <c r="W76" s="99">
        <v>132.9</v>
      </c>
      <c r="X76" s="99">
        <v>132.9</v>
      </c>
      <c r="Y76" s="99">
        <v>134.1</v>
      </c>
      <c r="Z76" s="99">
        <v>131.80000000000001</v>
      </c>
      <c r="AA76" s="70">
        <v>134.30000000000001</v>
      </c>
      <c r="AB76" s="70">
        <v>128.9</v>
      </c>
      <c r="AC76" s="70">
        <v>129.9</v>
      </c>
      <c r="AD76" s="70">
        <v>132.6</v>
      </c>
      <c r="AE76" s="70">
        <v>131.6</v>
      </c>
      <c r="AF76" s="100">
        <v>133</v>
      </c>
      <c r="AG76" s="101"/>
      <c r="AH76" s="52">
        <f t="shared" si="2"/>
        <v>134.30000000000001</v>
      </c>
      <c r="AI76" s="53">
        <f t="shared" si="3"/>
        <v>128.30000000000001</v>
      </c>
    </row>
    <row r="77" spans="1:35" x14ac:dyDescent="0.25">
      <c r="A77" s="102" t="s">
        <v>84</v>
      </c>
      <c r="B77" s="103">
        <v>127.4</v>
      </c>
      <c r="C77" s="103">
        <v>130</v>
      </c>
      <c r="D77" s="103">
        <v>132.80000000000001</v>
      </c>
      <c r="E77" s="103">
        <v>133.30000000000001</v>
      </c>
      <c r="F77" s="103">
        <v>132.6</v>
      </c>
      <c r="G77" s="103">
        <v>133.30000000000001</v>
      </c>
      <c r="H77" s="103">
        <v>130</v>
      </c>
      <c r="I77" s="103">
        <v>129.4</v>
      </c>
      <c r="J77" s="103">
        <v>132</v>
      </c>
      <c r="K77" s="103">
        <v>131.6</v>
      </c>
      <c r="L77" s="103">
        <v>128.80000000000001</v>
      </c>
      <c r="M77" s="103">
        <v>129.5</v>
      </c>
      <c r="N77" s="103">
        <v>127.4</v>
      </c>
      <c r="O77" s="103">
        <v>129.19999999999999</v>
      </c>
      <c r="P77" s="103">
        <v>130.9</v>
      </c>
      <c r="Q77" s="103">
        <v>132.1</v>
      </c>
      <c r="R77" s="103">
        <v>126.3</v>
      </c>
      <c r="S77" s="103">
        <v>125.4</v>
      </c>
      <c r="T77" s="99">
        <v>133</v>
      </c>
      <c r="U77" s="99">
        <v>133</v>
      </c>
      <c r="V77" s="99">
        <v>133.30000000000001</v>
      </c>
      <c r="W77" s="99">
        <v>133.30000000000001</v>
      </c>
      <c r="X77" s="99">
        <v>131.4</v>
      </c>
      <c r="Y77" s="99">
        <v>129.6</v>
      </c>
      <c r="Z77" s="99">
        <v>130.19999999999999</v>
      </c>
      <c r="AA77" s="103">
        <v>133.9</v>
      </c>
      <c r="AB77" s="103">
        <v>130.5</v>
      </c>
      <c r="AC77" s="103">
        <v>135.30000000000001</v>
      </c>
      <c r="AD77" s="103">
        <v>134.4</v>
      </c>
      <c r="AE77" s="103">
        <v>132.30000000000001</v>
      </c>
      <c r="AF77" s="104">
        <v>136.1</v>
      </c>
      <c r="AG77" s="105"/>
      <c r="AH77" s="52">
        <f t="shared" si="2"/>
        <v>136.1</v>
      </c>
      <c r="AI77" s="53">
        <f t="shared" si="3"/>
        <v>125.4</v>
      </c>
    </row>
    <row r="78" spans="1:35" x14ac:dyDescent="0.25">
      <c r="A78" s="98" t="s">
        <v>85</v>
      </c>
      <c r="B78" s="70">
        <v>130</v>
      </c>
      <c r="C78" s="70">
        <v>132</v>
      </c>
      <c r="D78" s="70">
        <v>133.6</v>
      </c>
      <c r="E78" s="70">
        <v>128.80000000000001</v>
      </c>
      <c r="F78" s="70">
        <v>126.9</v>
      </c>
      <c r="G78" s="70">
        <v>129.80000000000001</v>
      </c>
      <c r="H78" s="70">
        <v>125.1</v>
      </c>
      <c r="I78" s="70">
        <v>123.3</v>
      </c>
      <c r="J78" s="70">
        <v>126.4</v>
      </c>
      <c r="K78" s="70">
        <v>125.8</v>
      </c>
      <c r="L78" s="70">
        <v>130.6</v>
      </c>
      <c r="M78" s="70">
        <v>125.4</v>
      </c>
      <c r="N78" s="70">
        <v>121</v>
      </c>
      <c r="O78" s="70">
        <v>119</v>
      </c>
      <c r="P78" s="70">
        <v>122.1</v>
      </c>
      <c r="Q78" s="70">
        <v>125.4</v>
      </c>
      <c r="R78" s="70">
        <v>124.9</v>
      </c>
      <c r="S78" s="70">
        <v>132.6</v>
      </c>
      <c r="T78" s="99">
        <v>133.5</v>
      </c>
      <c r="U78" s="99">
        <v>133.5</v>
      </c>
      <c r="V78" s="99">
        <v>134.30000000000001</v>
      </c>
      <c r="W78" s="99">
        <v>134.30000000000001</v>
      </c>
      <c r="X78" s="99">
        <v>134.69999999999999</v>
      </c>
      <c r="Y78" s="99">
        <v>129.80000000000001</v>
      </c>
      <c r="Z78" s="99">
        <v>126.3</v>
      </c>
      <c r="AA78" s="70">
        <v>129.6</v>
      </c>
      <c r="AB78" s="70">
        <v>126.5</v>
      </c>
      <c r="AC78" s="70">
        <v>130.9</v>
      </c>
      <c r="AD78" s="70">
        <v>133.30000000000001</v>
      </c>
      <c r="AE78" s="70">
        <v>128.1</v>
      </c>
      <c r="AF78" s="100">
        <v>133</v>
      </c>
      <c r="AG78" s="101"/>
      <c r="AH78" s="52">
        <f>MAX(B78:AF78)</f>
        <v>134.69999999999999</v>
      </c>
      <c r="AI78" s="53">
        <f>MIN(B78:AF78)</f>
        <v>119</v>
      </c>
    </row>
    <row r="79" spans="1:35" ht="15.75" thickBot="1" x14ac:dyDescent="0.3">
      <c r="A79" s="98" t="s">
        <v>86</v>
      </c>
      <c r="B79" s="106">
        <v>66.599999999999994</v>
      </c>
      <c r="C79" s="106">
        <v>66.599999999999994</v>
      </c>
      <c r="D79" s="106">
        <v>66.7</v>
      </c>
      <c r="E79" s="106">
        <v>66.5</v>
      </c>
      <c r="F79" s="106">
        <v>66.3</v>
      </c>
      <c r="G79" s="106">
        <v>66.599999999999994</v>
      </c>
      <c r="H79" s="106">
        <v>65.900000000000006</v>
      </c>
      <c r="I79" s="106">
        <v>65.3</v>
      </c>
      <c r="J79" s="106">
        <v>65.2</v>
      </c>
      <c r="K79" s="106">
        <v>64.599999999999994</v>
      </c>
      <c r="L79" s="106">
        <v>63.5</v>
      </c>
      <c r="M79" s="106">
        <v>63.5</v>
      </c>
      <c r="N79" s="106">
        <v>64</v>
      </c>
      <c r="O79" s="106">
        <v>65.5</v>
      </c>
      <c r="P79" s="106">
        <v>65.099999999999994</v>
      </c>
      <c r="Q79" s="106">
        <v>65.3</v>
      </c>
      <c r="R79" s="106">
        <v>66.400000000000006</v>
      </c>
      <c r="S79" s="106">
        <v>66.400000000000006</v>
      </c>
      <c r="T79" s="106">
        <v>65.099999999999994</v>
      </c>
      <c r="U79" s="106">
        <v>65.099999999999994</v>
      </c>
      <c r="V79" s="106">
        <v>66.2</v>
      </c>
      <c r="W79" s="106">
        <v>66.2</v>
      </c>
      <c r="X79" s="106">
        <v>65.900000000000006</v>
      </c>
      <c r="Y79" s="106">
        <v>66.099999999999994</v>
      </c>
      <c r="Z79" s="106">
        <v>66.8</v>
      </c>
      <c r="AA79" s="106">
        <v>66.3</v>
      </c>
      <c r="AB79" s="106">
        <v>66.099999999999994</v>
      </c>
      <c r="AC79" s="106">
        <v>66.2</v>
      </c>
      <c r="AD79" s="106">
        <v>65.900000000000006</v>
      </c>
      <c r="AE79" s="106">
        <v>66</v>
      </c>
      <c r="AF79" s="107">
        <v>66.7</v>
      </c>
      <c r="AG79" s="108"/>
      <c r="AH79" s="52">
        <f>MAX(B79:AF79)</f>
        <v>66.8</v>
      </c>
      <c r="AI79" s="53">
        <f>MIN(B79:AF79)</f>
        <v>63.5</v>
      </c>
    </row>
    <row r="80" spans="1:35" x14ac:dyDescent="0.25">
      <c r="A80" s="109" t="s">
        <v>87</v>
      </c>
      <c r="B80" s="110">
        <f t="shared" ref="B80:AF80" si="19">SUMIF(B48:B57,"&gt;0")</f>
        <v>243</v>
      </c>
      <c r="C80" s="110">
        <f t="shared" si="19"/>
        <v>247</v>
      </c>
      <c r="D80" s="110">
        <f t="shared" si="19"/>
        <v>259.8</v>
      </c>
      <c r="E80" s="110">
        <f t="shared" si="19"/>
        <v>267.10000000000002</v>
      </c>
      <c r="F80" s="110">
        <f t="shared" si="19"/>
        <v>261.60000000000002</v>
      </c>
      <c r="G80" s="110">
        <f t="shared" si="19"/>
        <v>203.7</v>
      </c>
      <c r="H80" s="110">
        <f t="shared" si="19"/>
        <v>235.3</v>
      </c>
      <c r="I80" s="110">
        <f t="shared" si="19"/>
        <v>284.8</v>
      </c>
      <c r="J80" s="110">
        <f t="shared" si="19"/>
        <v>310.35000000000002</v>
      </c>
      <c r="K80" s="110">
        <f t="shared" si="19"/>
        <v>368.6</v>
      </c>
      <c r="L80" s="110">
        <f t="shared" si="19"/>
        <v>365.8</v>
      </c>
      <c r="M80" s="110">
        <f t="shared" si="19"/>
        <v>384.2</v>
      </c>
      <c r="N80" s="110">
        <f t="shared" si="19"/>
        <v>395</v>
      </c>
      <c r="O80" s="110">
        <f t="shared" si="19"/>
        <v>391</v>
      </c>
      <c r="P80" s="110">
        <f t="shared" si="19"/>
        <v>383</v>
      </c>
      <c r="Q80" s="110">
        <f t="shared" si="19"/>
        <v>393</v>
      </c>
      <c r="R80" s="110">
        <f t="shared" si="19"/>
        <v>361</v>
      </c>
      <c r="S80" s="110">
        <f t="shared" si="19"/>
        <v>397.6</v>
      </c>
      <c r="T80" s="110">
        <f t="shared" si="19"/>
        <v>382</v>
      </c>
      <c r="U80" s="110">
        <f t="shared" si="19"/>
        <v>358.5</v>
      </c>
      <c r="V80" s="110">
        <f t="shared" si="19"/>
        <v>317.5</v>
      </c>
      <c r="W80" s="110">
        <f t="shared" si="19"/>
        <v>301.5</v>
      </c>
      <c r="X80" s="110">
        <f t="shared" si="19"/>
        <v>330.5</v>
      </c>
      <c r="Y80" s="110">
        <f t="shared" si="19"/>
        <v>351</v>
      </c>
      <c r="Z80" s="110">
        <f t="shared" si="19"/>
        <v>393</v>
      </c>
      <c r="AA80" s="110">
        <f t="shared" si="19"/>
        <v>457.3</v>
      </c>
      <c r="AB80" s="110">
        <f t="shared" si="19"/>
        <v>456</v>
      </c>
      <c r="AC80" s="110">
        <f t="shared" si="19"/>
        <v>423.64000000000004</v>
      </c>
      <c r="AD80" s="110">
        <f t="shared" si="19"/>
        <v>323</v>
      </c>
      <c r="AE80" s="110">
        <f t="shared" si="19"/>
        <v>245.86</v>
      </c>
      <c r="AF80" s="110">
        <f t="shared" si="19"/>
        <v>200.49</v>
      </c>
      <c r="AG80" s="111"/>
      <c r="AH80" s="52">
        <f>MAX(B80:AF80)</f>
        <v>457.3</v>
      </c>
      <c r="AI80" s="53">
        <f>MIN(B80:AF80)</f>
        <v>200.49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144.21999999999997</v>
      </c>
      <c r="C82" s="115">
        <f t="shared" ref="C82:AF82" si="20">C11+C13+C17+C34+C36+C38+C40+C94+C108+C110+C121+C127+C130+C139+C143+C144+C147+C154+C159+C162+C163+C164+C172+C177+C83+C84+C85+C86+C99</f>
        <v>133.21999999999997</v>
      </c>
      <c r="D82" s="115">
        <f t="shared" si="20"/>
        <v>131.41999999999996</v>
      </c>
      <c r="E82" s="115">
        <f t="shared" si="20"/>
        <v>132.72</v>
      </c>
      <c r="F82" s="115">
        <f t="shared" si="20"/>
        <v>142.32</v>
      </c>
      <c r="G82" s="115">
        <f t="shared" si="20"/>
        <v>168.51999999999998</v>
      </c>
      <c r="H82" s="115">
        <f t="shared" si="20"/>
        <v>176.92</v>
      </c>
      <c r="I82" s="115">
        <f t="shared" si="20"/>
        <v>216.41999999999996</v>
      </c>
      <c r="J82" s="115">
        <f t="shared" si="20"/>
        <v>230.62</v>
      </c>
      <c r="K82" s="115">
        <f t="shared" si="20"/>
        <v>241.82</v>
      </c>
      <c r="L82" s="115">
        <f t="shared" si="20"/>
        <v>228.42</v>
      </c>
      <c r="M82" s="115">
        <f t="shared" si="20"/>
        <v>245.42</v>
      </c>
      <c r="N82" s="115">
        <f t="shared" si="20"/>
        <v>237.11999999999998</v>
      </c>
      <c r="O82" s="115">
        <f t="shared" si="20"/>
        <v>241.82000000000002</v>
      </c>
      <c r="P82" s="115">
        <f t="shared" si="20"/>
        <v>235.02</v>
      </c>
      <c r="Q82" s="115">
        <f t="shared" si="20"/>
        <v>199.62</v>
      </c>
      <c r="R82" s="115">
        <f t="shared" si="20"/>
        <v>195.52</v>
      </c>
      <c r="S82" s="115">
        <f t="shared" si="20"/>
        <v>204.22</v>
      </c>
      <c r="T82" s="115">
        <f t="shared" si="20"/>
        <v>204.72</v>
      </c>
      <c r="U82" s="115">
        <f t="shared" si="20"/>
        <v>205.72</v>
      </c>
      <c r="V82" s="115">
        <f t="shared" si="20"/>
        <v>210.72</v>
      </c>
      <c r="W82" s="115">
        <f t="shared" si="20"/>
        <v>212.01999999999998</v>
      </c>
      <c r="X82" s="115">
        <f t="shared" si="20"/>
        <v>222.62000000000003</v>
      </c>
      <c r="Y82" s="115">
        <f t="shared" si="20"/>
        <v>267.91999999999996</v>
      </c>
      <c r="Z82" s="115">
        <f t="shared" si="20"/>
        <v>291.82</v>
      </c>
      <c r="AA82" s="115">
        <f t="shared" si="20"/>
        <v>267.81999999999994</v>
      </c>
      <c r="AB82" s="115">
        <f t="shared" si="20"/>
        <v>249.92</v>
      </c>
      <c r="AC82" s="115">
        <f t="shared" si="20"/>
        <v>231.42000000000002</v>
      </c>
      <c r="AD82" s="115">
        <f t="shared" si="20"/>
        <v>184.22</v>
      </c>
      <c r="AE82" s="115">
        <f t="shared" si="20"/>
        <v>155.21999999999997</v>
      </c>
      <c r="AF82" s="115">
        <f t="shared" si="20"/>
        <v>134.22</v>
      </c>
      <c r="AG82" s="116"/>
      <c r="AH82" s="52">
        <f>MAX(B82:AF82)</f>
        <v>291.82</v>
      </c>
      <c r="AI82" s="53">
        <f>MIN(B82:AF82)</f>
        <v>131.41999999999996</v>
      </c>
    </row>
    <row r="83" spans="1:37" x14ac:dyDescent="0.25">
      <c r="A83" s="117" t="s">
        <v>89</v>
      </c>
      <c r="B83" s="118">
        <v>39</v>
      </c>
      <c r="C83" s="118">
        <v>43</v>
      </c>
      <c r="D83" s="118">
        <v>40.1</v>
      </c>
      <c r="E83" s="118">
        <v>40.5</v>
      </c>
      <c r="F83" s="118">
        <v>42.8</v>
      </c>
      <c r="G83" s="118">
        <v>52.2</v>
      </c>
      <c r="H83" s="118">
        <v>56.8</v>
      </c>
      <c r="I83" s="118">
        <v>55.1</v>
      </c>
      <c r="J83" s="118">
        <v>50.6</v>
      </c>
      <c r="K83" s="118">
        <v>50.6</v>
      </c>
      <c r="L83" s="118">
        <v>48.3</v>
      </c>
      <c r="M83" s="118">
        <v>49</v>
      </c>
      <c r="N83" s="118">
        <v>45</v>
      </c>
      <c r="O83" s="118">
        <v>41.8</v>
      </c>
      <c r="P83" s="118">
        <v>39.799999999999997</v>
      </c>
      <c r="Q83" s="118">
        <v>35.6</v>
      </c>
      <c r="R83" s="118">
        <v>36</v>
      </c>
      <c r="S83" s="118">
        <v>25</v>
      </c>
      <c r="T83" s="118">
        <v>45</v>
      </c>
      <c r="U83" s="118">
        <v>67.5</v>
      </c>
      <c r="V83" s="118">
        <v>54</v>
      </c>
      <c r="W83" s="118">
        <v>30</v>
      </c>
      <c r="X83" s="118">
        <v>29</v>
      </c>
      <c r="Y83" s="118">
        <v>38</v>
      </c>
      <c r="Z83" s="118">
        <v>35</v>
      </c>
      <c r="AA83" s="50">
        <v>31.9</v>
      </c>
      <c r="AB83" s="50">
        <v>38.200000000000003</v>
      </c>
      <c r="AC83" s="50">
        <v>46.9</v>
      </c>
      <c r="AD83" s="50">
        <v>42.2</v>
      </c>
      <c r="AE83" s="50">
        <v>43.1</v>
      </c>
      <c r="AF83" s="119">
        <v>55.2</v>
      </c>
      <c r="AG83" s="120">
        <v>75</v>
      </c>
      <c r="AH83" s="52">
        <f>IF(ABS(MAX(B83:AF83))&gt;ABS(MIN(B83:AF83)),MAX(B83:AF83),MIN(B83:AF83))</f>
        <v>67.5</v>
      </c>
      <c r="AI83" s="121">
        <f>INDEX($B$9:$AF$9,1,MATCH(AH83,B83:AF83,0))</f>
        <v>0.70833333333333304</v>
      </c>
    </row>
    <row r="84" spans="1:37" x14ac:dyDescent="0.25">
      <c r="A84" s="122" t="s">
        <v>90</v>
      </c>
      <c r="B84" s="83">
        <v>-50</v>
      </c>
      <c r="C84" s="83">
        <v>-54</v>
      </c>
      <c r="D84" s="83">
        <v>-46</v>
      </c>
      <c r="E84" s="83">
        <v>-43</v>
      </c>
      <c r="F84" s="83">
        <v>-33</v>
      </c>
      <c r="G84" s="83">
        <v>-50</v>
      </c>
      <c r="H84" s="83">
        <v>-48</v>
      </c>
      <c r="I84" s="83">
        <v>15.2</v>
      </c>
      <c r="J84" s="83">
        <v>28.5</v>
      </c>
      <c r="K84" s="83">
        <v>40</v>
      </c>
      <c r="L84" s="83">
        <v>28.6</v>
      </c>
      <c r="M84" s="83">
        <v>33.6</v>
      </c>
      <c r="N84" s="83">
        <v>30</v>
      </c>
      <c r="O84" s="83">
        <v>-15</v>
      </c>
      <c r="P84" s="83">
        <f>-5.5-10.7</f>
        <v>-16.2</v>
      </c>
      <c r="Q84" s="83">
        <v>-32</v>
      </c>
      <c r="R84" s="83">
        <v>-30</v>
      </c>
      <c r="S84" s="83">
        <v>2</v>
      </c>
      <c r="T84" s="83">
        <v>-15</v>
      </c>
      <c r="U84" s="83">
        <v>-32</v>
      </c>
      <c r="V84" s="83">
        <v>-23</v>
      </c>
      <c r="W84" s="83">
        <v>-3</v>
      </c>
      <c r="X84" s="83">
        <v>0</v>
      </c>
      <c r="Y84" s="83">
        <v>-1</v>
      </c>
      <c r="Z84" s="83">
        <v>-6</v>
      </c>
      <c r="AA84" s="70">
        <v>4</v>
      </c>
      <c r="AB84" s="70">
        <v>-3</v>
      </c>
      <c r="AC84" s="70">
        <v>-9.8000000000000007</v>
      </c>
      <c r="AD84" s="70">
        <v>-41</v>
      </c>
      <c r="AE84" s="70">
        <v>-50.5</v>
      </c>
      <c r="AF84" s="123">
        <v>-54</v>
      </c>
      <c r="AG84" s="120">
        <v>240</v>
      </c>
      <c r="AH84" s="52">
        <f>IF(ABS(MAX(B84:AF84))&gt;ABS(MIN(B84:AF84)),MAX(B84:AF84),MIN(B84:AF84))</f>
        <v>-54</v>
      </c>
      <c r="AI84" s="121">
        <f>INDEX($B$9:$AF$9,1,MATCH(AH84,B84:AF84,0))</f>
        <v>8.3333333333333301E-2</v>
      </c>
    </row>
    <row r="85" spans="1:37" x14ac:dyDescent="0.25">
      <c r="A85" s="122" t="s">
        <v>91</v>
      </c>
      <c r="B85" s="83">
        <v>14</v>
      </c>
      <c r="C85" s="83">
        <v>10</v>
      </c>
      <c r="D85" s="83">
        <v>3.8</v>
      </c>
      <c r="E85" s="83">
        <v>3</v>
      </c>
      <c r="F85" s="83">
        <v>-5.5</v>
      </c>
      <c r="G85" s="83">
        <v>12</v>
      </c>
      <c r="H85" s="83">
        <v>13</v>
      </c>
      <c r="I85" s="83">
        <v>29.8</v>
      </c>
      <c r="J85" s="83">
        <v>34.9</v>
      </c>
      <c r="K85" s="83">
        <v>34.1</v>
      </c>
      <c r="L85" s="83">
        <v>36.200000000000003</v>
      </c>
      <c r="M85" s="83">
        <v>45</v>
      </c>
      <c r="N85" s="83">
        <v>45</v>
      </c>
      <c r="O85" s="83">
        <v>26.8</v>
      </c>
      <c r="P85" s="83">
        <v>23.5</v>
      </c>
      <c r="Q85" s="83">
        <v>19.100000000000001</v>
      </c>
      <c r="R85" s="83">
        <v>20</v>
      </c>
      <c r="S85" s="83">
        <v>12</v>
      </c>
      <c r="T85" s="83">
        <v>8</v>
      </c>
      <c r="U85" s="83">
        <v>3.3</v>
      </c>
      <c r="V85" s="83">
        <v>8</v>
      </c>
      <c r="W85" s="83">
        <v>9.5</v>
      </c>
      <c r="X85" s="83">
        <v>10.8</v>
      </c>
      <c r="Y85" s="83">
        <v>19.399999999999999</v>
      </c>
      <c r="Z85" s="83">
        <v>41</v>
      </c>
      <c r="AA85" s="70">
        <v>22.4</v>
      </c>
      <c r="AB85" s="70">
        <v>15.5</v>
      </c>
      <c r="AC85" s="70">
        <v>6.9</v>
      </c>
      <c r="AD85" s="70">
        <v>20.3</v>
      </c>
      <c r="AE85" s="70">
        <v>24.9</v>
      </c>
      <c r="AF85" s="123">
        <v>20.2</v>
      </c>
      <c r="AG85" s="120">
        <v>60</v>
      </c>
      <c r="AH85" s="52">
        <f>IF(ABS(MAX(B85:AF85))&gt;ABS(MIN(B85:AF85)),MAX(B85:AF85),MIN(B85:AF85))</f>
        <v>45</v>
      </c>
      <c r="AI85" s="121">
        <f>INDEX($B$9:$AF$9,1,MATCH(AH85,B85:AF85,0))</f>
        <v>0.375</v>
      </c>
    </row>
    <row r="86" spans="1:37" x14ac:dyDescent="0.25">
      <c r="A86" s="124" t="s">
        <v>92</v>
      </c>
      <c r="B86" s="85">
        <v>-54</v>
      </c>
      <c r="C86" s="85">
        <v>-61</v>
      </c>
      <c r="D86" s="85">
        <v>-61.2</v>
      </c>
      <c r="E86" s="85">
        <v>-63</v>
      </c>
      <c r="F86" s="85">
        <v>-57.3</v>
      </c>
      <c r="G86" s="85">
        <v>-43.5</v>
      </c>
      <c r="H86" s="85">
        <v>-43.6</v>
      </c>
      <c r="I86" s="85">
        <v>-34.9</v>
      </c>
      <c r="J86" s="85">
        <v>-35.1</v>
      </c>
      <c r="K86" s="85">
        <v>-34.6</v>
      </c>
      <c r="L86" s="85">
        <v>-35.799999999999997</v>
      </c>
      <c r="M86" s="85">
        <v>-34</v>
      </c>
      <c r="N86" s="85">
        <v>-35</v>
      </c>
      <c r="O86" s="85">
        <v>-4.7</v>
      </c>
      <c r="P86" s="85">
        <v>-6.2</v>
      </c>
      <c r="Q86" s="85">
        <v>-16.100000000000001</v>
      </c>
      <c r="R86" s="85">
        <v>-20</v>
      </c>
      <c r="S86" s="85">
        <v>-27</v>
      </c>
      <c r="T86" s="85">
        <v>-27</v>
      </c>
      <c r="U86" s="85">
        <v>-26.8</v>
      </c>
      <c r="V86" s="85">
        <v>-22</v>
      </c>
      <c r="W86" s="85">
        <v>-23.8</v>
      </c>
      <c r="X86" s="85">
        <v>-20</v>
      </c>
      <c r="Y86" s="85">
        <v>4.5</v>
      </c>
      <c r="Z86" s="85">
        <v>16</v>
      </c>
      <c r="AA86" s="125">
        <v>14.4</v>
      </c>
      <c r="AB86" s="125">
        <v>4.5</v>
      </c>
      <c r="AC86" s="125">
        <v>-6.8</v>
      </c>
      <c r="AD86" s="125">
        <v>-31</v>
      </c>
      <c r="AE86" s="125">
        <v>-57</v>
      </c>
      <c r="AF86" s="126">
        <v>-73.2</v>
      </c>
      <c r="AG86" s="127">
        <v>120</v>
      </c>
      <c r="AH86" s="52">
        <f>IF(ABS(MAX(B86:AF86))&gt;ABS(MIN(B86:AF86)),MAX(B86:AF86),MIN(B86:AF86))</f>
        <v>-73.2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85">
        <v>38</v>
      </c>
      <c r="C87" s="85">
        <v>34</v>
      </c>
      <c r="D87" s="85">
        <v>46.9</v>
      </c>
      <c r="E87" s="85">
        <v>52.3</v>
      </c>
      <c r="F87" s="85">
        <v>56.7</v>
      </c>
      <c r="G87" s="85">
        <v>12.6</v>
      </c>
      <c r="H87" s="85">
        <v>12.6</v>
      </c>
      <c r="I87" s="85">
        <v>54.6</v>
      </c>
      <c r="J87" s="85">
        <v>71.2</v>
      </c>
      <c r="K87" s="85">
        <v>94.6</v>
      </c>
      <c r="L87" s="85">
        <v>101</v>
      </c>
      <c r="M87" s="85">
        <v>96</v>
      </c>
      <c r="N87" s="85">
        <v>100</v>
      </c>
      <c r="O87" s="85">
        <v>70</v>
      </c>
      <c r="P87" s="85">
        <v>67.8</v>
      </c>
      <c r="Q87" s="85">
        <v>84</v>
      </c>
      <c r="R87" s="85">
        <v>85</v>
      </c>
      <c r="S87" s="85">
        <v>57</v>
      </c>
      <c r="T87" s="85">
        <v>50</v>
      </c>
      <c r="U87" s="85">
        <v>36</v>
      </c>
      <c r="V87" s="85">
        <v>50</v>
      </c>
      <c r="W87" s="85">
        <v>72</v>
      </c>
      <c r="X87" s="85">
        <v>78</v>
      </c>
      <c r="Y87" s="85">
        <v>63.8</v>
      </c>
      <c r="Z87" s="85">
        <v>45</v>
      </c>
      <c r="AA87" s="125">
        <v>46.5</v>
      </c>
      <c r="AB87" s="125">
        <v>45.9</v>
      </c>
      <c r="AC87" s="125">
        <v>41.7</v>
      </c>
      <c r="AD87" s="125">
        <v>35.5</v>
      </c>
      <c r="AE87" s="125">
        <v>22</v>
      </c>
      <c r="AF87" s="126">
        <v>21.2</v>
      </c>
      <c r="AG87" s="127"/>
      <c r="AH87" s="52">
        <f>IF(ABS(MAX(B87:AF87))&gt;ABS(MIN(B87:AF87)),MAX(B87:AF87),MIN(B87:AF87))</f>
        <v>101</v>
      </c>
      <c r="AI87" s="121">
        <f>INDEX($B$9:$AF$9,1,MATCH(AH87,B87:AF87,0))</f>
        <v>0.33333333333333331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1188.44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25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25)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25)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1096.6399999999999</v>
      </c>
      <c r="U193" s="173">
        <f t="shared" si="37"/>
        <v>1067.3400000000001</v>
      </c>
      <c r="V193" s="173">
        <f t="shared" si="37"/>
        <v>1065.8399999999999</v>
      </c>
      <c r="W193" s="173">
        <f t="shared" si="37"/>
        <v>1056.74</v>
      </c>
      <c r="X193" s="173">
        <f t="shared" si="37"/>
        <v>1048.04</v>
      </c>
      <c r="Y193" s="173">
        <f t="shared" si="37"/>
        <v>1034.3400000000001</v>
      </c>
      <c r="Z193" s="173">
        <f t="shared" si="37"/>
        <v>1076.74</v>
      </c>
      <c r="AA193" s="173">
        <f t="shared" si="37"/>
        <v>1077.6399999999999</v>
      </c>
      <c r="AB193" s="173">
        <f t="shared" si="37"/>
        <v>1110.0900000000001</v>
      </c>
      <c r="AC193" s="173">
        <f t="shared" si="37"/>
        <v>1142.04</v>
      </c>
      <c r="AD193" s="173">
        <f t="shared" si="37"/>
        <v>1149.0400000000002</v>
      </c>
      <c r="AE193" s="173">
        <f t="shared" si="37"/>
        <v>1188.44</v>
      </c>
      <c r="AF193" s="173">
        <f t="shared" si="37"/>
        <v>1195.94</v>
      </c>
      <c r="AG193" s="173">
        <f t="shared" si="37"/>
        <v>1205.94</v>
      </c>
      <c r="AH193" s="173">
        <f t="shared" si="37"/>
        <v>1166.44</v>
      </c>
      <c r="AI193" s="173">
        <f t="shared" si="37"/>
        <v>1178.04</v>
      </c>
      <c r="AJ193" s="173">
        <f t="shared" si="37"/>
        <v>1141.04</v>
      </c>
      <c r="AK193" s="173">
        <f t="shared" si="37"/>
        <v>1105.1399999999999</v>
      </c>
      <c r="AL193" s="173">
        <f t="shared" si="37"/>
        <v>1087.74</v>
      </c>
      <c r="AM193" s="173">
        <f t="shared" si="37"/>
        <v>1104.1399999999999</v>
      </c>
      <c r="AN193" s="173">
        <f t="shared" si="37"/>
        <v>1063.1399999999999</v>
      </c>
      <c r="AO193" s="173">
        <f t="shared" si="37"/>
        <v>1018.84</v>
      </c>
      <c r="AP193" s="173">
        <f t="shared" si="37"/>
        <v>1057.1399999999999</v>
      </c>
      <c r="AQ193" s="173">
        <f t="shared" si="37"/>
        <v>1078.94</v>
      </c>
      <c r="AR193" s="173">
        <f t="shared" si="37"/>
        <v>1241.94</v>
      </c>
      <c r="AS193" s="173">
        <f t="shared" si="37"/>
        <v>1271.8399999999999</v>
      </c>
      <c r="AT193" s="173">
        <f t="shared" si="37"/>
        <v>1255.24</v>
      </c>
      <c r="AU193" s="173">
        <f t="shared" si="37"/>
        <v>1211.68</v>
      </c>
      <c r="AV193" s="173">
        <f t="shared" si="37"/>
        <v>1154.8399999999999</v>
      </c>
      <c r="AW193" s="173">
        <f t="shared" si="37"/>
        <v>1105</v>
      </c>
      <c r="AX193" s="173">
        <f t="shared" si="37"/>
        <v>1086.8300000000002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481" priority="157">
      <formula>S$9&gt;=20/24</formula>
    </cfRule>
    <cfRule type="expression" dxfId="1480" priority="158">
      <formula>AND(S$9&gt;=14/24,S$9&lt;20/24)</formula>
    </cfRule>
    <cfRule type="expression" dxfId="1479" priority="159">
      <formula>AND(S$9&gt;=8/24,S$9&lt;14/24)</formula>
    </cfRule>
    <cfRule type="expression" dxfId="1478" priority="160">
      <formula>S$9&lt;8/24</formula>
    </cfRule>
  </conditionalFormatting>
  <conditionalFormatting sqref="B8:AF10 AA70:AF70 B70:Q70 L32:Z33 L31:Q31 B47:AF47 B71:AF71 B48:K50 C173:AF179 M36 N35:Q36 L29:Q29 L34:Q34 L49:T50 V35:W35 S34:W34 X34:Z35 AA72:AF79 AA48:AF51 R11:T11 B59:AF69 D51:K51 B51:C58 D52:F52 G52:K58 O31:O39 P72:Q72 B72:O79 L51:Q58 M37:Z39 R34:R36 T11:Z12 S32:V36 P73:Z79 Y32:Y35 L44:AF46 R52:Z58">
    <cfRule type="expression" dxfId="1477" priority="153">
      <formula>B$9&gt;=20/24</formula>
    </cfRule>
    <cfRule type="expression" dxfId="1476" priority="154">
      <formula>AND(B$9&gt;=14/24,B$9&lt;20/24)</formula>
    </cfRule>
    <cfRule type="expression" dxfId="1475" priority="155">
      <formula>AND(B$9&gt;=8/24,B$9&lt;14/24)</formula>
    </cfRule>
    <cfRule type="expression" dxfId="1474" priority="156">
      <formula>B$9&lt;8/24</formula>
    </cfRule>
  </conditionalFormatting>
  <conditionalFormatting sqref="B171:AF171">
    <cfRule type="expression" dxfId="1473" priority="149">
      <formula>B$9&gt;=20/24</formula>
    </cfRule>
    <cfRule type="expression" dxfId="1472" priority="150">
      <formula>AND(B$9&gt;=14/24,B$9&lt;20/24)</formula>
    </cfRule>
    <cfRule type="expression" dxfId="1471" priority="151">
      <formula>AND(B$9&gt;=8/24,B$9&lt;14/24)</formula>
    </cfRule>
    <cfRule type="expression" dxfId="1470" priority="152">
      <formula>B$9&lt;8/24</formula>
    </cfRule>
  </conditionalFormatting>
  <conditionalFormatting sqref="AL4:AL6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469" priority="144">
      <formula>L$9&gt;=20/24</formula>
    </cfRule>
    <cfRule type="expression" dxfId="1468" priority="145">
      <formula>AND(L$9&gt;=14/24,L$9&lt;20/24)</formula>
    </cfRule>
    <cfRule type="expression" dxfId="1467" priority="146">
      <formula>AND(L$9&gt;=8/24,L$9&lt;14/24)</formula>
    </cfRule>
    <cfRule type="expression" dxfId="1466" priority="147">
      <formula>L$9&lt;8/24</formula>
    </cfRule>
  </conditionalFormatting>
  <conditionalFormatting sqref="L35:M35">
    <cfRule type="expression" dxfId="1465" priority="140">
      <formula>L$9&gt;=20/24</formula>
    </cfRule>
    <cfRule type="expression" dxfId="1464" priority="141">
      <formula>AND(L$9&gt;=14/24,L$9&lt;20/24)</formula>
    </cfRule>
    <cfRule type="expression" dxfId="1463" priority="142">
      <formula>AND(L$9&gt;=8/24,L$9&lt;14/24)</formula>
    </cfRule>
    <cfRule type="expression" dxfId="1462" priority="143">
      <formula>L$9&lt;8/24</formula>
    </cfRule>
  </conditionalFormatting>
  <conditionalFormatting sqref="T13:Z13">
    <cfRule type="expression" dxfId="1461" priority="136">
      <formula>T$9&gt;=20/24</formula>
    </cfRule>
    <cfRule type="expression" dxfId="1460" priority="137">
      <formula>AND(T$9&gt;=14/24,T$9&lt;20/24)</formula>
    </cfRule>
    <cfRule type="expression" dxfId="1459" priority="138">
      <formula>AND(T$9&gt;=8/24,T$9&lt;14/24)</formula>
    </cfRule>
    <cfRule type="expression" dxfId="1458" priority="139">
      <formula>T$9&lt;8/24</formula>
    </cfRule>
  </conditionalFormatting>
  <conditionalFormatting sqref="R31:Z31">
    <cfRule type="expression" dxfId="1457" priority="132">
      <formula>R$9&gt;=20/24</formula>
    </cfRule>
    <cfRule type="expression" dxfId="1456" priority="133">
      <formula>AND(R$9&gt;=14/24,R$9&lt;20/24)</formula>
    </cfRule>
    <cfRule type="expression" dxfId="1455" priority="134">
      <formula>AND(R$9&gt;=8/24,R$9&lt;14/24)</formula>
    </cfRule>
    <cfRule type="expression" dxfId="1454" priority="135">
      <formula>R$9&lt;8/24</formula>
    </cfRule>
  </conditionalFormatting>
  <conditionalFormatting sqref="R48:Z48">
    <cfRule type="expression" dxfId="1453" priority="128">
      <formula>R$9&gt;=20/24</formula>
    </cfRule>
    <cfRule type="expression" dxfId="1452" priority="129">
      <formula>AND(R$9&gt;=14/24,R$9&lt;20/24)</formula>
    </cfRule>
    <cfRule type="expression" dxfId="1451" priority="130">
      <formula>AND(R$9&gt;=8/24,R$9&lt;14/24)</formula>
    </cfRule>
    <cfRule type="expression" dxfId="1450" priority="131">
      <formula>R$9&lt;8/24</formula>
    </cfRule>
  </conditionalFormatting>
  <conditionalFormatting sqref="R70:Z70">
    <cfRule type="expression" dxfId="1449" priority="124">
      <formula>R$9&gt;=20/24</formula>
    </cfRule>
    <cfRule type="expression" dxfId="1448" priority="125">
      <formula>AND(R$9&gt;=14/24,R$9&lt;20/24)</formula>
    </cfRule>
    <cfRule type="expression" dxfId="1447" priority="126">
      <formula>AND(R$9&gt;=8/24,R$9&lt;14/24)</formula>
    </cfRule>
    <cfRule type="expression" dxfId="1446" priority="127">
      <formula>R$9&lt;8/24</formula>
    </cfRule>
  </conditionalFormatting>
  <conditionalFormatting sqref="R72:Z72">
    <cfRule type="expression" dxfId="1445" priority="120">
      <formula>R$9&gt;=20/24</formula>
    </cfRule>
    <cfRule type="expression" dxfId="1444" priority="121">
      <formula>AND(R$9&gt;=14/24,R$9&lt;20/24)</formula>
    </cfRule>
    <cfRule type="expression" dxfId="1443" priority="122">
      <formula>AND(R$9&gt;=8/24,R$9&lt;14/24)</formula>
    </cfRule>
    <cfRule type="expression" dxfId="1442" priority="123">
      <formula>R$9&lt;8/24</formula>
    </cfRule>
  </conditionalFormatting>
  <conditionalFormatting sqref="L11:Z27">
    <cfRule type="expression" dxfId="1441" priority="116">
      <formula>L$9&gt;=20/24</formula>
    </cfRule>
    <cfRule type="expression" dxfId="1440" priority="117">
      <formula>AND(L$9&gt;=14/24,L$9&lt;20/24)</formula>
    </cfRule>
    <cfRule type="expression" dxfId="1439" priority="118">
      <formula>AND(L$9&gt;=8/24,L$9&lt;14/24)</formula>
    </cfRule>
    <cfRule type="expression" dxfId="1438" priority="119">
      <formula>L$9&lt;8/24</formula>
    </cfRule>
  </conditionalFormatting>
  <conditionalFormatting sqref="L40:Z40">
    <cfRule type="expression" dxfId="1437" priority="112">
      <formula>L$9&gt;=20/24</formula>
    </cfRule>
    <cfRule type="expression" dxfId="1436" priority="113">
      <formula>AND(L$9&gt;=14/24,L$9&lt;20/24)</formula>
    </cfRule>
    <cfRule type="expression" dxfId="1435" priority="114">
      <formula>AND(L$9&gt;=8/24,L$9&lt;14/24)</formula>
    </cfRule>
    <cfRule type="expression" dxfId="1434" priority="115">
      <formula>L$9&lt;8/24</formula>
    </cfRule>
  </conditionalFormatting>
  <conditionalFormatting sqref="L41:Z41">
    <cfRule type="expression" dxfId="1433" priority="108">
      <formula>L$9&gt;=20/24</formula>
    </cfRule>
    <cfRule type="expression" dxfId="1432" priority="109">
      <formula>AND(L$9&gt;=14/24,L$9&lt;20/24)</formula>
    </cfRule>
    <cfRule type="expression" dxfId="1431" priority="110">
      <formula>AND(L$9&gt;=8/24,L$9&lt;14/24)</formula>
    </cfRule>
    <cfRule type="expression" dxfId="1430" priority="111">
      <formula>L$9&lt;8/24</formula>
    </cfRule>
  </conditionalFormatting>
  <conditionalFormatting sqref="L36:L39">
    <cfRule type="expression" dxfId="1429" priority="104">
      <formula>L$9&gt;=20/24</formula>
    </cfRule>
    <cfRule type="expression" dxfId="1428" priority="105">
      <formula>AND(L$9&gt;=14/24,L$9&lt;20/24)</formula>
    </cfRule>
    <cfRule type="expression" dxfId="1427" priority="106">
      <formula>AND(L$9&gt;=8/24,L$9&lt;14/24)</formula>
    </cfRule>
    <cfRule type="expression" dxfId="1426" priority="107">
      <formula>L$9&lt;8/24</formula>
    </cfRule>
  </conditionalFormatting>
  <conditionalFormatting sqref="R29:AD29">
    <cfRule type="expression" dxfId="1425" priority="100">
      <formula>R$9&gt;=20/24</formula>
    </cfRule>
    <cfRule type="expression" dxfId="1424" priority="101">
      <formula>AND(R$9&gt;=14/24,R$9&lt;20/24)</formula>
    </cfRule>
    <cfRule type="expression" dxfId="1423" priority="102">
      <formula>AND(R$9&gt;=8/24,R$9&lt;14/24)</formula>
    </cfRule>
    <cfRule type="expression" dxfId="1422" priority="103">
      <formula>R$9&lt;8/24</formula>
    </cfRule>
  </conditionalFormatting>
  <conditionalFormatting sqref="R12:T27 U14:Z27 AA16:AF27">
    <cfRule type="expression" dxfId="1421" priority="96">
      <formula>R$9&gt;=20/24</formula>
    </cfRule>
    <cfRule type="expression" dxfId="1420" priority="97">
      <formula>AND(R$9&gt;=14/24,R$9&lt;20/24)</formula>
    </cfRule>
    <cfRule type="expression" dxfId="1419" priority="98">
      <formula>AND(R$9&gt;=8/24,R$9&lt;14/24)</formula>
    </cfRule>
    <cfRule type="expression" dxfId="1418" priority="99">
      <formula>R$9&lt;8/24</formula>
    </cfRule>
  </conditionalFormatting>
  <conditionalFormatting sqref="R34:U39 V34:V36 V36:Z39">
    <cfRule type="expression" dxfId="1417" priority="92">
      <formula>R$9&gt;=20/24</formula>
    </cfRule>
    <cfRule type="expression" dxfId="1416" priority="93">
      <formula>AND(R$9&gt;=14/24,R$9&lt;20/24)</formula>
    </cfRule>
    <cfRule type="expression" dxfId="1415" priority="94">
      <formula>AND(R$9&gt;=8/24,R$9&lt;14/24)</formula>
    </cfRule>
    <cfRule type="expression" dxfId="1414" priority="95">
      <formula>R$9&lt;8/24</formula>
    </cfRule>
  </conditionalFormatting>
  <conditionalFormatting sqref="R40:Z40">
    <cfRule type="expression" dxfId="1413" priority="88">
      <formula>R$9&gt;=20/24</formula>
    </cfRule>
    <cfRule type="expression" dxfId="1412" priority="89">
      <formula>AND(R$9&gt;=14/24,R$9&lt;20/24)</formula>
    </cfRule>
    <cfRule type="expression" dxfId="1411" priority="90">
      <formula>AND(R$9&gt;=8/24,R$9&lt;14/24)</formula>
    </cfRule>
    <cfRule type="expression" dxfId="1410" priority="91">
      <formula>R$9&lt;8/24</formula>
    </cfRule>
  </conditionalFormatting>
  <conditionalFormatting sqref="R41:Z41">
    <cfRule type="expression" dxfId="1409" priority="84">
      <formula>R$9&gt;=20/24</formula>
    </cfRule>
    <cfRule type="expression" dxfId="1408" priority="85">
      <formula>AND(R$9&gt;=14/24,R$9&lt;20/24)</formula>
    </cfRule>
    <cfRule type="expression" dxfId="1407" priority="86">
      <formula>AND(R$9&gt;=8/24,R$9&lt;14/24)</formula>
    </cfRule>
    <cfRule type="expression" dxfId="1406" priority="87">
      <formula>R$9&lt;8/24</formula>
    </cfRule>
  </conditionalFormatting>
  <conditionalFormatting sqref="R51:Z51 AB52:AF54 AB56:AF58 AC55:AF55">
    <cfRule type="expression" dxfId="1405" priority="80">
      <formula>R$9&gt;=20/24</formula>
    </cfRule>
    <cfRule type="expression" dxfId="1404" priority="81">
      <formula>AND(R$9&gt;=14/24,R$9&lt;20/24)</formula>
    </cfRule>
    <cfRule type="expression" dxfId="1403" priority="82">
      <formula>AND(R$9&gt;=8/24,R$9&lt;14/24)</formula>
    </cfRule>
    <cfRule type="expression" dxfId="1402" priority="83">
      <formula>R$9&lt;8/24</formula>
    </cfRule>
  </conditionalFormatting>
  <conditionalFormatting sqref="AA83:AF86">
    <cfRule type="expression" dxfId="1401" priority="76">
      <formula>AA$9&gt;=20/24</formula>
    </cfRule>
    <cfRule type="expression" dxfId="1400" priority="77">
      <formula>AND(AA$9&gt;=14/24,AA$9&lt;20/24)</formula>
    </cfRule>
    <cfRule type="expression" dxfId="1399" priority="78">
      <formula>AND(AA$9&gt;=8/24,AA$9&lt;14/24)</formula>
    </cfRule>
    <cfRule type="expression" dxfId="1398" priority="79">
      <formula>AA$9&lt;8/24</formula>
    </cfRule>
  </conditionalFormatting>
  <conditionalFormatting sqref="D53:F58">
    <cfRule type="expression" dxfId="1397" priority="72">
      <formula>D$9&gt;=20/24</formula>
    </cfRule>
    <cfRule type="expression" dxfId="1396" priority="73">
      <formula>AND(D$9&gt;=14/24,D$9&lt;20/24)</formula>
    </cfRule>
    <cfRule type="expression" dxfId="1395" priority="74">
      <formula>AND(D$9&gt;=8/24,D$9&lt;14/24)</formula>
    </cfRule>
    <cfRule type="expression" dxfId="1394" priority="75">
      <formula>D$9&lt;8/24</formula>
    </cfRule>
  </conditionalFormatting>
  <conditionalFormatting sqref="B83:K86">
    <cfRule type="expression" dxfId="1393" priority="68">
      <formula>B$9&gt;=20/24</formula>
    </cfRule>
    <cfRule type="expression" dxfId="1392" priority="69">
      <formula>AND(B$9&gt;=14/24,B$9&lt;20/24)</formula>
    </cfRule>
    <cfRule type="expression" dxfId="1391" priority="70">
      <formula>AND(B$9&gt;=8/24,B$9&lt;14/24)</formula>
    </cfRule>
    <cfRule type="expression" dxfId="1390" priority="71">
      <formula>B$9&lt;8/24</formula>
    </cfRule>
  </conditionalFormatting>
  <conditionalFormatting sqref="L83:Q86">
    <cfRule type="expression" dxfId="1389" priority="64">
      <formula>L$9&gt;=20/24</formula>
    </cfRule>
    <cfRule type="expression" dxfId="1388" priority="65">
      <formula>AND(L$9&gt;=14/24,L$9&lt;20/24)</formula>
    </cfRule>
    <cfRule type="expression" dxfId="1387" priority="66">
      <formula>AND(L$9&gt;=8/24,L$9&lt;14/24)</formula>
    </cfRule>
    <cfRule type="expression" dxfId="1386" priority="67">
      <formula>L$9&lt;8/24</formula>
    </cfRule>
  </conditionalFormatting>
  <conditionalFormatting sqref="R83:Z86">
    <cfRule type="expression" dxfId="1385" priority="60">
      <formula>R$9&gt;=20/24</formula>
    </cfRule>
    <cfRule type="expression" dxfId="1384" priority="61">
      <formula>AND(R$9&gt;=14/24,R$9&lt;20/24)</formula>
    </cfRule>
    <cfRule type="expression" dxfId="1383" priority="62">
      <formula>AND(R$9&gt;=8/24,R$9&lt;14/24)</formula>
    </cfRule>
    <cfRule type="expression" dxfId="1382" priority="63">
      <formula>R$9&lt;8/24</formula>
    </cfRule>
  </conditionalFormatting>
  <conditionalFormatting sqref="AG42 B11:AF47">
    <cfRule type="expression" dxfId="1381" priority="59">
      <formula>B11&gt;$AG11</formula>
    </cfRule>
  </conditionalFormatting>
  <conditionalFormatting sqref="T192:AX192">
    <cfRule type="expression" dxfId="1380" priority="55">
      <formula>T$9&gt;=20/24</formula>
    </cfRule>
    <cfRule type="expression" dxfId="1379" priority="56">
      <formula>AND(T$9&gt;=14/24,T$9&lt;20/24)</formula>
    </cfRule>
    <cfRule type="expression" dxfId="1378" priority="57">
      <formula>AND(T$9&gt;=8/24,T$9&lt;14/24)</formula>
    </cfRule>
    <cfRule type="expression" dxfId="1377" priority="58">
      <formula>T$9&lt;8/24</formula>
    </cfRule>
  </conditionalFormatting>
  <conditionalFormatting sqref="A11:A86 A88:A180">
    <cfRule type="expression" dxfId="1376" priority="54">
      <formula>$AH11=0</formula>
    </cfRule>
  </conditionalFormatting>
  <conditionalFormatting sqref="AA87:AF87">
    <cfRule type="expression" dxfId="1375" priority="50">
      <formula>AA$9&gt;=20/24</formula>
    </cfRule>
    <cfRule type="expression" dxfId="1374" priority="51">
      <formula>AND(AA$9&gt;=14/24,AA$9&lt;20/24)</formula>
    </cfRule>
    <cfRule type="expression" dxfId="1373" priority="52">
      <formula>AND(AA$9&gt;=8/24,AA$9&lt;14/24)</formula>
    </cfRule>
    <cfRule type="expression" dxfId="1372" priority="53">
      <formula>AA$9&lt;8/24</formula>
    </cfRule>
  </conditionalFormatting>
  <conditionalFormatting sqref="B87:K87">
    <cfRule type="expression" dxfId="1371" priority="46">
      <formula>B$9&gt;=20/24</formula>
    </cfRule>
    <cfRule type="expression" dxfId="1370" priority="47">
      <formula>AND(B$9&gt;=14/24,B$9&lt;20/24)</formula>
    </cfRule>
    <cfRule type="expression" dxfId="1369" priority="48">
      <formula>AND(B$9&gt;=8/24,B$9&lt;14/24)</formula>
    </cfRule>
    <cfRule type="expression" dxfId="1368" priority="49">
      <formula>B$9&lt;8/24</formula>
    </cfRule>
  </conditionalFormatting>
  <conditionalFormatting sqref="L87:Q87">
    <cfRule type="expression" dxfId="1367" priority="42">
      <formula>L$9&gt;=20/24</formula>
    </cfRule>
    <cfRule type="expression" dxfId="1366" priority="43">
      <formula>AND(L$9&gt;=14/24,L$9&lt;20/24)</formula>
    </cfRule>
    <cfRule type="expression" dxfId="1365" priority="44">
      <formula>AND(L$9&gt;=8/24,L$9&lt;14/24)</formula>
    </cfRule>
    <cfRule type="expression" dxfId="1364" priority="45">
      <formula>L$9&lt;8/24</formula>
    </cfRule>
  </conditionalFormatting>
  <conditionalFormatting sqref="R87:Z87">
    <cfRule type="expression" dxfId="1363" priority="38">
      <formula>R$9&gt;=20/24</formula>
    </cfRule>
    <cfRule type="expression" dxfId="1362" priority="39">
      <formula>AND(R$9&gt;=14/24,R$9&lt;20/24)</formula>
    </cfRule>
    <cfRule type="expression" dxfId="1361" priority="40">
      <formula>AND(R$9&gt;=8/24,R$9&lt;14/24)</formula>
    </cfRule>
    <cfRule type="expression" dxfId="1360" priority="41">
      <formula>R$9&lt;8/24</formula>
    </cfRule>
  </conditionalFormatting>
  <conditionalFormatting sqref="A87">
    <cfRule type="expression" dxfId="1359" priority="37">
      <formula>$AH87=0</formula>
    </cfRule>
  </conditionalFormatting>
  <conditionalFormatting sqref="B28:AF28">
    <cfRule type="expression" dxfId="1358" priority="33">
      <formula>B$9&gt;=20/24</formula>
    </cfRule>
    <cfRule type="expression" dxfId="1357" priority="34">
      <formula>AND(B$9&gt;=14/24,B$9&lt;20/24)</formula>
    </cfRule>
    <cfRule type="expression" dxfId="1356" priority="35">
      <formula>AND(B$9&gt;=8/24,B$9&lt;14/24)</formula>
    </cfRule>
    <cfRule type="expression" dxfId="1355" priority="36">
      <formula>B$9&lt;8/24</formula>
    </cfRule>
  </conditionalFormatting>
  <conditionalFormatting sqref="R28:AA28">
    <cfRule type="expression" dxfId="1354" priority="29">
      <formula>R$9&gt;=20/24</formula>
    </cfRule>
    <cfRule type="expression" dxfId="1353" priority="30">
      <formula>AND(R$9&gt;=14/24,R$9&lt;20/24)</formula>
    </cfRule>
    <cfRule type="expression" dxfId="1352" priority="31">
      <formula>AND(R$9&gt;=8/24,R$9&lt;14/24)</formula>
    </cfRule>
    <cfRule type="expression" dxfId="1351" priority="32">
      <formula>R$9&lt;8/24</formula>
    </cfRule>
  </conditionalFormatting>
  <conditionalFormatting sqref="AA20:AA27">
    <cfRule type="expression" dxfId="1350" priority="25">
      <formula>AA$9&gt;=20/24</formula>
    </cfRule>
    <cfRule type="expression" dxfId="1349" priority="26">
      <formula>AND(AA$9&gt;=14/24,AA$9&lt;20/24)</formula>
    </cfRule>
    <cfRule type="expression" dxfId="1348" priority="27">
      <formula>AND(AA$9&gt;=8/24,AA$9&lt;14/24)</formula>
    </cfRule>
    <cfRule type="expression" dxfId="1347" priority="28">
      <formula>AA$9&lt;8/24</formula>
    </cfRule>
  </conditionalFormatting>
  <conditionalFormatting sqref="AA52:AA58 AB55">
    <cfRule type="expression" dxfId="1346" priority="21">
      <formula>AA$9&gt;=20/24</formula>
    </cfRule>
    <cfRule type="expression" dxfId="1345" priority="22">
      <formula>AND(AA$9&gt;=14/24,AA$9&lt;20/24)</formula>
    </cfRule>
    <cfRule type="expression" dxfId="1344" priority="23">
      <formula>AND(AA$9&gt;=8/24,AA$9&lt;14/24)</formula>
    </cfRule>
    <cfRule type="expression" dxfId="1343" priority="24">
      <formula>AA$9&lt;8/24</formula>
    </cfRule>
  </conditionalFormatting>
  <conditionalFormatting sqref="AB20:AB27">
    <cfRule type="expression" dxfId="1342" priority="17">
      <formula>AB$9&gt;=20/24</formula>
    </cfRule>
    <cfRule type="expression" dxfId="1341" priority="18">
      <formula>AND(AB$9&gt;=14/24,AB$9&lt;20/24)</formula>
    </cfRule>
    <cfRule type="expression" dxfId="1340" priority="19">
      <formula>AND(AB$9&gt;=8/24,AB$9&lt;14/24)</formula>
    </cfRule>
    <cfRule type="expression" dxfId="1339" priority="20">
      <formula>AB$9&lt;8/24</formula>
    </cfRule>
  </conditionalFormatting>
  <conditionalFormatting sqref="AC20:AC27">
    <cfRule type="expression" dxfId="1338" priority="13">
      <formula>AC$9&gt;=20/24</formula>
    </cfRule>
    <cfRule type="expression" dxfId="1337" priority="14">
      <formula>AND(AC$9&gt;=14/24,AC$9&lt;20/24)</formula>
    </cfRule>
    <cfRule type="expression" dxfId="1336" priority="15">
      <formula>AND(AC$9&gt;=8/24,AC$9&lt;14/24)</formula>
    </cfRule>
    <cfRule type="expression" dxfId="1335" priority="16">
      <formula>AC$9&lt;8/24</formula>
    </cfRule>
  </conditionalFormatting>
  <conditionalFormatting sqref="AD20:AD27">
    <cfRule type="expression" dxfId="1334" priority="9">
      <formula>AD$9&gt;=20/24</formula>
    </cfRule>
    <cfRule type="expression" dxfId="1333" priority="10">
      <formula>AND(AD$9&gt;=14/24,AD$9&lt;20/24)</formula>
    </cfRule>
    <cfRule type="expression" dxfId="1332" priority="11">
      <formula>AND(AD$9&gt;=8/24,AD$9&lt;14/24)</formula>
    </cfRule>
    <cfRule type="expression" dxfId="1331" priority="12">
      <formula>AD$9&lt;8/24</formula>
    </cfRule>
  </conditionalFormatting>
  <conditionalFormatting sqref="AE20:AE27">
    <cfRule type="expression" dxfId="1330" priority="5">
      <formula>AE$9&gt;=20/24</formula>
    </cfRule>
    <cfRule type="expression" dxfId="1329" priority="6">
      <formula>AND(AE$9&gt;=14/24,AE$9&lt;20/24)</formula>
    </cfRule>
    <cfRule type="expression" dxfId="1328" priority="7">
      <formula>AND(AE$9&gt;=8/24,AE$9&lt;14/24)</formula>
    </cfRule>
    <cfRule type="expression" dxfId="1327" priority="8">
      <formula>AE$9&lt;8/24</formula>
    </cfRule>
  </conditionalFormatting>
  <conditionalFormatting sqref="AF20:AF27">
    <cfRule type="expression" dxfId="1326" priority="1">
      <formula>AF$9&gt;=20/24</formula>
    </cfRule>
    <cfRule type="expression" dxfId="1325" priority="2">
      <formula>AND(AF$9&gt;=14/24,AF$9&lt;20/24)</formula>
    </cfRule>
    <cfRule type="expression" dxfId="1324" priority="3">
      <formula>AND(AF$9&gt;=8/24,AF$9&lt;14/24)</formula>
    </cfRule>
    <cfRule type="expression" dxfId="1323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56" activePane="bottomRight" state="frozen"/>
      <selection activeCell="AF88" sqref="AF88"/>
      <selection pane="topRight" activeCell="AF88" sqref="AF88"/>
      <selection pane="bottomLeft" activeCell="AF88" sqref="AF88"/>
      <selection pane="bottomRight" activeCell="Q83" sqref="Q83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5" width="8.28515625" bestFit="1" customWidth="1"/>
    <col min="6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26</v>
      </c>
      <c r="D4" s="324">
        <f ca="1">IFERROR(DATE(2021,5,14)+C4,"")</f>
        <v>44356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204.7</v>
      </c>
      <c r="C5" s="32">
        <f t="shared" ref="C5:AF5" si="0">C59</f>
        <v>209</v>
      </c>
      <c r="D5" s="32">
        <f t="shared" si="0"/>
        <v>209.9</v>
      </c>
      <c r="E5" s="32">
        <f t="shared" si="0"/>
        <v>216</v>
      </c>
      <c r="F5" s="32">
        <f t="shared" si="0"/>
        <v>200.4</v>
      </c>
      <c r="G5" s="32">
        <f t="shared" si="0"/>
        <v>199.29999999999998</v>
      </c>
      <c r="H5" s="32">
        <f t="shared" si="0"/>
        <v>162.41</v>
      </c>
      <c r="I5" s="32">
        <f t="shared" si="0"/>
        <v>172.95</v>
      </c>
      <c r="J5" s="32">
        <f t="shared" si="0"/>
        <v>202.69</v>
      </c>
      <c r="K5" s="32">
        <f t="shared" si="0"/>
        <v>222.67000000000002</v>
      </c>
      <c r="L5" s="32">
        <f t="shared" si="0"/>
        <v>205</v>
      </c>
      <c r="M5" s="32">
        <f t="shared" si="0"/>
        <v>316.89999999999998</v>
      </c>
      <c r="N5" s="32">
        <f t="shared" si="0"/>
        <v>323.60000000000002</v>
      </c>
      <c r="O5" s="32">
        <f t="shared" si="0"/>
        <v>331.76</v>
      </c>
      <c r="P5" s="32">
        <f t="shared" si="0"/>
        <v>328</v>
      </c>
      <c r="Q5" s="32">
        <f t="shared" si="0"/>
        <v>340.24</v>
      </c>
      <c r="R5" s="32">
        <f t="shared" si="0"/>
        <v>341</v>
      </c>
      <c r="S5" s="32">
        <f t="shared" si="0"/>
        <v>353</v>
      </c>
      <c r="T5" s="32">
        <f t="shared" si="0"/>
        <v>299</v>
      </c>
      <c r="U5" s="32">
        <f t="shared" si="0"/>
        <v>293.7</v>
      </c>
      <c r="V5" s="32">
        <f t="shared" si="0"/>
        <v>282</v>
      </c>
      <c r="W5" s="32">
        <f t="shared" si="0"/>
        <v>278</v>
      </c>
      <c r="X5" s="32">
        <f t="shared" si="0"/>
        <v>327</v>
      </c>
      <c r="Y5" s="32">
        <f t="shared" si="0"/>
        <v>312.60000000000002</v>
      </c>
      <c r="Z5" s="32">
        <f t="shared" si="0"/>
        <v>359</v>
      </c>
      <c r="AA5" s="32">
        <f t="shared" si="0"/>
        <v>381</v>
      </c>
      <c r="AB5" s="32">
        <f t="shared" si="0"/>
        <v>372.2</v>
      </c>
      <c r="AC5" s="32">
        <f t="shared" si="0"/>
        <v>302.89999999999998</v>
      </c>
      <c r="AD5" s="32">
        <f t="shared" si="0"/>
        <v>288</v>
      </c>
      <c r="AE5" s="32">
        <f t="shared" si="0"/>
        <v>288</v>
      </c>
      <c r="AF5" s="32">
        <f t="shared" si="0"/>
        <v>278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1110MW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Load=988</v>
      </c>
      <c r="B7" s="36">
        <f t="shared" ref="B7:AF7" si="1">B65</f>
        <v>1038.44</v>
      </c>
      <c r="C7" s="36">
        <f t="shared" si="1"/>
        <v>1042.8400000000001</v>
      </c>
      <c r="D7" s="36">
        <f t="shared" si="1"/>
        <v>1019.8400000000001</v>
      </c>
      <c r="E7" s="36">
        <f t="shared" si="1"/>
        <v>1026.8400000000001</v>
      </c>
      <c r="F7" s="36">
        <f t="shared" si="1"/>
        <v>1009.44</v>
      </c>
      <c r="G7" s="36">
        <f t="shared" si="1"/>
        <v>1009.6400000000001</v>
      </c>
      <c r="H7" s="36">
        <f t="shared" si="1"/>
        <v>987.75000000000011</v>
      </c>
      <c r="I7" s="36">
        <f t="shared" si="1"/>
        <v>1002.5900000000001</v>
      </c>
      <c r="J7" s="36">
        <f t="shared" si="1"/>
        <v>1053.83</v>
      </c>
      <c r="K7" s="36">
        <f t="shared" si="1"/>
        <v>1096.71</v>
      </c>
      <c r="L7" s="36">
        <f>L65</f>
        <v>1079.7400000000002</v>
      </c>
      <c r="M7" s="36">
        <f t="shared" si="1"/>
        <v>1110.2400000000002</v>
      </c>
      <c r="N7" s="36">
        <f t="shared" si="1"/>
        <v>1121.1400000000001</v>
      </c>
      <c r="O7" s="36">
        <f t="shared" si="1"/>
        <v>1131</v>
      </c>
      <c r="P7" s="36">
        <f t="shared" si="1"/>
        <v>1120.3400000000001</v>
      </c>
      <c r="Q7" s="36">
        <f t="shared" si="1"/>
        <v>1140.2800000000002</v>
      </c>
      <c r="R7" s="36">
        <f t="shared" si="1"/>
        <v>1153.8400000000001</v>
      </c>
      <c r="S7" s="36">
        <f t="shared" si="1"/>
        <v>1166.54</v>
      </c>
      <c r="T7" s="36">
        <f t="shared" si="1"/>
        <v>1107.44</v>
      </c>
      <c r="U7" s="36">
        <f t="shared" si="1"/>
        <v>1085.74</v>
      </c>
      <c r="V7" s="36">
        <f t="shared" si="1"/>
        <v>1074.5400000000002</v>
      </c>
      <c r="W7" s="36">
        <f t="shared" si="1"/>
        <v>1061.6400000000001</v>
      </c>
      <c r="X7" s="36">
        <f t="shared" si="1"/>
        <v>1078.44</v>
      </c>
      <c r="Y7" s="36">
        <f t="shared" si="1"/>
        <v>1124.54</v>
      </c>
      <c r="Z7" s="36">
        <f t="shared" si="1"/>
        <v>1260.94</v>
      </c>
      <c r="AA7" s="36">
        <f t="shared" si="1"/>
        <v>1303.3399999999999</v>
      </c>
      <c r="AB7" s="36">
        <f t="shared" si="1"/>
        <v>1295.3399999999999</v>
      </c>
      <c r="AC7" s="36">
        <f t="shared" si="1"/>
        <v>1227.54</v>
      </c>
      <c r="AD7" s="36">
        <f t="shared" si="1"/>
        <v>1210.2400000000002</v>
      </c>
      <c r="AE7" s="36">
        <f t="shared" si="1"/>
        <v>1154.24</v>
      </c>
      <c r="AF7" s="36">
        <f t="shared" si="1"/>
        <v>1126.24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32.4</v>
      </c>
      <c r="C11" s="48">
        <v>32.799999999999997</v>
      </c>
      <c r="D11" s="48">
        <v>33.1</v>
      </c>
      <c r="E11" s="48">
        <v>33.799999999999997</v>
      </c>
      <c r="F11" s="48">
        <v>34.700000000000003</v>
      </c>
      <c r="G11" s="48">
        <v>35.700000000000003</v>
      </c>
      <c r="H11" s="48">
        <v>35.5</v>
      </c>
      <c r="I11" s="48">
        <v>36.700000000000003</v>
      </c>
      <c r="J11" s="48">
        <v>37.1</v>
      </c>
      <c r="K11" s="48">
        <v>37.200000000000003</v>
      </c>
      <c r="L11" s="49">
        <v>37.1</v>
      </c>
      <c r="M11" s="49">
        <v>37.1</v>
      </c>
      <c r="N11" s="49">
        <v>37.4</v>
      </c>
      <c r="O11" s="49">
        <v>38.1</v>
      </c>
      <c r="P11" s="49">
        <v>37.1</v>
      </c>
      <c r="Q11" s="49">
        <v>37</v>
      </c>
      <c r="R11" s="49">
        <v>37</v>
      </c>
      <c r="S11" s="49">
        <v>36.5</v>
      </c>
      <c r="T11" s="49">
        <v>36.5</v>
      </c>
      <c r="U11" s="49">
        <v>36.5</v>
      </c>
      <c r="V11" s="49">
        <v>36.5</v>
      </c>
      <c r="W11" s="49">
        <v>35.299999999999997</v>
      </c>
      <c r="X11" s="49">
        <v>36.299999999999997</v>
      </c>
      <c r="Y11" s="49">
        <v>37</v>
      </c>
      <c r="Z11" s="49">
        <v>36.6</v>
      </c>
      <c r="AA11" s="48">
        <v>41.4</v>
      </c>
      <c r="AB11" s="48">
        <v>41.6</v>
      </c>
      <c r="AC11" s="48">
        <v>43.3</v>
      </c>
      <c r="AD11" s="48">
        <v>40.299999999999997</v>
      </c>
      <c r="AE11" s="48">
        <v>40.299999999999997</v>
      </c>
      <c r="AF11" s="48">
        <v>36.9</v>
      </c>
      <c r="AG11" s="51">
        <v>60</v>
      </c>
      <c r="AH11" s="52">
        <f>MAX(B11:AF11)</f>
        <v>43.3</v>
      </c>
      <c r="AI11" s="53">
        <f>MIN(B11:AF11)</f>
        <v>32.4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50.6</v>
      </c>
      <c r="C12" s="56">
        <v>50.5</v>
      </c>
      <c r="D12" s="56">
        <v>50.5</v>
      </c>
      <c r="E12" s="56">
        <v>50.5</v>
      </c>
      <c r="F12" s="56">
        <v>50.2</v>
      </c>
      <c r="G12" s="56">
        <v>50.4</v>
      </c>
      <c r="H12" s="56">
        <v>50.4</v>
      </c>
      <c r="I12" s="56">
        <v>50.3</v>
      </c>
      <c r="J12" s="56">
        <v>50.2</v>
      </c>
      <c r="K12" s="56">
        <v>50.5</v>
      </c>
      <c r="L12" s="49">
        <v>50.6</v>
      </c>
      <c r="M12" s="49">
        <v>50.6</v>
      </c>
      <c r="N12" s="49">
        <v>50.5</v>
      </c>
      <c r="O12" s="49">
        <v>50.6</v>
      </c>
      <c r="P12" s="49">
        <v>50.2</v>
      </c>
      <c r="Q12" s="49">
        <v>50.4</v>
      </c>
      <c r="R12" s="49">
        <v>50.4</v>
      </c>
      <c r="S12" s="49">
        <v>50.2</v>
      </c>
      <c r="T12" s="49">
        <v>50.2</v>
      </c>
      <c r="U12" s="49">
        <v>50.2</v>
      </c>
      <c r="V12" s="49">
        <v>50.2</v>
      </c>
      <c r="W12" s="49">
        <v>50.5</v>
      </c>
      <c r="X12" s="49">
        <v>50.5</v>
      </c>
      <c r="Y12" s="49">
        <v>50.7</v>
      </c>
      <c r="Z12" s="49">
        <v>50.6</v>
      </c>
      <c r="AA12" s="56">
        <v>50.6</v>
      </c>
      <c r="AB12" s="56">
        <v>50.6</v>
      </c>
      <c r="AC12" s="56">
        <v>50.8</v>
      </c>
      <c r="AD12" s="56">
        <v>50.5</v>
      </c>
      <c r="AE12" s="56">
        <v>50.5</v>
      </c>
      <c r="AF12" s="56">
        <v>50.5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50.2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43.4</v>
      </c>
      <c r="C13" s="56">
        <v>43.4</v>
      </c>
      <c r="D13" s="56">
        <v>43.8</v>
      </c>
      <c r="E13" s="56">
        <v>42.8</v>
      </c>
      <c r="F13" s="56">
        <v>42.8</v>
      </c>
      <c r="G13" s="56">
        <v>42.8</v>
      </c>
      <c r="H13" s="56">
        <v>42.4</v>
      </c>
      <c r="I13" s="56">
        <v>42.3</v>
      </c>
      <c r="J13" s="56">
        <v>41.9</v>
      </c>
      <c r="K13" s="56">
        <v>40.9</v>
      </c>
      <c r="L13" s="49">
        <v>41.7</v>
      </c>
      <c r="M13" s="49">
        <v>41.7</v>
      </c>
      <c r="N13" s="49">
        <v>41</v>
      </c>
      <c r="O13" s="49">
        <v>40.1</v>
      </c>
      <c r="P13" s="49">
        <v>40.200000000000003</v>
      </c>
      <c r="Q13" s="49">
        <v>38.700000000000003</v>
      </c>
      <c r="R13" s="49">
        <v>38.700000000000003</v>
      </c>
      <c r="S13" s="49">
        <v>38</v>
      </c>
      <c r="T13" s="49">
        <v>38.6</v>
      </c>
      <c r="U13" s="49">
        <v>38.6</v>
      </c>
      <c r="V13" s="49">
        <v>38.6</v>
      </c>
      <c r="W13" s="49">
        <v>40</v>
      </c>
      <c r="X13" s="49">
        <v>40</v>
      </c>
      <c r="Y13" s="49">
        <v>40</v>
      </c>
      <c r="Z13" s="49">
        <v>40.700000000000003</v>
      </c>
      <c r="AA13" s="56">
        <v>41.2</v>
      </c>
      <c r="AB13" s="56">
        <v>41.5</v>
      </c>
      <c r="AC13" s="56">
        <v>40.200000000000003</v>
      </c>
      <c r="AD13" s="56">
        <v>44</v>
      </c>
      <c r="AE13" s="56">
        <v>44</v>
      </c>
      <c r="AF13" s="56">
        <v>42.7</v>
      </c>
      <c r="AG13" s="59">
        <v>45</v>
      </c>
      <c r="AH13" s="52">
        <f t="shared" si="2"/>
        <v>44</v>
      </c>
      <c r="AI13" s="53">
        <f t="shared" si="3"/>
        <v>38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17</v>
      </c>
      <c r="C14" s="56">
        <v>17</v>
      </c>
      <c r="D14" s="56">
        <v>17</v>
      </c>
      <c r="E14" s="56">
        <v>17</v>
      </c>
      <c r="F14" s="56">
        <v>17</v>
      </c>
      <c r="G14" s="56">
        <v>17</v>
      </c>
      <c r="H14" s="56">
        <v>17</v>
      </c>
      <c r="I14" s="56">
        <v>17</v>
      </c>
      <c r="J14" s="56">
        <v>17</v>
      </c>
      <c r="K14" s="56">
        <v>17</v>
      </c>
      <c r="L14" s="49">
        <v>17</v>
      </c>
      <c r="M14" s="49">
        <v>17</v>
      </c>
      <c r="N14" s="49">
        <v>17</v>
      </c>
      <c r="O14" s="49">
        <v>17</v>
      </c>
      <c r="P14" s="49">
        <v>17</v>
      </c>
      <c r="Q14" s="49">
        <v>17</v>
      </c>
      <c r="R14" s="49">
        <v>17</v>
      </c>
      <c r="S14" s="49">
        <v>17</v>
      </c>
      <c r="T14" s="49">
        <v>17</v>
      </c>
      <c r="U14" s="49">
        <v>17</v>
      </c>
      <c r="V14" s="49">
        <v>17</v>
      </c>
      <c r="W14" s="49">
        <v>17</v>
      </c>
      <c r="X14" s="49">
        <v>17</v>
      </c>
      <c r="Y14" s="49">
        <v>17</v>
      </c>
      <c r="Z14" s="49">
        <v>17</v>
      </c>
      <c r="AA14" s="56">
        <v>17</v>
      </c>
      <c r="AB14" s="56">
        <v>17</v>
      </c>
      <c r="AC14" s="56">
        <v>17</v>
      </c>
      <c r="AD14" s="56">
        <v>17</v>
      </c>
      <c r="AE14" s="56">
        <v>17</v>
      </c>
      <c r="AF14" s="56">
        <v>17</v>
      </c>
      <c r="AG14" s="59">
        <v>25</v>
      </c>
      <c r="AH14" s="52">
        <f t="shared" si="2"/>
        <v>17</v>
      </c>
      <c r="AI14" s="53">
        <f t="shared" si="3"/>
        <v>17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24.6</v>
      </c>
      <c r="C15" s="56">
        <v>23.9</v>
      </c>
      <c r="D15" s="56">
        <v>22.8</v>
      </c>
      <c r="E15" s="56">
        <v>23.3</v>
      </c>
      <c r="F15" s="56">
        <v>21.7</v>
      </c>
      <c r="G15" s="56">
        <v>21.7</v>
      </c>
      <c r="H15" s="56">
        <v>21.9</v>
      </c>
      <c r="I15" s="56">
        <v>21.9</v>
      </c>
      <c r="J15" s="56">
        <v>22</v>
      </c>
      <c r="K15" s="56">
        <v>21.1</v>
      </c>
      <c r="L15" s="49">
        <v>21</v>
      </c>
      <c r="M15" s="49">
        <v>21</v>
      </c>
      <c r="N15" s="49">
        <v>21.3</v>
      </c>
      <c r="O15" s="49">
        <v>21.3</v>
      </c>
      <c r="P15" s="49">
        <v>19.600000000000001</v>
      </c>
      <c r="Q15" s="49">
        <v>20.3</v>
      </c>
      <c r="R15" s="49">
        <v>20.3</v>
      </c>
      <c r="S15" s="49">
        <v>20.3</v>
      </c>
      <c r="T15" s="49">
        <v>20.3</v>
      </c>
      <c r="U15" s="49">
        <v>22.6</v>
      </c>
      <c r="V15" s="49">
        <v>22.6</v>
      </c>
      <c r="W15" s="49">
        <v>21.5</v>
      </c>
      <c r="X15" s="49">
        <v>21.5</v>
      </c>
      <c r="Y15" s="49">
        <v>21.3</v>
      </c>
      <c r="Z15" s="49">
        <v>20.7</v>
      </c>
      <c r="AA15" s="49">
        <v>20.7</v>
      </c>
      <c r="AB15" s="56">
        <v>20.6</v>
      </c>
      <c r="AC15" s="56">
        <v>22.4</v>
      </c>
      <c r="AD15" s="56">
        <v>22.8</v>
      </c>
      <c r="AE15" s="56">
        <v>22.8</v>
      </c>
      <c r="AF15" s="56">
        <v>24</v>
      </c>
      <c r="AG15" s="59">
        <v>25</v>
      </c>
      <c r="AH15" s="52">
        <f t="shared" si="2"/>
        <v>24.6</v>
      </c>
      <c r="AI15" s="53">
        <f t="shared" si="3"/>
        <v>19.600000000000001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>
        <v>10</v>
      </c>
      <c r="C16" s="56">
        <v>10</v>
      </c>
      <c r="D16" s="56">
        <v>10</v>
      </c>
      <c r="E16" s="56">
        <v>10</v>
      </c>
      <c r="F16" s="56">
        <v>10</v>
      </c>
      <c r="G16" s="56">
        <v>10</v>
      </c>
      <c r="H16" s="56">
        <v>10</v>
      </c>
      <c r="I16" s="56">
        <v>10</v>
      </c>
      <c r="J16" s="56">
        <v>10</v>
      </c>
      <c r="K16" s="56">
        <v>10</v>
      </c>
      <c r="L16" s="56">
        <v>10</v>
      </c>
      <c r="M16" s="56">
        <v>10</v>
      </c>
      <c r="N16" s="56">
        <v>10</v>
      </c>
      <c r="O16" s="56">
        <v>10</v>
      </c>
      <c r="P16" s="56">
        <v>10</v>
      </c>
      <c r="Q16" s="56">
        <v>10</v>
      </c>
      <c r="R16" s="56">
        <v>10</v>
      </c>
      <c r="S16" s="56">
        <v>10</v>
      </c>
      <c r="T16" s="56">
        <v>10</v>
      </c>
      <c r="U16" s="56">
        <v>10</v>
      </c>
      <c r="V16" s="56">
        <v>10</v>
      </c>
      <c r="W16" s="56">
        <v>10</v>
      </c>
      <c r="X16" s="56">
        <v>10</v>
      </c>
      <c r="Y16" s="56">
        <v>10</v>
      </c>
      <c r="Z16" s="56">
        <v>6.2</v>
      </c>
      <c r="AA16" s="56">
        <v>6.2</v>
      </c>
      <c r="AB16" s="49">
        <v>6.2</v>
      </c>
      <c r="AC16" s="49">
        <v>6.2</v>
      </c>
      <c r="AD16" s="49">
        <v>6.2</v>
      </c>
      <c r="AE16" s="49">
        <v>6.2</v>
      </c>
      <c r="AF16" s="49">
        <v>6.2</v>
      </c>
      <c r="AG16" s="59">
        <v>23.5</v>
      </c>
      <c r="AH16" s="52">
        <f t="shared" si="2"/>
        <v>10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>
        <v>23.1</v>
      </c>
      <c r="C17" s="56">
        <v>23.1</v>
      </c>
      <c r="D17" s="56">
        <v>23.1</v>
      </c>
      <c r="E17" s="56">
        <v>23.1</v>
      </c>
      <c r="F17" s="56">
        <v>23</v>
      </c>
      <c r="G17" s="56">
        <v>22.8</v>
      </c>
      <c r="H17" s="56">
        <v>22.9</v>
      </c>
      <c r="I17" s="56">
        <v>22.9</v>
      </c>
      <c r="J17" s="56">
        <v>22.8</v>
      </c>
      <c r="K17" s="56">
        <v>22.5</v>
      </c>
      <c r="L17" s="49">
        <v>22.6</v>
      </c>
      <c r="M17" s="49">
        <v>22.6</v>
      </c>
      <c r="N17" s="49">
        <v>20.100000000000001</v>
      </c>
      <c r="O17" s="49">
        <v>22.5</v>
      </c>
      <c r="P17" s="49">
        <v>23</v>
      </c>
      <c r="Q17" s="49">
        <v>22.8</v>
      </c>
      <c r="R17" s="49">
        <v>22.8</v>
      </c>
      <c r="S17" s="49">
        <v>22.8</v>
      </c>
      <c r="T17" s="49">
        <v>22.4</v>
      </c>
      <c r="U17" s="49">
        <v>22.6</v>
      </c>
      <c r="V17" s="49">
        <v>22.6</v>
      </c>
      <c r="W17" s="49">
        <v>22.6</v>
      </c>
      <c r="X17" s="49">
        <v>22.6</v>
      </c>
      <c r="Y17" s="49">
        <v>22.4</v>
      </c>
      <c r="Z17" s="49">
        <v>22.5</v>
      </c>
      <c r="AA17" s="49">
        <v>22.5</v>
      </c>
      <c r="AB17" s="49">
        <v>22</v>
      </c>
      <c r="AC17" s="49">
        <v>22</v>
      </c>
      <c r="AD17" s="49">
        <v>22</v>
      </c>
      <c r="AE17" s="49">
        <v>22</v>
      </c>
      <c r="AF17" s="49">
        <v>22</v>
      </c>
      <c r="AG17" s="59">
        <v>22.1</v>
      </c>
      <c r="AH17" s="52">
        <f t="shared" si="2"/>
        <v>23.1</v>
      </c>
      <c r="AI17" s="53">
        <f t="shared" si="3"/>
        <v>20.100000000000001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5</v>
      </c>
      <c r="C18" s="56">
        <v>5</v>
      </c>
      <c r="D18" s="56">
        <v>5</v>
      </c>
      <c r="E18" s="56">
        <v>5</v>
      </c>
      <c r="F18" s="56">
        <v>5</v>
      </c>
      <c r="G18" s="56">
        <v>5</v>
      </c>
      <c r="H18" s="56">
        <v>5</v>
      </c>
      <c r="I18" s="56">
        <v>5</v>
      </c>
      <c r="J18" s="56">
        <v>5</v>
      </c>
      <c r="K18" s="56">
        <v>5</v>
      </c>
      <c r="L18" s="49">
        <v>5</v>
      </c>
      <c r="M18" s="49">
        <v>5</v>
      </c>
      <c r="N18" s="49">
        <v>5</v>
      </c>
      <c r="O18" s="49">
        <v>5</v>
      </c>
      <c r="P18" s="49">
        <v>5</v>
      </c>
      <c r="Q18" s="49">
        <v>5</v>
      </c>
      <c r="R18" s="49">
        <v>5</v>
      </c>
      <c r="S18" s="49">
        <v>5</v>
      </c>
      <c r="T18" s="49">
        <v>5</v>
      </c>
      <c r="U18" s="49">
        <v>5</v>
      </c>
      <c r="V18" s="49">
        <v>5</v>
      </c>
      <c r="W18" s="49">
        <v>5</v>
      </c>
      <c r="X18" s="49">
        <v>5</v>
      </c>
      <c r="Y18" s="49">
        <v>5</v>
      </c>
      <c r="Z18" s="49">
        <v>5</v>
      </c>
      <c r="AA18" s="49">
        <v>5</v>
      </c>
      <c r="AB18" s="49">
        <v>5</v>
      </c>
      <c r="AC18" s="49">
        <v>5</v>
      </c>
      <c r="AD18" s="49">
        <v>5</v>
      </c>
      <c r="AE18" s="49">
        <v>5</v>
      </c>
      <c r="AF18" s="49">
        <v>5</v>
      </c>
      <c r="AG18" s="59">
        <v>22.1</v>
      </c>
      <c r="AH18" s="52">
        <f t="shared" si="2"/>
        <v>5</v>
      </c>
      <c r="AI18" s="53">
        <f t="shared" si="3"/>
        <v>5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>
        <v>22.2</v>
      </c>
      <c r="C19" s="56">
        <v>22.2</v>
      </c>
      <c r="D19" s="56">
        <v>16.7</v>
      </c>
      <c r="E19" s="56">
        <v>15.1</v>
      </c>
      <c r="F19" s="56">
        <v>14.7</v>
      </c>
      <c r="G19" s="56">
        <v>13.6</v>
      </c>
      <c r="H19" s="56">
        <v>13.3</v>
      </c>
      <c r="I19" s="56">
        <v>13.1</v>
      </c>
      <c r="J19" s="56">
        <v>13</v>
      </c>
      <c r="K19" s="56">
        <v>12.8</v>
      </c>
      <c r="L19" s="49">
        <v>12.8</v>
      </c>
      <c r="M19" s="49">
        <v>12.8</v>
      </c>
      <c r="N19" s="49">
        <v>10.8</v>
      </c>
      <c r="O19" s="49">
        <v>10.4</v>
      </c>
      <c r="P19" s="49">
        <v>9.4</v>
      </c>
      <c r="Q19" s="49">
        <v>9.4</v>
      </c>
      <c r="R19" s="49">
        <v>9.4</v>
      </c>
      <c r="S19" s="49">
        <v>8.6</v>
      </c>
      <c r="T19" s="49">
        <v>8.6</v>
      </c>
      <c r="U19" s="49">
        <v>8.6</v>
      </c>
      <c r="V19" s="49">
        <v>8.6</v>
      </c>
      <c r="W19" s="49">
        <v>10.5</v>
      </c>
      <c r="X19" s="49">
        <v>10.5</v>
      </c>
      <c r="Y19" s="49">
        <v>12.1</v>
      </c>
      <c r="Z19" s="49">
        <v>12.1</v>
      </c>
      <c r="AA19" s="49">
        <v>12.1</v>
      </c>
      <c r="AB19" s="49">
        <v>12.1</v>
      </c>
      <c r="AC19" s="49">
        <v>11.7</v>
      </c>
      <c r="AD19" s="49">
        <v>12.5</v>
      </c>
      <c r="AE19" s="49">
        <v>11.7</v>
      </c>
      <c r="AF19" s="49">
        <v>11.5</v>
      </c>
      <c r="AG19" s="59">
        <v>22</v>
      </c>
      <c r="AH19" s="52">
        <f t="shared" si="2"/>
        <v>22.2</v>
      </c>
      <c r="AI19" s="53">
        <f t="shared" si="3"/>
        <v>8.6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8.5</v>
      </c>
      <c r="C20" s="49">
        <v>8.5</v>
      </c>
      <c r="D20" s="49">
        <v>8.5</v>
      </c>
      <c r="E20" s="49">
        <v>8.5</v>
      </c>
      <c r="F20" s="49">
        <v>8.5</v>
      </c>
      <c r="G20" s="49">
        <v>8.5</v>
      </c>
      <c r="H20" s="49">
        <v>8.5</v>
      </c>
      <c r="I20" s="49">
        <v>8.5</v>
      </c>
      <c r="J20" s="49">
        <v>8.5</v>
      </c>
      <c r="K20" s="49">
        <v>8.5</v>
      </c>
      <c r="L20" s="49">
        <v>8.5</v>
      </c>
      <c r="M20" s="49">
        <v>8.5</v>
      </c>
      <c r="N20" s="49">
        <v>8.5</v>
      </c>
      <c r="O20" s="49">
        <v>8.5</v>
      </c>
      <c r="P20" s="49">
        <v>8.5</v>
      </c>
      <c r="Q20" s="49">
        <v>8.5</v>
      </c>
      <c r="R20" s="49">
        <v>8.5</v>
      </c>
      <c r="S20" s="49">
        <v>8.5</v>
      </c>
      <c r="T20" s="49">
        <v>8.5</v>
      </c>
      <c r="U20" s="49">
        <v>8.5</v>
      </c>
      <c r="V20" s="49">
        <v>8.5</v>
      </c>
      <c r="W20" s="49">
        <v>8.5</v>
      </c>
      <c r="X20" s="49">
        <v>8.5</v>
      </c>
      <c r="Y20" s="49">
        <v>8.5</v>
      </c>
      <c r="Z20" s="49">
        <v>8.5</v>
      </c>
      <c r="AA20" s="49">
        <v>8.5</v>
      </c>
      <c r="AB20" s="49">
        <v>8.5</v>
      </c>
      <c r="AC20" s="49">
        <v>8.5</v>
      </c>
      <c r="AD20" s="49">
        <v>8.5</v>
      </c>
      <c r="AE20" s="49">
        <v>8.5</v>
      </c>
      <c r="AF20" s="49">
        <v>8.5</v>
      </c>
      <c r="AG20" s="59">
        <v>22</v>
      </c>
      <c r="AH20" s="52">
        <f t="shared" si="2"/>
        <v>8.5</v>
      </c>
      <c r="AI20" s="53">
        <f t="shared" si="3"/>
        <v>8.5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>
        <v>10</v>
      </c>
      <c r="C22" s="56">
        <v>10</v>
      </c>
      <c r="D22" s="56">
        <v>10</v>
      </c>
      <c r="E22" s="56">
        <v>10</v>
      </c>
      <c r="F22" s="56">
        <v>10</v>
      </c>
      <c r="G22" s="56">
        <v>10</v>
      </c>
      <c r="H22" s="56">
        <v>10</v>
      </c>
      <c r="I22" s="56">
        <v>10</v>
      </c>
      <c r="J22" s="56">
        <v>10</v>
      </c>
      <c r="K22" s="56">
        <v>10</v>
      </c>
      <c r="L22" s="56">
        <v>10</v>
      </c>
      <c r="M22" s="56">
        <v>10</v>
      </c>
      <c r="N22" s="56">
        <v>10</v>
      </c>
      <c r="O22" s="56">
        <v>10</v>
      </c>
      <c r="P22" s="56">
        <v>10</v>
      </c>
      <c r="Q22" s="56">
        <v>10</v>
      </c>
      <c r="R22" s="56">
        <v>10</v>
      </c>
      <c r="S22" s="56">
        <v>10</v>
      </c>
      <c r="T22" s="56">
        <v>10</v>
      </c>
      <c r="U22" s="56">
        <v>10</v>
      </c>
      <c r="V22" s="56">
        <v>10</v>
      </c>
      <c r="W22" s="56">
        <v>10</v>
      </c>
      <c r="X22" s="56">
        <v>10</v>
      </c>
      <c r="Y22" s="56">
        <v>10</v>
      </c>
      <c r="Z22" s="56">
        <v>10</v>
      </c>
      <c r="AA22" s="56">
        <v>10</v>
      </c>
      <c r="AB22" s="49">
        <v>10</v>
      </c>
      <c r="AC22" s="49">
        <v>10</v>
      </c>
      <c r="AD22" s="49">
        <v>10</v>
      </c>
      <c r="AE22" s="49">
        <v>10</v>
      </c>
      <c r="AF22" s="49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>
        <v>10.5</v>
      </c>
      <c r="C23" s="56">
        <v>10.5</v>
      </c>
      <c r="D23" s="56">
        <v>10.5</v>
      </c>
      <c r="E23" s="56">
        <v>10.5</v>
      </c>
      <c r="F23" s="56">
        <v>10.5</v>
      </c>
      <c r="G23" s="56">
        <v>10.5</v>
      </c>
      <c r="H23" s="56">
        <v>10.5</v>
      </c>
      <c r="I23" s="56">
        <v>10.5</v>
      </c>
      <c r="J23" s="56">
        <v>10.5</v>
      </c>
      <c r="K23" s="56">
        <v>10.5</v>
      </c>
      <c r="L23" s="56">
        <v>10.5</v>
      </c>
      <c r="M23" s="56">
        <v>10.5</v>
      </c>
      <c r="N23" s="56">
        <v>10.5</v>
      </c>
      <c r="O23" s="56">
        <v>10.5</v>
      </c>
      <c r="P23" s="56">
        <v>10.5</v>
      </c>
      <c r="Q23" s="56">
        <v>10.5</v>
      </c>
      <c r="R23" s="56">
        <v>10.5</v>
      </c>
      <c r="S23" s="56">
        <v>10.5</v>
      </c>
      <c r="T23" s="56">
        <v>10.5</v>
      </c>
      <c r="U23" s="56">
        <v>10.5</v>
      </c>
      <c r="V23" s="56">
        <v>10.5</v>
      </c>
      <c r="W23" s="56">
        <v>10.5</v>
      </c>
      <c r="X23" s="56">
        <v>10.5</v>
      </c>
      <c r="Y23" s="56">
        <v>10.5</v>
      </c>
      <c r="Z23" s="56">
        <v>10.5</v>
      </c>
      <c r="AA23" s="56">
        <v>10.5</v>
      </c>
      <c r="AB23" s="49">
        <v>10.6</v>
      </c>
      <c r="AC23" s="49">
        <v>10.6</v>
      </c>
      <c r="AD23" s="49">
        <v>10.6</v>
      </c>
      <c r="AE23" s="49">
        <v>10.6</v>
      </c>
      <c r="AF23" s="49">
        <v>10.6</v>
      </c>
      <c r="AG23" s="59">
        <v>13</v>
      </c>
      <c r="AH23" s="52">
        <f t="shared" si="2"/>
        <v>10.6</v>
      </c>
      <c r="AI23" s="53">
        <f t="shared" si="3"/>
        <v>10.5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>
        <v>4.4000000000000004</v>
      </c>
      <c r="C24" s="56">
        <v>4.4000000000000004</v>
      </c>
      <c r="D24" s="56">
        <v>4.4000000000000004</v>
      </c>
      <c r="E24" s="56">
        <v>4.4000000000000004</v>
      </c>
      <c r="F24" s="56">
        <v>4.4000000000000004</v>
      </c>
      <c r="G24" s="56">
        <v>4.4000000000000004</v>
      </c>
      <c r="H24" s="56">
        <v>4.4000000000000004</v>
      </c>
      <c r="I24" s="56">
        <v>4.4000000000000004</v>
      </c>
      <c r="J24" s="56">
        <v>4.4000000000000004</v>
      </c>
      <c r="K24" s="56">
        <v>4.4000000000000004</v>
      </c>
      <c r="L24" s="56">
        <v>4.4000000000000004</v>
      </c>
      <c r="M24" s="56">
        <v>4.4000000000000004</v>
      </c>
      <c r="N24" s="56">
        <v>4.4000000000000004</v>
      </c>
      <c r="O24" s="56">
        <v>4.4000000000000004</v>
      </c>
      <c r="P24" s="56">
        <v>4.4000000000000004</v>
      </c>
      <c r="Q24" s="56">
        <v>4.4000000000000004</v>
      </c>
      <c r="R24" s="56">
        <v>4.4000000000000004</v>
      </c>
      <c r="S24" s="56">
        <v>4.4000000000000004</v>
      </c>
      <c r="T24" s="56">
        <v>4.4000000000000004</v>
      </c>
      <c r="U24" s="56">
        <v>4.4000000000000004</v>
      </c>
      <c r="V24" s="56">
        <v>4.4000000000000004</v>
      </c>
      <c r="W24" s="56">
        <v>4.4000000000000004</v>
      </c>
      <c r="X24" s="56">
        <v>4.4000000000000004</v>
      </c>
      <c r="Y24" s="56">
        <v>4.4000000000000004</v>
      </c>
      <c r="Z24" s="56">
        <v>4.4000000000000004</v>
      </c>
      <c r="AA24" s="56">
        <v>4.4000000000000004</v>
      </c>
      <c r="AB24" s="49">
        <v>4.4000000000000004</v>
      </c>
      <c r="AC24" s="49">
        <v>4.4000000000000004</v>
      </c>
      <c r="AD24" s="49">
        <v>4.4000000000000004</v>
      </c>
      <c r="AE24" s="49">
        <v>4.4000000000000004</v>
      </c>
      <c r="AF24" s="49">
        <v>4.4000000000000004</v>
      </c>
      <c r="AG24" s="59">
        <v>12</v>
      </c>
      <c r="AH24" s="52">
        <f t="shared" si="2"/>
        <v>4.4000000000000004</v>
      </c>
      <c r="AI24" s="53">
        <f t="shared" si="3"/>
        <v>4.4000000000000004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>
        <v>2.2000000000000002</v>
      </c>
      <c r="C25" s="56">
        <v>2.2000000000000002</v>
      </c>
      <c r="D25" s="56">
        <v>2.2000000000000002</v>
      </c>
      <c r="E25" s="56">
        <v>2.2000000000000002</v>
      </c>
      <c r="F25" s="56">
        <v>2.2000000000000002</v>
      </c>
      <c r="G25" s="56">
        <v>2.2000000000000002</v>
      </c>
      <c r="H25" s="56">
        <v>2.2000000000000002</v>
      </c>
      <c r="I25" s="56">
        <v>2.2000000000000002</v>
      </c>
      <c r="J25" s="56">
        <v>2.2000000000000002</v>
      </c>
      <c r="K25" s="56">
        <v>2.2000000000000002</v>
      </c>
      <c r="L25" s="56">
        <v>2.2000000000000002</v>
      </c>
      <c r="M25" s="56">
        <v>2.2000000000000002</v>
      </c>
      <c r="N25" s="56">
        <v>2.2000000000000002</v>
      </c>
      <c r="O25" s="56">
        <v>2.2000000000000002</v>
      </c>
      <c r="P25" s="56">
        <v>2.2000000000000002</v>
      </c>
      <c r="Q25" s="56">
        <v>2.2000000000000002</v>
      </c>
      <c r="R25" s="56">
        <v>2.2000000000000002</v>
      </c>
      <c r="S25" s="56">
        <v>2.2000000000000002</v>
      </c>
      <c r="T25" s="56">
        <v>2.2000000000000002</v>
      </c>
      <c r="U25" s="56">
        <v>2.2000000000000002</v>
      </c>
      <c r="V25" s="56">
        <v>2.2000000000000002</v>
      </c>
      <c r="W25" s="56">
        <v>2.2000000000000002</v>
      </c>
      <c r="X25" s="56">
        <v>2.2000000000000002</v>
      </c>
      <c r="Y25" s="56">
        <v>2.2000000000000002</v>
      </c>
      <c r="Z25" s="56">
        <v>2.2000000000000002</v>
      </c>
      <c r="AA25" s="56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>
        <v>10</v>
      </c>
      <c r="C26" s="56">
        <v>10</v>
      </c>
      <c r="D26" s="56">
        <v>10</v>
      </c>
      <c r="E26" s="56">
        <v>10</v>
      </c>
      <c r="F26" s="56">
        <v>10</v>
      </c>
      <c r="G26" s="56">
        <v>10</v>
      </c>
      <c r="H26" s="56">
        <v>10</v>
      </c>
      <c r="I26" s="56">
        <v>10</v>
      </c>
      <c r="J26" s="56">
        <v>10</v>
      </c>
      <c r="K26" s="56">
        <v>10</v>
      </c>
      <c r="L26" s="56">
        <v>10</v>
      </c>
      <c r="M26" s="56">
        <v>10</v>
      </c>
      <c r="N26" s="56">
        <v>10</v>
      </c>
      <c r="O26" s="56">
        <v>10</v>
      </c>
      <c r="P26" s="56">
        <v>10</v>
      </c>
      <c r="Q26" s="56">
        <v>10</v>
      </c>
      <c r="R26" s="56">
        <v>10</v>
      </c>
      <c r="S26" s="56">
        <v>10</v>
      </c>
      <c r="T26" s="56">
        <v>10</v>
      </c>
      <c r="U26" s="56">
        <v>10</v>
      </c>
      <c r="V26" s="56">
        <v>10</v>
      </c>
      <c r="W26" s="56">
        <v>10</v>
      </c>
      <c r="X26" s="56">
        <v>10</v>
      </c>
      <c r="Y26" s="56">
        <v>10</v>
      </c>
      <c r="Z26" s="56">
        <v>10</v>
      </c>
      <c r="AA26" s="56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>
        <v>4</v>
      </c>
      <c r="C27" s="56">
        <v>4</v>
      </c>
      <c r="D27" s="56">
        <v>4</v>
      </c>
      <c r="E27" s="56">
        <v>4</v>
      </c>
      <c r="F27" s="56">
        <v>4</v>
      </c>
      <c r="G27" s="56">
        <v>4</v>
      </c>
      <c r="H27" s="56">
        <v>4</v>
      </c>
      <c r="I27" s="56">
        <v>4</v>
      </c>
      <c r="J27" s="56">
        <v>4</v>
      </c>
      <c r="K27" s="56">
        <v>4</v>
      </c>
      <c r="L27" s="49">
        <v>4</v>
      </c>
      <c r="M27" s="49">
        <v>4</v>
      </c>
      <c r="N27" s="49">
        <v>4</v>
      </c>
      <c r="O27" s="49">
        <v>4</v>
      </c>
      <c r="P27" s="49">
        <v>4</v>
      </c>
      <c r="Q27" s="49">
        <v>4</v>
      </c>
      <c r="R27" s="49">
        <v>4</v>
      </c>
      <c r="S27" s="49">
        <v>4</v>
      </c>
      <c r="T27" s="49">
        <v>4</v>
      </c>
      <c r="U27" s="49">
        <v>4</v>
      </c>
      <c r="V27" s="49">
        <v>4</v>
      </c>
      <c r="W27" s="49">
        <v>4</v>
      </c>
      <c r="X27" s="49">
        <v>4</v>
      </c>
      <c r="Y27" s="49">
        <v>4</v>
      </c>
      <c r="Z27" s="49">
        <v>4</v>
      </c>
      <c r="AA27" s="49">
        <v>4</v>
      </c>
      <c r="AB27" s="49">
        <v>4</v>
      </c>
      <c r="AC27" s="49">
        <v>4</v>
      </c>
      <c r="AD27" s="49">
        <v>4</v>
      </c>
      <c r="AE27" s="49">
        <v>4</v>
      </c>
      <c r="AF27" s="49">
        <v>4</v>
      </c>
      <c r="AG27" s="59">
        <v>10</v>
      </c>
      <c r="AH27" s="52">
        <f t="shared" si="2"/>
        <v>4</v>
      </c>
      <c r="AI27" s="53">
        <f t="shared" si="3"/>
        <v>4</v>
      </c>
      <c r="AK27" s="54"/>
    </row>
    <row r="28" spans="1:88" x14ac:dyDescent="0.25">
      <c r="A28" s="65" t="s">
        <v>35</v>
      </c>
      <c r="B28" s="56">
        <v>170</v>
      </c>
      <c r="C28" s="56">
        <v>170</v>
      </c>
      <c r="D28" s="56">
        <v>170</v>
      </c>
      <c r="E28" s="56">
        <v>170</v>
      </c>
      <c r="F28" s="56">
        <v>170</v>
      </c>
      <c r="G28" s="56">
        <v>170</v>
      </c>
      <c r="H28" s="56">
        <v>170</v>
      </c>
      <c r="I28" s="56">
        <v>170</v>
      </c>
      <c r="J28" s="56">
        <v>170</v>
      </c>
      <c r="K28" s="56">
        <v>170</v>
      </c>
      <c r="L28" s="56">
        <v>170</v>
      </c>
      <c r="M28" s="56">
        <v>170</v>
      </c>
      <c r="N28" s="56">
        <v>170</v>
      </c>
      <c r="O28" s="56">
        <v>170</v>
      </c>
      <c r="P28" s="56">
        <v>170</v>
      </c>
      <c r="Q28" s="56">
        <v>170</v>
      </c>
      <c r="R28" s="56">
        <v>170</v>
      </c>
      <c r="S28" s="56">
        <v>170</v>
      </c>
      <c r="T28" s="56">
        <v>170</v>
      </c>
      <c r="U28" s="56">
        <v>170</v>
      </c>
      <c r="V28" s="56">
        <v>170</v>
      </c>
      <c r="W28" s="56">
        <v>170</v>
      </c>
      <c r="X28" s="56">
        <v>170</v>
      </c>
      <c r="Y28" s="56">
        <v>170</v>
      </c>
      <c r="Z28" s="56">
        <v>180</v>
      </c>
      <c r="AA28" s="56">
        <v>170</v>
      </c>
      <c r="AB28" s="56">
        <v>170</v>
      </c>
      <c r="AC28" s="56">
        <v>170</v>
      </c>
      <c r="AD28" s="56">
        <v>180</v>
      </c>
      <c r="AE28" s="56">
        <v>170</v>
      </c>
      <c r="AF28" s="56">
        <v>170</v>
      </c>
      <c r="AG28" s="59">
        <v>85</v>
      </c>
      <c r="AH28" s="52">
        <f t="shared" si="2"/>
        <v>180</v>
      </c>
      <c r="AI28" s="53">
        <f t="shared" si="3"/>
        <v>170</v>
      </c>
      <c r="AK28" s="54"/>
    </row>
    <row r="29" spans="1:88" ht="15.75" thickBot="1" x14ac:dyDescent="0.3">
      <c r="A29" s="66" t="s">
        <v>36</v>
      </c>
      <c r="B29" s="56">
        <v>97.7</v>
      </c>
      <c r="C29" s="56">
        <v>99.6</v>
      </c>
      <c r="D29" s="56">
        <v>95.2</v>
      </c>
      <c r="E29" s="56">
        <v>95.6</v>
      </c>
      <c r="F29" s="56">
        <v>94.1</v>
      </c>
      <c r="G29" s="56">
        <v>92.2</v>
      </c>
      <c r="H29" s="56">
        <v>92.2</v>
      </c>
      <c r="I29" s="56">
        <v>89</v>
      </c>
      <c r="J29" s="56">
        <v>87.7</v>
      </c>
      <c r="K29" s="56">
        <v>88.1</v>
      </c>
      <c r="L29" s="67">
        <v>88.8</v>
      </c>
      <c r="M29" s="67">
        <v>90.6</v>
      </c>
      <c r="N29" s="67">
        <v>91.1</v>
      </c>
      <c r="O29" s="67">
        <v>94.6</v>
      </c>
      <c r="P29" s="67">
        <v>94.2</v>
      </c>
      <c r="Q29" s="67">
        <v>91.8</v>
      </c>
      <c r="R29" s="67">
        <v>91.1</v>
      </c>
      <c r="S29" s="67">
        <v>85.2</v>
      </c>
      <c r="T29" s="67">
        <v>95.5</v>
      </c>
      <c r="U29" s="67">
        <v>91.7</v>
      </c>
      <c r="V29" s="67">
        <v>96.3</v>
      </c>
      <c r="W29" s="67">
        <v>100.3</v>
      </c>
      <c r="X29" s="67">
        <v>96</v>
      </c>
      <c r="Y29" s="67">
        <v>104.7</v>
      </c>
      <c r="Z29" s="67">
        <v>106</v>
      </c>
      <c r="AA29" s="67">
        <v>108.7</v>
      </c>
      <c r="AB29" s="67">
        <v>108.4</v>
      </c>
      <c r="AC29" s="67">
        <v>108.7</v>
      </c>
      <c r="AD29" s="67">
        <v>115</v>
      </c>
      <c r="AE29" s="56">
        <v>105.2</v>
      </c>
      <c r="AF29" s="56">
        <v>104.6</v>
      </c>
      <c r="AG29" s="59">
        <v>240</v>
      </c>
      <c r="AH29" s="52">
        <f t="shared" si="2"/>
        <v>115</v>
      </c>
      <c r="AI29" s="53">
        <f t="shared" si="3"/>
        <v>85.2</v>
      </c>
      <c r="AK29" s="54"/>
    </row>
    <row r="30" spans="1:88" ht="15.75" thickBot="1" x14ac:dyDescent="0.3">
      <c r="A30" s="68" t="s">
        <v>37</v>
      </c>
      <c r="B30" s="69">
        <f>SUM(B11:B28)</f>
        <v>447.89999999999992</v>
      </c>
      <c r="C30" s="69">
        <f t="shared" ref="C30:AF30" si="4">SUM(C11:C28)</f>
        <v>447.49999999999994</v>
      </c>
      <c r="D30" s="69">
        <f t="shared" si="4"/>
        <v>441.59999999999997</v>
      </c>
      <c r="E30" s="69">
        <f t="shared" si="4"/>
        <v>440.2</v>
      </c>
      <c r="F30" s="69">
        <f t="shared" si="4"/>
        <v>438.69999999999993</v>
      </c>
      <c r="G30" s="69">
        <f t="shared" si="4"/>
        <v>438.59999999999997</v>
      </c>
      <c r="H30" s="69">
        <f t="shared" si="4"/>
        <v>438</v>
      </c>
      <c r="I30" s="69">
        <f t="shared" si="4"/>
        <v>438.8</v>
      </c>
      <c r="J30" s="69">
        <f t="shared" si="4"/>
        <v>438.6</v>
      </c>
      <c r="K30" s="69">
        <f t="shared" si="4"/>
        <v>436.6</v>
      </c>
      <c r="L30" s="69">
        <f t="shared" si="4"/>
        <v>437.4</v>
      </c>
      <c r="M30" s="69">
        <f t="shared" si="4"/>
        <v>437.4</v>
      </c>
      <c r="N30" s="69">
        <f t="shared" si="4"/>
        <v>432.70000000000005</v>
      </c>
      <c r="O30" s="69">
        <f t="shared" si="4"/>
        <v>434.6</v>
      </c>
      <c r="P30" s="69">
        <f t="shared" si="4"/>
        <v>431.1</v>
      </c>
      <c r="Q30" s="69">
        <f t="shared" si="4"/>
        <v>430.20000000000005</v>
      </c>
      <c r="R30" s="69">
        <f t="shared" si="4"/>
        <v>430.20000000000005</v>
      </c>
      <c r="S30" s="69">
        <f t="shared" si="4"/>
        <v>428</v>
      </c>
      <c r="T30" s="69">
        <f t="shared" si="4"/>
        <v>428.20000000000005</v>
      </c>
      <c r="U30" s="69">
        <f t="shared" si="4"/>
        <v>430.7</v>
      </c>
      <c r="V30" s="69">
        <f>SUM(V11:V28)</f>
        <v>430.7</v>
      </c>
      <c r="W30" s="69">
        <f t="shared" si="4"/>
        <v>432</v>
      </c>
      <c r="X30" s="69">
        <f t="shared" si="4"/>
        <v>433</v>
      </c>
      <c r="Y30" s="69">
        <f t="shared" si="4"/>
        <v>435.1</v>
      </c>
      <c r="Z30" s="69">
        <f t="shared" si="4"/>
        <v>441</v>
      </c>
      <c r="AA30" s="69">
        <f t="shared" si="4"/>
        <v>436.29999999999995</v>
      </c>
      <c r="AB30" s="69">
        <f t="shared" si="4"/>
        <v>436.29999999999995</v>
      </c>
      <c r="AC30" s="69">
        <f t="shared" si="4"/>
        <v>438.29999999999995</v>
      </c>
      <c r="AD30" s="69">
        <f t="shared" si="4"/>
        <v>450</v>
      </c>
      <c r="AE30" s="69">
        <f t="shared" si="4"/>
        <v>439.2</v>
      </c>
      <c r="AF30" s="69">
        <f t="shared" si="4"/>
        <v>435.5</v>
      </c>
      <c r="AG30" s="59">
        <f>SUM(AG11:AG29)</f>
        <v>729.2</v>
      </c>
      <c r="AH30" s="52">
        <f t="shared" si="2"/>
        <v>450</v>
      </c>
      <c r="AI30" s="53">
        <f t="shared" si="3"/>
        <v>428</v>
      </c>
      <c r="AK30" s="54"/>
    </row>
    <row r="31" spans="1:88" x14ac:dyDescent="0.25">
      <c r="A31" s="55" t="s">
        <v>38</v>
      </c>
      <c r="B31" s="56">
        <v>142.19999999999999</v>
      </c>
      <c r="C31" s="56">
        <v>142.19999999999999</v>
      </c>
      <c r="D31" s="56">
        <v>142.5</v>
      </c>
      <c r="E31" s="56">
        <v>142.9</v>
      </c>
      <c r="F31" s="56">
        <v>143.30000000000001</v>
      </c>
      <c r="G31" s="56">
        <v>143.4</v>
      </c>
      <c r="H31" s="56">
        <v>143.9</v>
      </c>
      <c r="I31" s="56">
        <v>143.80000000000001</v>
      </c>
      <c r="J31" s="56">
        <v>143.6</v>
      </c>
      <c r="K31" s="56">
        <v>144.1</v>
      </c>
      <c r="L31" s="49">
        <v>144</v>
      </c>
      <c r="M31" s="49">
        <v>133.4</v>
      </c>
      <c r="N31" s="49">
        <v>145</v>
      </c>
      <c r="O31" s="49">
        <v>144.9</v>
      </c>
      <c r="P31" s="49">
        <v>146.30000000000001</v>
      </c>
      <c r="Q31" s="49">
        <v>132.4</v>
      </c>
      <c r="R31" s="49">
        <v>146.4</v>
      </c>
      <c r="S31" s="49">
        <v>146.4</v>
      </c>
      <c r="T31" s="49">
        <v>144.5</v>
      </c>
      <c r="U31" s="49">
        <v>144</v>
      </c>
      <c r="V31" s="49">
        <v>143.80000000000001</v>
      </c>
      <c r="W31" s="49">
        <v>143.80000000000001</v>
      </c>
      <c r="X31" s="49">
        <v>136.6</v>
      </c>
      <c r="Y31" s="49">
        <v>141.30000000000001</v>
      </c>
      <c r="Z31" s="49">
        <v>144</v>
      </c>
      <c r="AA31" s="48">
        <v>144</v>
      </c>
      <c r="AB31" s="48">
        <v>143.9</v>
      </c>
      <c r="AC31" s="48">
        <v>143.9</v>
      </c>
      <c r="AD31" s="48">
        <v>143.4</v>
      </c>
      <c r="AE31" s="48">
        <v>143.6</v>
      </c>
      <c r="AF31" s="48">
        <v>143.80000000000001</v>
      </c>
      <c r="AG31" s="57">
        <v>144</v>
      </c>
      <c r="AH31" s="52">
        <f t="shared" si="2"/>
        <v>146.4</v>
      </c>
      <c r="AI31" s="53">
        <f t="shared" si="3"/>
        <v>132.4</v>
      </c>
      <c r="AK31" s="54"/>
    </row>
    <row r="32" spans="1:88" x14ac:dyDescent="0.25">
      <c r="A32" s="58" t="s">
        <v>39</v>
      </c>
      <c r="B32" s="56">
        <v>70</v>
      </c>
      <c r="C32" s="56">
        <v>70.400000000000006</v>
      </c>
      <c r="D32" s="56">
        <v>70.599999999999994</v>
      </c>
      <c r="E32" s="56">
        <v>70.5</v>
      </c>
      <c r="F32" s="56">
        <v>70.8</v>
      </c>
      <c r="G32" s="56">
        <v>71</v>
      </c>
      <c r="H32" s="56">
        <v>70.5</v>
      </c>
      <c r="I32" s="56">
        <v>71.400000000000006</v>
      </c>
      <c r="J32" s="56">
        <v>70.5</v>
      </c>
      <c r="K32" s="56">
        <v>70</v>
      </c>
      <c r="L32" s="70">
        <v>70.099999999999994</v>
      </c>
      <c r="M32" s="70">
        <v>70.7</v>
      </c>
      <c r="N32" s="70">
        <v>69.8</v>
      </c>
      <c r="O32" s="70">
        <v>70.3</v>
      </c>
      <c r="P32" s="70">
        <v>71.5</v>
      </c>
      <c r="Q32" s="70">
        <v>70.7</v>
      </c>
      <c r="R32" s="70">
        <v>72.099999999999994</v>
      </c>
      <c r="S32" s="70">
        <v>70.5</v>
      </c>
      <c r="T32" s="70">
        <v>71.5</v>
      </c>
      <c r="U32" s="70">
        <v>70.2</v>
      </c>
      <c r="V32" s="70">
        <v>69.400000000000006</v>
      </c>
      <c r="W32" s="70">
        <v>60</v>
      </c>
      <c r="X32" s="70">
        <v>46</v>
      </c>
      <c r="Y32" s="70">
        <v>69.7</v>
      </c>
      <c r="Z32" s="70">
        <v>70.099999999999994</v>
      </c>
      <c r="AA32" s="56">
        <v>70.7</v>
      </c>
      <c r="AB32" s="56">
        <v>71.5</v>
      </c>
      <c r="AC32" s="56">
        <v>71.400000000000006</v>
      </c>
      <c r="AD32" s="56">
        <v>70.400000000000006</v>
      </c>
      <c r="AE32" s="56">
        <v>71.5</v>
      </c>
      <c r="AF32" s="56">
        <v>70.400000000000006</v>
      </c>
      <c r="AG32" s="59">
        <v>70</v>
      </c>
      <c r="AH32" s="52">
        <f t="shared" si="2"/>
        <v>72.099999999999994</v>
      </c>
      <c r="AI32" s="53">
        <f t="shared" si="3"/>
        <v>46</v>
      </c>
      <c r="AK32" s="54"/>
    </row>
    <row r="33" spans="1:41" x14ac:dyDescent="0.25">
      <c r="A33" s="58" t="s">
        <v>40</v>
      </c>
      <c r="B33" s="56">
        <v>62.1</v>
      </c>
      <c r="C33" s="56">
        <v>62.1</v>
      </c>
      <c r="D33" s="56">
        <v>43.7</v>
      </c>
      <c r="E33" s="56">
        <v>45.7</v>
      </c>
      <c r="F33" s="56">
        <v>44.7</v>
      </c>
      <c r="G33" s="56">
        <v>45.6</v>
      </c>
      <c r="H33" s="56">
        <v>60.9</v>
      </c>
      <c r="I33" s="56">
        <v>63.6</v>
      </c>
      <c r="J33" s="56">
        <v>62.9</v>
      </c>
      <c r="K33" s="56">
        <v>63.6</v>
      </c>
      <c r="L33" s="70">
        <v>63</v>
      </c>
      <c r="M33" s="70">
        <v>40.299999999999997</v>
      </c>
      <c r="N33" s="70">
        <v>38</v>
      </c>
      <c r="O33" s="70">
        <v>37.5</v>
      </c>
      <c r="P33" s="70">
        <v>38.6</v>
      </c>
      <c r="Q33" s="70">
        <v>62</v>
      </c>
      <c r="R33" s="70">
        <v>62.3</v>
      </c>
      <c r="S33" s="70">
        <v>62.1</v>
      </c>
      <c r="T33" s="70">
        <v>62.5</v>
      </c>
      <c r="U33" s="70">
        <v>46</v>
      </c>
      <c r="V33" s="70">
        <v>46.7</v>
      </c>
      <c r="W33" s="70">
        <v>45.5</v>
      </c>
      <c r="X33" s="70">
        <v>33.5</v>
      </c>
      <c r="Y33" s="70">
        <v>63</v>
      </c>
      <c r="Z33" s="70">
        <v>63</v>
      </c>
      <c r="AA33" s="56">
        <v>63.2</v>
      </c>
      <c r="AB33" s="56">
        <v>63.2</v>
      </c>
      <c r="AC33" s="56">
        <v>63.2</v>
      </c>
      <c r="AD33" s="56">
        <v>63.1</v>
      </c>
      <c r="AE33" s="56">
        <v>63.2</v>
      </c>
      <c r="AF33" s="56">
        <v>63.3</v>
      </c>
      <c r="AG33" s="59">
        <v>69</v>
      </c>
      <c r="AH33" s="52">
        <f t="shared" si="2"/>
        <v>63.6</v>
      </c>
      <c r="AI33" s="53">
        <f t="shared" si="3"/>
        <v>33.5</v>
      </c>
      <c r="AK33" s="54"/>
    </row>
    <row r="34" spans="1:41" x14ac:dyDescent="0.25">
      <c r="A34" s="58" t="s">
        <v>41</v>
      </c>
      <c r="B34" s="56">
        <v>28.5</v>
      </c>
      <c r="C34" s="56">
        <v>28.5</v>
      </c>
      <c r="D34" s="56">
        <v>28.5</v>
      </c>
      <c r="E34" s="56">
        <v>28.5</v>
      </c>
      <c r="F34" s="56">
        <v>28.5</v>
      </c>
      <c r="G34" s="56">
        <v>28.2</v>
      </c>
      <c r="H34" s="56">
        <v>28.5</v>
      </c>
      <c r="I34" s="56">
        <v>28.5</v>
      </c>
      <c r="J34" s="56">
        <v>28.5</v>
      </c>
      <c r="K34" s="56">
        <v>28.5</v>
      </c>
      <c r="L34" s="70">
        <v>28.1</v>
      </c>
      <c r="M34" s="70">
        <v>28.1</v>
      </c>
      <c r="N34" s="70">
        <v>28.6</v>
      </c>
      <c r="O34" s="70">
        <v>28.5</v>
      </c>
      <c r="P34" s="70">
        <v>28.5</v>
      </c>
      <c r="Q34" s="70">
        <v>28.5</v>
      </c>
      <c r="R34" s="70">
        <v>28.5</v>
      </c>
      <c r="S34" s="70">
        <v>28.7</v>
      </c>
      <c r="T34" s="70">
        <v>28.5</v>
      </c>
      <c r="U34" s="70">
        <v>28.5</v>
      </c>
      <c r="V34" s="70">
        <v>28</v>
      </c>
      <c r="W34" s="70">
        <v>28.5</v>
      </c>
      <c r="X34" s="70">
        <v>28.5</v>
      </c>
      <c r="Y34" s="70">
        <v>28.5</v>
      </c>
      <c r="Z34" s="70">
        <v>28.5</v>
      </c>
      <c r="AA34" s="56">
        <v>28.5</v>
      </c>
      <c r="AB34" s="56">
        <v>28.9</v>
      </c>
      <c r="AC34" s="56">
        <v>28.7</v>
      </c>
      <c r="AD34" s="56">
        <v>28.5</v>
      </c>
      <c r="AE34" s="56">
        <v>28.5</v>
      </c>
      <c r="AF34" s="56">
        <v>28.1</v>
      </c>
      <c r="AG34" s="59">
        <v>60</v>
      </c>
      <c r="AH34" s="52">
        <f t="shared" si="2"/>
        <v>28.9</v>
      </c>
      <c r="AI34" s="53">
        <f t="shared" si="3"/>
        <v>28</v>
      </c>
      <c r="AK34" s="54"/>
    </row>
    <row r="35" spans="1:41" x14ac:dyDescent="0.25">
      <c r="A35" s="58" t="s">
        <v>42</v>
      </c>
      <c r="B35" s="56">
        <v>30</v>
      </c>
      <c r="C35" s="56">
        <v>30.1</v>
      </c>
      <c r="D35" s="56">
        <v>30</v>
      </c>
      <c r="E35" s="56">
        <v>30</v>
      </c>
      <c r="F35" s="56">
        <v>30</v>
      </c>
      <c r="G35" s="56">
        <v>30</v>
      </c>
      <c r="H35" s="56">
        <v>30.1</v>
      </c>
      <c r="I35" s="56">
        <v>30.1</v>
      </c>
      <c r="J35" s="56">
        <v>30</v>
      </c>
      <c r="K35" s="56">
        <v>30</v>
      </c>
      <c r="L35" s="49">
        <v>30</v>
      </c>
      <c r="M35" s="49">
        <v>30</v>
      </c>
      <c r="N35" s="49">
        <v>30</v>
      </c>
      <c r="O35" s="49">
        <v>30</v>
      </c>
      <c r="P35" s="49">
        <v>22.9</v>
      </c>
      <c r="Q35" s="49">
        <v>22.8</v>
      </c>
      <c r="R35" s="49">
        <v>22</v>
      </c>
      <c r="S35" s="49">
        <v>24.6</v>
      </c>
      <c r="T35" s="49">
        <v>20</v>
      </c>
      <c r="U35" s="49">
        <v>20.3</v>
      </c>
      <c r="V35" s="70">
        <v>20</v>
      </c>
      <c r="W35" s="70">
        <v>20</v>
      </c>
      <c r="X35" s="70">
        <v>20</v>
      </c>
      <c r="Y35" s="70">
        <v>20.7</v>
      </c>
      <c r="Z35" s="70">
        <v>25</v>
      </c>
      <c r="AA35" s="56">
        <v>30</v>
      </c>
      <c r="AB35" s="56">
        <v>30</v>
      </c>
      <c r="AC35" s="56">
        <v>30</v>
      </c>
      <c r="AD35" s="56">
        <v>30</v>
      </c>
      <c r="AE35" s="56">
        <v>30</v>
      </c>
      <c r="AF35" s="56">
        <v>15</v>
      </c>
      <c r="AG35" s="59">
        <v>30</v>
      </c>
      <c r="AH35" s="52">
        <f t="shared" si="2"/>
        <v>30.1</v>
      </c>
      <c r="AI35" s="53">
        <f t="shared" si="3"/>
        <v>15</v>
      </c>
      <c r="AK35" s="54"/>
    </row>
    <row r="36" spans="1:41" x14ac:dyDescent="0.25">
      <c r="A36" s="58" t="s">
        <v>43</v>
      </c>
      <c r="B36" s="71">
        <v>16.8</v>
      </c>
      <c r="C36" s="71">
        <v>16.8</v>
      </c>
      <c r="D36" s="71">
        <v>16.8</v>
      </c>
      <c r="E36" s="71">
        <v>16.8</v>
      </c>
      <c r="F36" s="71">
        <v>16.8</v>
      </c>
      <c r="G36" s="71">
        <v>16.8</v>
      </c>
      <c r="H36" s="71">
        <v>16.8</v>
      </c>
      <c r="I36" s="71">
        <v>16.8</v>
      </c>
      <c r="J36" s="71">
        <v>16.8</v>
      </c>
      <c r="K36" s="71">
        <v>16.8</v>
      </c>
      <c r="L36" s="49">
        <v>16.8</v>
      </c>
      <c r="M36" s="49">
        <v>16.8</v>
      </c>
      <c r="N36" s="49">
        <v>16.8</v>
      </c>
      <c r="O36" s="49">
        <v>16.8</v>
      </c>
      <c r="P36" s="49">
        <v>16.8</v>
      </c>
      <c r="Q36" s="49">
        <v>16.8</v>
      </c>
      <c r="R36" s="49">
        <v>14.7</v>
      </c>
      <c r="S36" s="49">
        <v>16.600000000000001</v>
      </c>
      <c r="T36" s="49">
        <v>16.600000000000001</v>
      </c>
      <c r="U36" s="49">
        <v>15.7</v>
      </c>
      <c r="V36" s="49">
        <v>17.3</v>
      </c>
      <c r="W36" s="49">
        <v>17.2</v>
      </c>
      <c r="X36" s="49">
        <v>17.2</v>
      </c>
      <c r="Y36" s="49">
        <v>17</v>
      </c>
      <c r="Z36" s="49">
        <v>16.899999999999999</v>
      </c>
      <c r="AA36" s="56">
        <v>16.8</v>
      </c>
      <c r="AB36" s="56">
        <v>16.899999999999999</v>
      </c>
      <c r="AC36" s="56">
        <v>16.600000000000001</v>
      </c>
      <c r="AD36" s="56">
        <v>16.3</v>
      </c>
      <c r="AE36" s="56">
        <v>16.3</v>
      </c>
      <c r="AF36" s="56">
        <v>16.3</v>
      </c>
      <c r="AG36" s="59">
        <v>24</v>
      </c>
      <c r="AH36" s="52">
        <f t="shared" si="2"/>
        <v>17.3</v>
      </c>
      <c r="AI36" s="53">
        <f t="shared" si="3"/>
        <v>14.7</v>
      </c>
      <c r="AK36" s="54"/>
    </row>
    <row r="37" spans="1:41" x14ac:dyDescent="0.25">
      <c r="A37" s="58" t="s">
        <v>44</v>
      </c>
      <c r="B37" s="56">
        <v>2.1</v>
      </c>
      <c r="C37" s="56">
        <v>2.1</v>
      </c>
      <c r="D37" s="56">
        <v>2.1</v>
      </c>
      <c r="E37" s="56">
        <v>2.1</v>
      </c>
      <c r="F37" s="56">
        <v>2.1</v>
      </c>
      <c r="G37" s="56">
        <v>2.1</v>
      </c>
      <c r="H37" s="56">
        <v>2.1</v>
      </c>
      <c r="I37" s="56">
        <v>2.1</v>
      </c>
      <c r="J37" s="56">
        <v>2.1</v>
      </c>
      <c r="K37" s="56">
        <v>2.1</v>
      </c>
      <c r="L37" s="49">
        <v>2.1</v>
      </c>
      <c r="M37" s="49">
        <v>2.1</v>
      </c>
      <c r="N37" s="49">
        <v>2.1</v>
      </c>
      <c r="O37" s="49">
        <v>2.1</v>
      </c>
      <c r="P37" s="49">
        <v>2.1</v>
      </c>
      <c r="Q37" s="49">
        <v>2.1</v>
      </c>
      <c r="R37" s="49">
        <v>2.1</v>
      </c>
      <c r="S37" s="49">
        <v>2.1</v>
      </c>
      <c r="T37" s="49">
        <v>2.1</v>
      </c>
      <c r="U37" s="49">
        <v>2.1</v>
      </c>
      <c r="V37" s="49">
        <v>2.1</v>
      </c>
      <c r="W37" s="49">
        <v>2.1</v>
      </c>
      <c r="X37" s="49">
        <v>2.1</v>
      </c>
      <c r="Y37" s="49">
        <v>2.1</v>
      </c>
      <c r="Z37" s="49">
        <v>2.1</v>
      </c>
      <c r="AA37" s="56">
        <v>2.1</v>
      </c>
      <c r="AB37" s="56">
        <v>2.1</v>
      </c>
      <c r="AC37" s="56">
        <v>2.1</v>
      </c>
      <c r="AD37" s="56">
        <v>2.1</v>
      </c>
      <c r="AE37" s="56">
        <v>2.1</v>
      </c>
      <c r="AF37" s="56">
        <v>2.1</v>
      </c>
      <c r="AG37" s="59">
        <v>15</v>
      </c>
      <c r="AH37" s="52">
        <f t="shared" si="2"/>
        <v>2.1</v>
      </c>
      <c r="AI37" s="53">
        <f t="shared" si="3"/>
        <v>2.1</v>
      </c>
      <c r="AK37" s="54"/>
    </row>
    <row r="38" spans="1:41" x14ac:dyDescent="0.25">
      <c r="A38" s="58" t="s">
        <v>45</v>
      </c>
      <c r="B38" s="56">
        <v>10</v>
      </c>
      <c r="C38" s="56">
        <v>10</v>
      </c>
      <c r="D38" s="56">
        <v>10</v>
      </c>
      <c r="E38" s="56">
        <v>10</v>
      </c>
      <c r="F38" s="56">
        <v>10</v>
      </c>
      <c r="G38" s="56">
        <v>10</v>
      </c>
      <c r="H38" s="56">
        <v>10</v>
      </c>
      <c r="I38" s="56">
        <v>10</v>
      </c>
      <c r="J38" s="56">
        <v>10</v>
      </c>
      <c r="K38" s="56">
        <v>10</v>
      </c>
      <c r="L38" s="49">
        <v>10</v>
      </c>
      <c r="M38" s="49">
        <v>10</v>
      </c>
      <c r="N38" s="49">
        <v>10</v>
      </c>
      <c r="O38" s="49">
        <v>10</v>
      </c>
      <c r="P38" s="49">
        <v>10</v>
      </c>
      <c r="Q38" s="49">
        <v>10</v>
      </c>
      <c r="R38" s="49">
        <v>10</v>
      </c>
      <c r="S38" s="49">
        <v>10</v>
      </c>
      <c r="T38" s="49">
        <v>10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49">
        <v>10</v>
      </c>
      <c r="AA38" s="56">
        <v>10</v>
      </c>
      <c r="AB38" s="56">
        <v>10</v>
      </c>
      <c r="AC38" s="56">
        <v>10</v>
      </c>
      <c r="AD38" s="56">
        <v>10</v>
      </c>
      <c r="AE38" s="56">
        <v>10</v>
      </c>
      <c r="AF38" s="56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71">
        <v>7</v>
      </c>
      <c r="C39" s="71">
        <v>7</v>
      </c>
      <c r="D39" s="71">
        <v>7</v>
      </c>
      <c r="E39" s="71">
        <v>7</v>
      </c>
      <c r="F39" s="71">
        <v>7</v>
      </c>
      <c r="G39" s="71">
        <v>7</v>
      </c>
      <c r="H39" s="71">
        <v>7</v>
      </c>
      <c r="I39" s="71">
        <v>7</v>
      </c>
      <c r="J39" s="71">
        <v>7</v>
      </c>
      <c r="K39" s="71">
        <v>7</v>
      </c>
      <c r="L39" s="49">
        <v>7</v>
      </c>
      <c r="M39" s="49">
        <v>7</v>
      </c>
      <c r="N39" s="49">
        <v>7</v>
      </c>
      <c r="O39" s="49">
        <v>7</v>
      </c>
      <c r="P39" s="49">
        <v>7</v>
      </c>
      <c r="Q39" s="49">
        <v>7</v>
      </c>
      <c r="R39" s="49">
        <v>7</v>
      </c>
      <c r="S39" s="49">
        <v>7</v>
      </c>
      <c r="T39" s="49">
        <v>7</v>
      </c>
      <c r="U39" s="49">
        <v>7</v>
      </c>
      <c r="V39" s="49">
        <v>7</v>
      </c>
      <c r="W39" s="49">
        <v>7</v>
      </c>
      <c r="X39" s="49">
        <v>7</v>
      </c>
      <c r="Y39" s="49">
        <v>7</v>
      </c>
      <c r="Z39" s="49">
        <v>12</v>
      </c>
      <c r="AA39" s="49">
        <v>12</v>
      </c>
      <c r="AB39" s="49">
        <v>12</v>
      </c>
      <c r="AC39" s="49">
        <v>12</v>
      </c>
      <c r="AD39" s="56">
        <v>12</v>
      </c>
      <c r="AE39" s="56">
        <v>12</v>
      </c>
      <c r="AF39" s="56">
        <v>12</v>
      </c>
      <c r="AG39" s="59">
        <v>14</v>
      </c>
      <c r="AH39" s="52">
        <f t="shared" si="2"/>
        <v>12</v>
      </c>
      <c r="AI39" s="53">
        <f t="shared" si="3"/>
        <v>7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8.6</v>
      </c>
      <c r="C40" s="56">
        <v>8.6</v>
      </c>
      <c r="D40" s="56">
        <v>8.6</v>
      </c>
      <c r="E40" s="56">
        <v>8.6</v>
      </c>
      <c r="F40" s="56">
        <v>8.6</v>
      </c>
      <c r="G40" s="56">
        <v>9.1</v>
      </c>
      <c r="H40" s="56">
        <v>9</v>
      </c>
      <c r="I40" s="56">
        <v>9</v>
      </c>
      <c r="J40" s="56">
        <v>9</v>
      </c>
      <c r="K40" s="56">
        <v>8.6</v>
      </c>
      <c r="L40" s="49">
        <v>9</v>
      </c>
      <c r="M40" s="49">
        <v>9</v>
      </c>
      <c r="N40" s="49">
        <v>9</v>
      </c>
      <c r="O40" s="49">
        <v>9</v>
      </c>
      <c r="P40" s="49">
        <v>9</v>
      </c>
      <c r="Q40" s="49">
        <v>9</v>
      </c>
      <c r="R40" s="49">
        <v>9</v>
      </c>
      <c r="S40" s="49">
        <v>9</v>
      </c>
      <c r="T40" s="49">
        <v>9</v>
      </c>
      <c r="U40" s="49">
        <v>9</v>
      </c>
      <c r="V40" s="49">
        <v>9</v>
      </c>
      <c r="W40" s="49">
        <v>9</v>
      </c>
      <c r="X40" s="49">
        <v>9</v>
      </c>
      <c r="Y40" s="49">
        <v>9</v>
      </c>
      <c r="Z40" s="49">
        <v>8.8000000000000007</v>
      </c>
      <c r="AA40" s="49">
        <v>8.8000000000000007</v>
      </c>
      <c r="AB40" s="49">
        <v>8.8000000000000007</v>
      </c>
      <c r="AC40" s="49">
        <v>8.8000000000000007</v>
      </c>
      <c r="AD40" s="56">
        <v>7.8</v>
      </c>
      <c r="AE40" s="56">
        <v>7.8</v>
      </c>
      <c r="AF40" s="56">
        <v>9.3000000000000007</v>
      </c>
      <c r="AG40" s="59">
        <v>10.050000000000001</v>
      </c>
      <c r="AH40" s="52">
        <f t="shared" si="2"/>
        <v>9.3000000000000007</v>
      </c>
      <c r="AI40" s="53">
        <f t="shared" si="3"/>
        <v>7.8</v>
      </c>
      <c r="AK40" s="54"/>
    </row>
    <row r="41" spans="1:41" x14ac:dyDescent="0.2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49">
        <v>5</v>
      </c>
      <c r="M41" s="49">
        <v>5</v>
      </c>
      <c r="N41" s="49">
        <v>5</v>
      </c>
      <c r="O41" s="49">
        <v>5</v>
      </c>
      <c r="P41" s="49">
        <v>5</v>
      </c>
      <c r="Q41" s="49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49">
        <v>5</v>
      </c>
      <c r="AB41" s="49">
        <v>5</v>
      </c>
      <c r="AC41" s="49">
        <v>5</v>
      </c>
      <c r="AD41" s="56">
        <v>5</v>
      </c>
      <c r="AE41" s="56">
        <v>5</v>
      </c>
      <c r="AF41" s="56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385.84000000000009</v>
      </c>
      <c r="C43" s="69">
        <f t="shared" si="6"/>
        <v>386.34000000000009</v>
      </c>
      <c r="D43" s="69">
        <f t="shared" si="6"/>
        <v>368.34000000000009</v>
      </c>
      <c r="E43" s="69">
        <f t="shared" si="6"/>
        <v>370.6400000000001</v>
      </c>
      <c r="F43" s="69">
        <f t="shared" si="6"/>
        <v>370.34000000000009</v>
      </c>
      <c r="G43" s="69">
        <f t="shared" si="6"/>
        <v>371.74000000000007</v>
      </c>
      <c r="H43" s="69">
        <f t="shared" si="6"/>
        <v>387.34000000000009</v>
      </c>
      <c r="I43" s="69">
        <f t="shared" si="6"/>
        <v>390.84000000000009</v>
      </c>
      <c r="J43" s="69">
        <f t="shared" si="6"/>
        <v>388.94000000000005</v>
      </c>
      <c r="K43" s="69">
        <f t="shared" si="6"/>
        <v>389.24000000000007</v>
      </c>
      <c r="L43" s="69">
        <f t="shared" si="6"/>
        <v>388.6400000000001</v>
      </c>
      <c r="M43" s="69">
        <f t="shared" si="6"/>
        <v>355.94000000000011</v>
      </c>
      <c r="N43" s="69">
        <f t="shared" si="6"/>
        <v>364.84000000000009</v>
      </c>
      <c r="O43" s="69">
        <f t="shared" si="6"/>
        <v>364.64000000000004</v>
      </c>
      <c r="P43" s="69">
        <f t="shared" si="6"/>
        <v>361.24000000000007</v>
      </c>
      <c r="Q43" s="69">
        <f t="shared" si="6"/>
        <v>369.84000000000009</v>
      </c>
      <c r="R43" s="69">
        <f t="shared" si="6"/>
        <v>382.64000000000004</v>
      </c>
      <c r="S43" s="69">
        <f t="shared" si="6"/>
        <v>385.54000000000008</v>
      </c>
      <c r="T43" s="69">
        <f t="shared" si="6"/>
        <v>380.24000000000007</v>
      </c>
      <c r="U43" s="69">
        <f t="shared" si="6"/>
        <v>361.34000000000003</v>
      </c>
      <c r="V43" s="69">
        <f t="shared" si="6"/>
        <v>361.84000000000009</v>
      </c>
      <c r="W43" s="69">
        <f t="shared" si="6"/>
        <v>351.64000000000004</v>
      </c>
      <c r="X43" s="69">
        <f t="shared" si="6"/>
        <v>318.44000000000005</v>
      </c>
      <c r="Y43" s="69">
        <f t="shared" si="6"/>
        <v>376.84000000000003</v>
      </c>
      <c r="Z43" s="69">
        <f t="shared" si="6"/>
        <v>388.94000000000005</v>
      </c>
      <c r="AA43" s="69">
        <f t="shared" si="6"/>
        <v>394.64000000000004</v>
      </c>
      <c r="AB43" s="69">
        <f t="shared" si="6"/>
        <v>395.84000000000003</v>
      </c>
      <c r="AC43" s="69">
        <f t="shared" si="6"/>
        <v>395.24000000000007</v>
      </c>
      <c r="AD43" s="69">
        <f t="shared" si="6"/>
        <v>392.1400000000001</v>
      </c>
      <c r="AE43" s="69">
        <f t="shared" si="6"/>
        <v>393.54000000000008</v>
      </c>
      <c r="AF43" s="69">
        <f t="shared" si="6"/>
        <v>378.84000000000009</v>
      </c>
      <c r="AG43" s="74">
        <f>SUM(AG31:AG42)</f>
        <v>464.91</v>
      </c>
      <c r="AH43" s="52">
        <f t="shared" si="2"/>
        <v>395.84000000000003</v>
      </c>
      <c r="AI43" s="53">
        <f t="shared" si="3"/>
        <v>318.44000000000005</v>
      </c>
      <c r="AK43" s="54"/>
    </row>
    <row r="44" spans="1:41" x14ac:dyDescent="0.25">
      <c r="A44" s="55" t="s">
        <v>51</v>
      </c>
      <c r="B44" s="56">
        <v>0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15.5</v>
      </c>
      <c r="K44" s="56">
        <v>29.5</v>
      </c>
      <c r="L44" s="75">
        <v>29.7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45</v>
      </c>
      <c r="AA44" s="49">
        <v>54.2</v>
      </c>
      <c r="AB44" s="49">
        <v>54.2</v>
      </c>
      <c r="AC44" s="49">
        <v>54.2</v>
      </c>
      <c r="AD44" s="49">
        <v>58.8</v>
      </c>
      <c r="AE44" s="49">
        <v>20</v>
      </c>
      <c r="AF44" s="49">
        <v>20</v>
      </c>
      <c r="AG44" s="57">
        <v>60</v>
      </c>
      <c r="AH44" s="52">
        <f t="shared" si="2"/>
        <v>58.8</v>
      </c>
      <c r="AI44" s="53">
        <f t="shared" si="3"/>
        <v>0</v>
      </c>
      <c r="AK44" s="54"/>
    </row>
    <row r="45" spans="1:41" x14ac:dyDescent="0.25">
      <c r="A45" s="58" t="s">
        <v>52</v>
      </c>
      <c r="B45" s="56">
        <v>0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5.9</v>
      </c>
      <c r="K45" s="56">
        <v>13.7</v>
      </c>
      <c r="L45" s="75">
        <v>13.9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70">
        <v>20</v>
      </c>
      <c r="AA45" s="70">
        <v>26.6</v>
      </c>
      <c r="AB45" s="70">
        <v>27</v>
      </c>
      <c r="AC45" s="70">
        <v>27</v>
      </c>
      <c r="AD45" s="70">
        <v>15</v>
      </c>
      <c r="AE45" s="70">
        <v>9.9</v>
      </c>
      <c r="AF45" s="70">
        <v>10.199999999999999</v>
      </c>
      <c r="AG45" s="59">
        <v>32</v>
      </c>
      <c r="AH45" s="52">
        <f t="shared" si="2"/>
        <v>27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2.2000000000000002</v>
      </c>
      <c r="K46" s="71">
        <v>5</v>
      </c>
      <c r="L46" s="76">
        <v>5.0999999999999996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77">
        <v>7</v>
      </c>
      <c r="AA46" s="77">
        <v>10.6</v>
      </c>
      <c r="AB46" s="77">
        <v>9.8000000000000007</v>
      </c>
      <c r="AC46" s="77">
        <v>9.9</v>
      </c>
      <c r="AD46" s="77">
        <v>6.3</v>
      </c>
      <c r="AE46" s="77">
        <v>3.6</v>
      </c>
      <c r="AF46" s="77">
        <v>3.7</v>
      </c>
      <c r="AG46" s="78">
        <v>14</v>
      </c>
      <c r="AH46" s="52">
        <f t="shared" si="2"/>
        <v>10.6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23.599999999999998</v>
      </c>
      <c r="K47" s="69">
        <f t="shared" si="7"/>
        <v>48.2</v>
      </c>
      <c r="L47" s="69">
        <f t="shared" si="7"/>
        <v>48.7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72</v>
      </c>
      <c r="AA47" s="69">
        <f t="shared" si="7"/>
        <v>91.4</v>
      </c>
      <c r="AB47" s="69">
        <f t="shared" si="7"/>
        <v>91</v>
      </c>
      <c r="AC47" s="69">
        <f t="shared" si="7"/>
        <v>91.100000000000009</v>
      </c>
      <c r="AD47" s="69">
        <f t="shared" si="7"/>
        <v>80.099999999999994</v>
      </c>
      <c r="AE47" s="69">
        <f t="shared" si="7"/>
        <v>33.5</v>
      </c>
      <c r="AF47" s="69">
        <f t="shared" si="7"/>
        <v>33.9</v>
      </c>
      <c r="AG47" s="74">
        <f>SUM(AG44:AG46)</f>
        <v>106</v>
      </c>
      <c r="AH47" s="52">
        <f t="shared" si="2"/>
        <v>91.4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69.599999999999994</v>
      </c>
      <c r="C48" s="49">
        <v>69</v>
      </c>
      <c r="D48" s="49">
        <v>44.9</v>
      </c>
      <c r="E48" s="49">
        <v>45</v>
      </c>
      <c r="F48" s="49">
        <v>40.1</v>
      </c>
      <c r="G48" s="49">
        <v>36.6</v>
      </c>
      <c r="H48" s="49">
        <v>30.91</v>
      </c>
      <c r="I48" s="49">
        <v>42.95</v>
      </c>
      <c r="J48" s="49">
        <v>43.69</v>
      </c>
      <c r="K48" s="49">
        <v>50.67</v>
      </c>
      <c r="L48" s="49">
        <v>55</v>
      </c>
      <c r="M48" s="49">
        <v>56.9</v>
      </c>
      <c r="N48" s="49">
        <v>69.599999999999994</v>
      </c>
      <c r="O48" s="49">
        <v>65.760000000000005</v>
      </c>
      <c r="P48" s="49">
        <v>72</v>
      </c>
      <c r="Q48" s="49">
        <v>77.239999999999995</v>
      </c>
      <c r="R48" s="49">
        <v>61</v>
      </c>
      <c r="S48" s="49">
        <v>64</v>
      </c>
      <c r="T48" s="49">
        <v>59</v>
      </c>
      <c r="U48" s="49">
        <v>61.7</v>
      </c>
      <c r="V48" s="49">
        <v>62</v>
      </c>
      <c r="W48" s="49">
        <v>58</v>
      </c>
      <c r="X48" s="49">
        <v>57</v>
      </c>
      <c r="Y48" s="49">
        <v>58.6</v>
      </c>
      <c r="Z48" s="49">
        <v>63</v>
      </c>
      <c r="AA48" s="49">
        <v>75</v>
      </c>
      <c r="AB48" s="49">
        <v>75.3</v>
      </c>
      <c r="AC48" s="49">
        <v>42</v>
      </c>
      <c r="AD48" s="49">
        <v>68</v>
      </c>
      <c r="AE48" s="49">
        <v>66</v>
      </c>
      <c r="AF48" s="49">
        <v>72</v>
      </c>
      <c r="AG48" s="57"/>
      <c r="AH48" s="52">
        <f t="shared" si="2"/>
        <v>77.239999999999995</v>
      </c>
      <c r="AI48" s="53">
        <f t="shared" si="3"/>
        <v>30.91</v>
      </c>
      <c r="AK48" s="54"/>
    </row>
    <row r="49" spans="1:37" x14ac:dyDescent="0.25">
      <c r="A49" s="58" t="s">
        <v>56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32</v>
      </c>
      <c r="AG49" s="59"/>
      <c r="AH49" s="52">
        <f t="shared" si="2"/>
        <v>32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135.1</v>
      </c>
      <c r="C50" s="70">
        <v>140</v>
      </c>
      <c r="D50" s="70">
        <v>165</v>
      </c>
      <c r="E50" s="70">
        <v>171</v>
      </c>
      <c r="F50" s="70">
        <v>160.30000000000001</v>
      </c>
      <c r="G50" s="49">
        <v>162.69999999999999</v>
      </c>
      <c r="H50" s="49">
        <v>131.5</v>
      </c>
      <c r="I50" s="70">
        <v>130</v>
      </c>
      <c r="J50" s="49">
        <v>159</v>
      </c>
      <c r="K50" s="49">
        <v>172</v>
      </c>
      <c r="L50" s="70">
        <v>150</v>
      </c>
      <c r="M50" s="70">
        <v>260</v>
      </c>
      <c r="N50" s="70">
        <v>254</v>
      </c>
      <c r="O50" s="70">
        <v>266</v>
      </c>
      <c r="P50" s="70">
        <v>256</v>
      </c>
      <c r="Q50" s="70">
        <v>263</v>
      </c>
      <c r="R50" s="70">
        <v>280</v>
      </c>
      <c r="S50" s="70">
        <v>289</v>
      </c>
      <c r="T50" s="70">
        <v>240</v>
      </c>
      <c r="U50" s="80">
        <v>232</v>
      </c>
      <c r="V50" s="80">
        <v>220</v>
      </c>
      <c r="W50" s="80">
        <v>220</v>
      </c>
      <c r="X50" s="80">
        <v>270</v>
      </c>
      <c r="Y50" s="80">
        <v>254</v>
      </c>
      <c r="Z50" s="80">
        <v>296</v>
      </c>
      <c r="AA50" s="70">
        <v>306</v>
      </c>
      <c r="AB50" s="70">
        <v>288</v>
      </c>
      <c r="AC50" s="70">
        <v>245</v>
      </c>
      <c r="AD50" s="70">
        <v>206</v>
      </c>
      <c r="AE50" s="70">
        <v>208</v>
      </c>
      <c r="AF50" s="70">
        <v>160</v>
      </c>
      <c r="AG50" s="81"/>
      <c r="AH50" s="52">
        <f t="shared" si="2"/>
        <v>306</v>
      </c>
      <c r="AI50" s="53">
        <f t="shared" si="3"/>
        <v>130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82">
        <v>0</v>
      </c>
      <c r="AB51" s="82">
        <v>0</v>
      </c>
      <c r="AC51" s="82">
        <v>0</v>
      </c>
      <c r="AD51" s="82">
        <v>0</v>
      </c>
      <c r="AE51" s="82">
        <v>0</v>
      </c>
      <c r="AF51" s="8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7</v>
      </c>
      <c r="AD53" s="83">
        <v>7</v>
      </c>
      <c r="AE53" s="83">
        <v>7</v>
      </c>
      <c r="AF53" s="83">
        <v>7</v>
      </c>
      <c r="AG53" s="81"/>
      <c r="AH53" s="52">
        <f t="shared" si="2"/>
        <v>7</v>
      </c>
      <c r="AI53" s="53">
        <f t="shared" si="3"/>
        <v>0</v>
      </c>
      <c r="AK53" s="54"/>
    </row>
    <row r="54" spans="1:37" x14ac:dyDescent="0.25">
      <c r="A54" s="58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82">
        <v>0</v>
      </c>
      <c r="AB55" s="82">
        <v>8.9</v>
      </c>
      <c r="AC55" s="82">
        <v>8.9</v>
      </c>
      <c r="AD55" s="82">
        <v>7</v>
      </c>
      <c r="AE55" s="82">
        <v>7</v>
      </c>
      <c r="AF55" s="82">
        <v>7</v>
      </c>
      <c r="AG55" s="81"/>
      <c r="AH55" s="52">
        <f t="shared" si="2"/>
        <v>8.9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>
        <v>0</v>
      </c>
      <c r="C57" s="82">
        <v>0</v>
      </c>
      <c r="D57" s="82">
        <v>0</v>
      </c>
      <c r="E57" s="82">
        <v>0</v>
      </c>
      <c r="F57" s="82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0</v>
      </c>
      <c r="Z57" s="70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204.7</v>
      </c>
      <c r="C59" s="69">
        <f t="shared" ref="C59:AF59" si="8">SUM(C48:C58)</f>
        <v>209</v>
      </c>
      <c r="D59" s="69">
        <f t="shared" si="8"/>
        <v>209.9</v>
      </c>
      <c r="E59" s="69">
        <f t="shared" si="8"/>
        <v>216</v>
      </c>
      <c r="F59" s="69">
        <f t="shared" si="8"/>
        <v>200.4</v>
      </c>
      <c r="G59" s="69">
        <f t="shared" si="8"/>
        <v>199.29999999999998</v>
      </c>
      <c r="H59" s="69">
        <f t="shared" si="8"/>
        <v>162.41</v>
      </c>
      <c r="I59" s="69">
        <f t="shared" si="8"/>
        <v>172.95</v>
      </c>
      <c r="J59" s="69">
        <f t="shared" si="8"/>
        <v>202.69</v>
      </c>
      <c r="K59" s="69">
        <f t="shared" si="8"/>
        <v>222.67000000000002</v>
      </c>
      <c r="L59" s="69">
        <f t="shared" si="8"/>
        <v>205</v>
      </c>
      <c r="M59" s="69">
        <f t="shared" si="8"/>
        <v>316.89999999999998</v>
      </c>
      <c r="N59" s="69">
        <f t="shared" si="8"/>
        <v>323.60000000000002</v>
      </c>
      <c r="O59" s="69">
        <f t="shared" si="8"/>
        <v>331.76</v>
      </c>
      <c r="P59" s="69">
        <f t="shared" si="8"/>
        <v>328</v>
      </c>
      <c r="Q59" s="69">
        <f t="shared" si="8"/>
        <v>340.24</v>
      </c>
      <c r="R59" s="69">
        <f t="shared" si="8"/>
        <v>341</v>
      </c>
      <c r="S59" s="69">
        <f t="shared" si="8"/>
        <v>353</v>
      </c>
      <c r="T59" s="69">
        <f t="shared" si="8"/>
        <v>299</v>
      </c>
      <c r="U59" s="69">
        <f t="shared" si="8"/>
        <v>293.7</v>
      </c>
      <c r="V59" s="69">
        <f t="shared" si="8"/>
        <v>282</v>
      </c>
      <c r="W59" s="69">
        <f t="shared" si="8"/>
        <v>278</v>
      </c>
      <c r="X59" s="69">
        <f t="shared" si="8"/>
        <v>327</v>
      </c>
      <c r="Y59" s="69">
        <f t="shared" si="8"/>
        <v>312.60000000000002</v>
      </c>
      <c r="Z59" s="69">
        <f t="shared" si="8"/>
        <v>359</v>
      </c>
      <c r="AA59" s="69">
        <f t="shared" si="8"/>
        <v>381</v>
      </c>
      <c r="AB59" s="69">
        <f t="shared" si="8"/>
        <v>372.2</v>
      </c>
      <c r="AC59" s="69">
        <f t="shared" si="8"/>
        <v>302.89999999999998</v>
      </c>
      <c r="AD59" s="69">
        <f t="shared" si="8"/>
        <v>288</v>
      </c>
      <c r="AE59" s="69">
        <f t="shared" si="8"/>
        <v>288</v>
      </c>
      <c r="AF59" s="69">
        <f t="shared" si="8"/>
        <v>278</v>
      </c>
      <c r="AG59" s="74">
        <f>SUM(AG48:AG58)</f>
        <v>0</v>
      </c>
      <c r="AH59" s="52">
        <f t="shared" si="2"/>
        <v>381</v>
      </c>
      <c r="AI59" s="53">
        <f t="shared" si="3"/>
        <v>162.41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1038.44</v>
      </c>
      <c r="C65" s="91">
        <f t="shared" ref="C65:AF65" si="10">C63+C59+C47+C43+C30+C64</f>
        <v>1042.8400000000001</v>
      </c>
      <c r="D65" s="91">
        <f t="shared" si="10"/>
        <v>1019.8400000000001</v>
      </c>
      <c r="E65" s="91">
        <f t="shared" si="10"/>
        <v>1026.8400000000001</v>
      </c>
      <c r="F65" s="91">
        <f t="shared" si="10"/>
        <v>1009.44</v>
      </c>
      <c r="G65" s="91">
        <f t="shared" si="10"/>
        <v>1009.6400000000001</v>
      </c>
      <c r="H65" s="91">
        <f t="shared" si="10"/>
        <v>987.75000000000011</v>
      </c>
      <c r="I65" s="91">
        <f t="shared" si="10"/>
        <v>1002.5900000000001</v>
      </c>
      <c r="J65" s="91">
        <f t="shared" si="10"/>
        <v>1053.83</v>
      </c>
      <c r="K65" s="91">
        <f t="shared" si="10"/>
        <v>1096.71</v>
      </c>
      <c r="L65" s="91">
        <f t="shared" si="10"/>
        <v>1079.7400000000002</v>
      </c>
      <c r="M65" s="91">
        <f t="shared" si="10"/>
        <v>1110.2400000000002</v>
      </c>
      <c r="N65" s="91">
        <f t="shared" si="10"/>
        <v>1121.1400000000001</v>
      </c>
      <c r="O65" s="91">
        <f t="shared" si="10"/>
        <v>1131</v>
      </c>
      <c r="P65" s="91">
        <f t="shared" si="10"/>
        <v>1120.3400000000001</v>
      </c>
      <c r="Q65" s="91">
        <f t="shared" si="10"/>
        <v>1140.2800000000002</v>
      </c>
      <c r="R65" s="91">
        <f t="shared" si="10"/>
        <v>1153.8400000000001</v>
      </c>
      <c r="S65" s="91">
        <f t="shared" si="10"/>
        <v>1166.54</v>
      </c>
      <c r="T65" s="91">
        <f t="shared" si="10"/>
        <v>1107.44</v>
      </c>
      <c r="U65" s="91">
        <f t="shared" si="10"/>
        <v>1085.74</v>
      </c>
      <c r="V65" s="91">
        <f t="shared" si="10"/>
        <v>1074.5400000000002</v>
      </c>
      <c r="W65" s="91">
        <f t="shared" si="10"/>
        <v>1061.6400000000001</v>
      </c>
      <c r="X65" s="91">
        <f t="shared" si="10"/>
        <v>1078.44</v>
      </c>
      <c r="Y65" s="91">
        <f t="shared" si="10"/>
        <v>1124.54</v>
      </c>
      <c r="Z65" s="91">
        <f t="shared" si="10"/>
        <v>1260.94</v>
      </c>
      <c r="AA65" s="91">
        <f t="shared" si="10"/>
        <v>1303.3399999999999</v>
      </c>
      <c r="AB65" s="91">
        <f t="shared" si="10"/>
        <v>1295.3399999999999</v>
      </c>
      <c r="AC65" s="91">
        <f t="shared" si="10"/>
        <v>1227.54</v>
      </c>
      <c r="AD65" s="91">
        <f t="shared" si="10"/>
        <v>1210.2400000000002</v>
      </c>
      <c r="AE65" s="91">
        <f t="shared" si="10"/>
        <v>1154.24</v>
      </c>
      <c r="AF65" s="91">
        <f t="shared" si="10"/>
        <v>1126.24</v>
      </c>
      <c r="AG65" s="74">
        <f>AG63+AG59+AG47+AG43+AG30+AG64</f>
        <v>1355.5100000000002</v>
      </c>
      <c r="AH65" s="52">
        <f t="shared" si="2"/>
        <v>1303.3399999999999</v>
      </c>
      <c r="AI65" s="53">
        <f t="shared" si="3"/>
        <v>987.75000000000011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50.064</v>
      </c>
      <c r="C72" s="94">
        <v>50.034999999999997</v>
      </c>
      <c r="D72" s="94">
        <v>50.030999999999999</v>
      </c>
      <c r="E72" s="94">
        <v>50.103000000000002</v>
      </c>
      <c r="F72" s="94">
        <v>50.030999999999999</v>
      </c>
      <c r="G72" s="94">
        <v>49.978000000000002</v>
      </c>
      <c r="H72" s="94">
        <v>50.05</v>
      </c>
      <c r="I72" s="94">
        <v>49.99</v>
      </c>
      <c r="J72" s="94">
        <v>50.072000000000003</v>
      </c>
      <c r="K72" s="94">
        <v>50.079000000000001</v>
      </c>
      <c r="L72" s="94">
        <v>50.06</v>
      </c>
      <c r="M72" s="94">
        <v>50.06</v>
      </c>
      <c r="N72" s="94">
        <v>49.95</v>
      </c>
      <c r="O72" s="94">
        <v>49.929000000000002</v>
      </c>
      <c r="P72" s="94">
        <v>49.89</v>
      </c>
      <c r="Q72" s="95">
        <v>50.03</v>
      </c>
      <c r="R72" s="94">
        <v>49.807000000000002</v>
      </c>
      <c r="S72" s="94">
        <v>49.96</v>
      </c>
      <c r="T72" s="94">
        <v>49.905999999999999</v>
      </c>
      <c r="U72" s="94">
        <v>49.942999999999998</v>
      </c>
      <c r="V72" s="94">
        <v>50.01</v>
      </c>
      <c r="W72" s="94">
        <v>50.04</v>
      </c>
      <c r="X72" s="94">
        <v>50.073</v>
      </c>
      <c r="Y72" s="94">
        <v>49.988</v>
      </c>
      <c r="Z72" s="94">
        <v>49.994999999999997</v>
      </c>
      <c r="AA72" s="94">
        <v>50.029000000000003</v>
      </c>
      <c r="AB72" s="94">
        <v>49.93</v>
      </c>
      <c r="AC72" s="94">
        <v>49.957000000000001</v>
      </c>
      <c r="AD72" s="94">
        <v>50.02</v>
      </c>
      <c r="AE72" s="94">
        <v>49.94</v>
      </c>
      <c r="AF72" s="96">
        <v>49.99</v>
      </c>
      <c r="AG72" s="97"/>
      <c r="AH72" s="52">
        <f t="shared" si="2"/>
        <v>50.103000000000002</v>
      </c>
      <c r="AI72" s="53">
        <f t="shared" si="3"/>
        <v>49.807000000000002</v>
      </c>
    </row>
    <row r="73" spans="1:35" x14ac:dyDescent="0.25">
      <c r="A73" s="98" t="s">
        <v>80</v>
      </c>
      <c r="B73" s="70">
        <v>125.3</v>
      </c>
      <c r="C73" s="70">
        <v>124.6</v>
      </c>
      <c r="D73" s="70">
        <v>126</v>
      </c>
      <c r="E73" s="70">
        <v>127</v>
      </c>
      <c r="F73" s="70">
        <v>126.7</v>
      </c>
      <c r="G73" s="70">
        <v>126.3</v>
      </c>
      <c r="H73" s="70">
        <v>124.5</v>
      </c>
      <c r="I73" s="70">
        <v>124.2</v>
      </c>
      <c r="J73" s="70">
        <v>124.5</v>
      </c>
      <c r="K73" s="70">
        <v>124.7</v>
      </c>
      <c r="L73" s="70">
        <v>124.7</v>
      </c>
      <c r="M73" s="70">
        <v>124.7</v>
      </c>
      <c r="N73" s="70">
        <v>122.6</v>
      </c>
      <c r="O73" s="70">
        <v>123.5</v>
      </c>
      <c r="P73" s="70">
        <v>123.4</v>
      </c>
      <c r="Q73" s="99">
        <v>123.7</v>
      </c>
      <c r="R73" s="99">
        <v>123.5</v>
      </c>
      <c r="S73" s="99">
        <v>123.5</v>
      </c>
      <c r="T73" s="99">
        <v>124.1</v>
      </c>
      <c r="U73" s="99">
        <v>124.9</v>
      </c>
      <c r="V73" s="99">
        <v>125.6</v>
      </c>
      <c r="W73" s="99">
        <v>126.1</v>
      </c>
      <c r="X73" s="99">
        <v>126.1</v>
      </c>
      <c r="Y73" s="99">
        <v>125.8</v>
      </c>
      <c r="Z73" s="99">
        <v>126.4</v>
      </c>
      <c r="AA73" s="70">
        <v>126.1</v>
      </c>
      <c r="AB73" s="70">
        <v>126</v>
      </c>
      <c r="AC73" s="70">
        <v>126.6</v>
      </c>
      <c r="AD73" s="70">
        <v>125.3</v>
      </c>
      <c r="AE73" s="70">
        <v>124.9</v>
      </c>
      <c r="AF73" s="100">
        <v>125.1</v>
      </c>
      <c r="AG73" s="101"/>
      <c r="AH73" s="52">
        <f t="shared" si="2"/>
        <v>127</v>
      </c>
      <c r="AI73" s="53">
        <f t="shared" si="3"/>
        <v>122.6</v>
      </c>
    </row>
    <row r="74" spans="1:35" x14ac:dyDescent="0.25">
      <c r="A74" s="98" t="s">
        <v>81</v>
      </c>
      <c r="B74" s="70">
        <v>128.5</v>
      </c>
      <c r="C74" s="70">
        <v>27.5</v>
      </c>
      <c r="D74" s="70">
        <v>128.6</v>
      </c>
      <c r="E74" s="70">
        <v>129.69999999999999</v>
      </c>
      <c r="F74" s="70">
        <v>129.69999999999999</v>
      </c>
      <c r="G74" s="70">
        <v>129</v>
      </c>
      <c r="H74" s="70">
        <v>127</v>
      </c>
      <c r="I74" s="70">
        <v>127.7</v>
      </c>
      <c r="J74" s="70">
        <v>127.7</v>
      </c>
      <c r="K74" s="70">
        <v>127.5</v>
      </c>
      <c r="L74" s="70">
        <v>127.5</v>
      </c>
      <c r="M74" s="70">
        <v>127.5</v>
      </c>
      <c r="N74" s="70">
        <v>125.4</v>
      </c>
      <c r="O74" s="70">
        <v>126.6</v>
      </c>
      <c r="P74" s="70">
        <v>126.2</v>
      </c>
      <c r="Q74" s="99">
        <v>126.6</v>
      </c>
      <c r="R74" s="99">
        <v>126.4</v>
      </c>
      <c r="S74" s="99">
        <v>126.4</v>
      </c>
      <c r="T74" s="99">
        <v>126.6</v>
      </c>
      <c r="U74" s="99">
        <v>127.6</v>
      </c>
      <c r="V74" s="99">
        <v>128.19999999999999</v>
      </c>
      <c r="W74" s="99">
        <v>128.69999999999999</v>
      </c>
      <c r="X74" s="99">
        <v>128.69999999999999</v>
      </c>
      <c r="Y74" s="99">
        <v>128.30000000000001</v>
      </c>
      <c r="Z74" s="99">
        <v>128.80000000000001</v>
      </c>
      <c r="AA74" s="70">
        <v>128.69999999999999</v>
      </c>
      <c r="AB74" s="70">
        <v>128.69999999999999</v>
      </c>
      <c r="AC74" s="70">
        <v>129.5</v>
      </c>
      <c r="AD74" s="70">
        <v>129</v>
      </c>
      <c r="AE74" s="70">
        <v>128.69999999999999</v>
      </c>
      <c r="AF74" s="100">
        <v>128.80000000000001</v>
      </c>
      <c r="AG74" s="101"/>
      <c r="AH74" s="52">
        <f t="shared" si="2"/>
        <v>129.69999999999999</v>
      </c>
      <c r="AI74" s="53">
        <f t="shared" si="3"/>
        <v>27.5</v>
      </c>
    </row>
    <row r="75" spans="1:35" x14ac:dyDescent="0.25">
      <c r="A75" s="98" t="s">
        <v>82</v>
      </c>
      <c r="B75" s="70">
        <v>130.9</v>
      </c>
      <c r="C75" s="70">
        <v>31.7</v>
      </c>
      <c r="D75" s="70">
        <v>131.4</v>
      </c>
      <c r="E75" s="70">
        <v>132</v>
      </c>
      <c r="F75" s="70">
        <v>132.80000000000001</v>
      </c>
      <c r="G75" s="70">
        <v>132.19999999999999</v>
      </c>
      <c r="H75" s="70">
        <v>129.69999999999999</v>
      </c>
      <c r="I75" s="70">
        <v>127.7</v>
      </c>
      <c r="J75" s="70">
        <v>125.9</v>
      </c>
      <c r="K75" s="70">
        <v>128.4</v>
      </c>
      <c r="L75" s="70">
        <v>128.69999999999999</v>
      </c>
      <c r="M75" s="70">
        <v>128.69999999999999</v>
      </c>
      <c r="N75" s="70">
        <v>127.1</v>
      </c>
      <c r="O75" s="70">
        <v>126.8</v>
      </c>
      <c r="P75" s="70">
        <v>128.5</v>
      </c>
      <c r="Q75" s="70">
        <v>124.6</v>
      </c>
      <c r="R75" s="70">
        <v>125</v>
      </c>
      <c r="S75" s="70">
        <v>125</v>
      </c>
      <c r="T75" s="99">
        <v>125.6</v>
      </c>
      <c r="U75" s="99">
        <v>129.6</v>
      </c>
      <c r="V75" s="99">
        <v>127.2</v>
      </c>
      <c r="W75" s="99">
        <v>127.9</v>
      </c>
      <c r="X75" s="99">
        <v>127.9</v>
      </c>
      <c r="Y75" s="99">
        <v>126.3</v>
      </c>
      <c r="Z75" s="99">
        <v>126.2</v>
      </c>
      <c r="AA75" s="70">
        <v>125.7</v>
      </c>
      <c r="AB75" s="70">
        <v>125</v>
      </c>
      <c r="AC75" s="70">
        <v>126.5</v>
      </c>
      <c r="AD75" s="70">
        <v>126.6</v>
      </c>
      <c r="AE75" s="70">
        <v>125.1</v>
      </c>
      <c r="AF75" s="100">
        <v>129.19999999999999</v>
      </c>
      <c r="AG75" s="101"/>
      <c r="AH75" s="52">
        <f t="shared" si="2"/>
        <v>132.80000000000001</v>
      </c>
      <c r="AI75" s="53">
        <f t="shared" si="3"/>
        <v>31.7</v>
      </c>
    </row>
    <row r="76" spans="1:35" x14ac:dyDescent="0.25">
      <c r="A76" s="102" t="s">
        <v>83</v>
      </c>
      <c r="B76" s="70">
        <v>132.80000000000001</v>
      </c>
      <c r="C76" s="70">
        <v>133.80000000000001</v>
      </c>
      <c r="D76" s="70">
        <v>133.9</v>
      </c>
      <c r="E76" s="70">
        <v>134.80000000000001</v>
      </c>
      <c r="F76" s="70">
        <v>135.5</v>
      </c>
      <c r="G76" s="70">
        <v>134.69999999999999</v>
      </c>
      <c r="H76" s="70">
        <v>133.1</v>
      </c>
      <c r="I76" s="70">
        <v>130.69999999999999</v>
      </c>
      <c r="J76" s="70">
        <v>128.5</v>
      </c>
      <c r="K76" s="70">
        <v>130</v>
      </c>
      <c r="L76" s="70">
        <v>131.1</v>
      </c>
      <c r="M76" s="70">
        <v>131.1</v>
      </c>
      <c r="N76" s="70">
        <v>130</v>
      </c>
      <c r="O76" s="70">
        <v>130</v>
      </c>
      <c r="P76" s="70">
        <v>131.6</v>
      </c>
      <c r="Q76" s="70">
        <v>128.30000000000001</v>
      </c>
      <c r="R76" s="70">
        <v>128.5</v>
      </c>
      <c r="S76" s="70">
        <v>128.5</v>
      </c>
      <c r="T76" s="99">
        <v>128.69999999999999</v>
      </c>
      <c r="U76" s="99">
        <v>131.80000000000001</v>
      </c>
      <c r="V76" s="99">
        <v>130.1</v>
      </c>
      <c r="W76" s="99">
        <v>129.5</v>
      </c>
      <c r="X76" s="99">
        <v>129.5</v>
      </c>
      <c r="Y76" s="99">
        <v>130.69999999999999</v>
      </c>
      <c r="Z76" s="99">
        <v>130</v>
      </c>
      <c r="AA76" s="70">
        <v>129.5</v>
      </c>
      <c r="AB76" s="70">
        <v>129.1</v>
      </c>
      <c r="AC76" s="70">
        <v>130.80000000000001</v>
      </c>
      <c r="AD76" s="70">
        <v>132</v>
      </c>
      <c r="AE76" s="70">
        <v>129</v>
      </c>
      <c r="AF76" s="100">
        <v>131.9</v>
      </c>
      <c r="AG76" s="101"/>
      <c r="AH76" s="52">
        <f t="shared" si="2"/>
        <v>135.5</v>
      </c>
      <c r="AI76" s="53">
        <f t="shared" si="3"/>
        <v>128.30000000000001</v>
      </c>
    </row>
    <row r="77" spans="1:35" x14ac:dyDescent="0.25">
      <c r="A77" s="102" t="s">
        <v>84</v>
      </c>
      <c r="B77" s="103">
        <v>142.19999999999999</v>
      </c>
      <c r="C77" s="103">
        <v>131.69999999999999</v>
      </c>
      <c r="D77" s="103">
        <v>136.19999999999999</v>
      </c>
      <c r="E77" s="103">
        <v>136.5</v>
      </c>
      <c r="F77" s="103">
        <v>134.80000000000001</v>
      </c>
      <c r="G77" s="103">
        <v>134.4</v>
      </c>
      <c r="H77" s="103">
        <v>134.6</v>
      </c>
      <c r="I77" s="103">
        <v>134.5</v>
      </c>
      <c r="J77" s="103">
        <v>136.19999999999999</v>
      </c>
      <c r="K77" s="103">
        <v>136.5</v>
      </c>
      <c r="L77" s="103">
        <v>136.19999999999999</v>
      </c>
      <c r="M77" s="103">
        <v>136.19999999999999</v>
      </c>
      <c r="N77" s="103">
        <v>127.8</v>
      </c>
      <c r="O77" s="103">
        <v>130.69999999999999</v>
      </c>
      <c r="P77" s="103">
        <v>132.6</v>
      </c>
      <c r="Q77" s="103">
        <v>132.69999999999999</v>
      </c>
      <c r="R77" s="103">
        <v>131.69999999999999</v>
      </c>
      <c r="S77" s="103">
        <v>131.69999999999999</v>
      </c>
      <c r="T77" s="99">
        <v>133.9</v>
      </c>
      <c r="U77" s="99">
        <v>133.1</v>
      </c>
      <c r="V77" s="99">
        <v>133.1</v>
      </c>
      <c r="W77" s="99">
        <v>134.69999999999999</v>
      </c>
      <c r="X77" s="99">
        <v>134.69999999999999</v>
      </c>
      <c r="Y77" s="99">
        <v>133.1</v>
      </c>
      <c r="Z77" s="99">
        <v>132.80000000000001</v>
      </c>
      <c r="AA77" s="103">
        <v>133.80000000000001</v>
      </c>
      <c r="AB77" s="103">
        <v>133.6</v>
      </c>
      <c r="AC77" s="103">
        <v>135.19999999999999</v>
      </c>
      <c r="AD77" s="103">
        <v>132.9</v>
      </c>
      <c r="AE77" s="103">
        <v>132.4</v>
      </c>
      <c r="AF77" s="104">
        <v>134.30000000000001</v>
      </c>
      <c r="AG77" s="105"/>
      <c r="AH77" s="52">
        <f t="shared" si="2"/>
        <v>142.19999999999999</v>
      </c>
      <c r="AI77" s="53">
        <f t="shared" si="3"/>
        <v>127.8</v>
      </c>
    </row>
    <row r="78" spans="1:35" x14ac:dyDescent="0.25">
      <c r="A78" s="98" t="s">
        <v>85</v>
      </c>
      <c r="B78" s="70">
        <v>135.19999999999999</v>
      </c>
      <c r="C78" s="70">
        <v>123.9</v>
      </c>
      <c r="D78" s="70">
        <v>129.4</v>
      </c>
      <c r="E78" s="70">
        <v>133.30000000000001</v>
      </c>
      <c r="F78" s="70">
        <v>130.6</v>
      </c>
      <c r="G78" s="70">
        <v>133.4</v>
      </c>
      <c r="H78" s="70">
        <v>133.80000000000001</v>
      </c>
      <c r="I78" s="70">
        <v>134.69999999999999</v>
      </c>
      <c r="J78" s="70">
        <v>130.9</v>
      </c>
      <c r="K78" s="70">
        <v>131.4</v>
      </c>
      <c r="L78" s="70">
        <v>131</v>
      </c>
      <c r="M78" s="70">
        <v>131</v>
      </c>
      <c r="N78" s="70">
        <v>123.6</v>
      </c>
      <c r="O78" s="70">
        <v>124.2</v>
      </c>
      <c r="P78" s="70">
        <v>127</v>
      </c>
      <c r="Q78" s="70">
        <v>126.7</v>
      </c>
      <c r="R78" s="70">
        <v>119.5</v>
      </c>
      <c r="S78" s="70">
        <v>119.5</v>
      </c>
      <c r="T78" s="99">
        <v>128.6</v>
      </c>
      <c r="U78" s="99">
        <v>127.3</v>
      </c>
      <c r="V78" s="99">
        <v>128.80000000000001</v>
      </c>
      <c r="W78" s="99">
        <v>132.5</v>
      </c>
      <c r="X78" s="99">
        <v>132.5</v>
      </c>
      <c r="Y78" s="99">
        <v>129.1</v>
      </c>
      <c r="Z78" s="99">
        <v>127.1</v>
      </c>
      <c r="AA78" s="70">
        <v>128.80000000000001</v>
      </c>
      <c r="AB78" s="70">
        <v>128.1</v>
      </c>
      <c r="AC78" s="70">
        <v>125.66</v>
      </c>
      <c r="AD78" s="70">
        <v>129</v>
      </c>
      <c r="AE78" s="70">
        <v>127.6</v>
      </c>
      <c r="AF78" s="100">
        <v>130.4</v>
      </c>
      <c r="AG78" s="101"/>
      <c r="AH78" s="52">
        <f>MAX(B78:AF78)</f>
        <v>135.19999999999999</v>
      </c>
      <c r="AI78" s="53">
        <f>MIN(B78:AF78)</f>
        <v>119.5</v>
      </c>
    </row>
    <row r="79" spans="1:35" ht="15.75" thickBot="1" x14ac:dyDescent="0.3">
      <c r="A79" s="98" t="s">
        <v>86</v>
      </c>
      <c r="B79" s="106">
        <v>65.599999999999994</v>
      </c>
      <c r="C79" s="106">
        <v>65</v>
      </c>
      <c r="D79" s="106">
        <v>65.7</v>
      </c>
      <c r="E79" s="106">
        <v>66</v>
      </c>
      <c r="F79" s="106">
        <v>66.3</v>
      </c>
      <c r="G79" s="106">
        <v>66</v>
      </c>
      <c r="H79" s="106">
        <v>65</v>
      </c>
      <c r="I79" s="106">
        <v>65.599999999999994</v>
      </c>
      <c r="J79" s="106">
        <v>65.3</v>
      </c>
      <c r="K79" s="106">
        <v>65.2</v>
      </c>
      <c r="L79" s="106">
        <v>65.099999999999994</v>
      </c>
      <c r="M79" s="106">
        <v>65.099999999999994</v>
      </c>
      <c r="N79" s="106">
        <v>64.2</v>
      </c>
      <c r="O79" s="106">
        <v>64.7</v>
      </c>
      <c r="P79" s="106">
        <v>64.3</v>
      </c>
      <c r="Q79" s="106">
        <v>64.900000000000006</v>
      </c>
      <c r="R79" s="106">
        <v>64.7</v>
      </c>
      <c r="S79" s="106">
        <v>64.7</v>
      </c>
      <c r="T79" s="106">
        <v>64.599999999999994</v>
      </c>
      <c r="U79" s="106">
        <v>65.2</v>
      </c>
      <c r="V79" s="106">
        <v>65.400000000000006</v>
      </c>
      <c r="W79" s="106">
        <v>66.099999999999994</v>
      </c>
      <c r="X79" s="106">
        <v>66.099999999999994</v>
      </c>
      <c r="Y79" s="106">
        <v>65.599999999999994</v>
      </c>
      <c r="Z79" s="106">
        <v>65.8</v>
      </c>
      <c r="AA79" s="106">
        <v>65.599999999999994</v>
      </c>
      <c r="AB79" s="106">
        <v>65.7</v>
      </c>
      <c r="AC79" s="106">
        <v>66.2</v>
      </c>
      <c r="AD79" s="106">
        <v>65.900000000000006</v>
      </c>
      <c r="AE79" s="106">
        <v>66</v>
      </c>
      <c r="AF79" s="107">
        <v>66.099999999999994</v>
      </c>
      <c r="AG79" s="108"/>
      <c r="AH79" s="52">
        <f>MAX(B79:AF79)</f>
        <v>66.3</v>
      </c>
      <c r="AI79" s="53">
        <f>MIN(B79:AF79)</f>
        <v>64.2</v>
      </c>
    </row>
    <row r="80" spans="1:35" x14ac:dyDescent="0.25">
      <c r="A80" s="109" t="s">
        <v>87</v>
      </c>
      <c r="B80" s="110">
        <f t="shared" ref="B80:AF80" si="19">SUMIF(B48:B57,"&gt;0")</f>
        <v>204.7</v>
      </c>
      <c r="C80" s="110">
        <f t="shared" si="19"/>
        <v>209</v>
      </c>
      <c r="D80" s="110">
        <f t="shared" si="19"/>
        <v>209.9</v>
      </c>
      <c r="E80" s="110">
        <f t="shared" si="19"/>
        <v>216</v>
      </c>
      <c r="F80" s="110">
        <f t="shared" si="19"/>
        <v>200.4</v>
      </c>
      <c r="G80" s="110">
        <f t="shared" si="19"/>
        <v>199.29999999999998</v>
      </c>
      <c r="H80" s="110">
        <f t="shared" si="19"/>
        <v>162.41</v>
      </c>
      <c r="I80" s="110">
        <f t="shared" si="19"/>
        <v>172.95</v>
      </c>
      <c r="J80" s="110">
        <f t="shared" si="19"/>
        <v>202.69</v>
      </c>
      <c r="K80" s="110">
        <f t="shared" si="19"/>
        <v>222.67000000000002</v>
      </c>
      <c r="L80" s="110">
        <f t="shared" si="19"/>
        <v>205</v>
      </c>
      <c r="M80" s="110">
        <f t="shared" si="19"/>
        <v>316.89999999999998</v>
      </c>
      <c r="N80" s="110">
        <f t="shared" si="19"/>
        <v>323.60000000000002</v>
      </c>
      <c r="O80" s="110">
        <f t="shared" si="19"/>
        <v>331.76</v>
      </c>
      <c r="P80" s="110">
        <f t="shared" si="19"/>
        <v>328</v>
      </c>
      <c r="Q80" s="110">
        <f t="shared" si="19"/>
        <v>340.24</v>
      </c>
      <c r="R80" s="110">
        <f t="shared" si="19"/>
        <v>341</v>
      </c>
      <c r="S80" s="110">
        <f t="shared" si="19"/>
        <v>353</v>
      </c>
      <c r="T80" s="110">
        <f t="shared" si="19"/>
        <v>299</v>
      </c>
      <c r="U80" s="110">
        <f t="shared" si="19"/>
        <v>293.7</v>
      </c>
      <c r="V80" s="110">
        <f t="shared" si="19"/>
        <v>282</v>
      </c>
      <c r="W80" s="110">
        <f t="shared" si="19"/>
        <v>278</v>
      </c>
      <c r="X80" s="110">
        <f t="shared" si="19"/>
        <v>327</v>
      </c>
      <c r="Y80" s="110">
        <f t="shared" si="19"/>
        <v>312.60000000000002</v>
      </c>
      <c r="Z80" s="110">
        <f t="shared" si="19"/>
        <v>359</v>
      </c>
      <c r="AA80" s="110">
        <f t="shared" si="19"/>
        <v>381</v>
      </c>
      <c r="AB80" s="110">
        <f t="shared" si="19"/>
        <v>372.2</v>
      </c>
      <c r="AC80" s="110">
        <f t="shared" si="19"/>
        <v>302.89999999999998</v>
      </c>
      <c r="AD80" s="110">
        <f t="shared" si="19"/>
        <v>288</v>
      </c>
      <c r="AE80" s="110">
        <f t="shared" si="19"/>
        <v>288</v>
      </c>
      <c r="AF80" s="110">
        <f t="shared" si="19"/>
        <v>278</v>
      </c>
      <c r="AG80" s="111"/>
      <c r="AH80" s="52">
        <f>MAX(B80:AF80)</f>
        <v>381</v>
      </c>
      <c r="AI80" s="53">
        <f>MIN(B80:AF80)</f>
        <v>162.41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134.72</v>
      </c>
      <c r="C82" s="115">
        <f t="shared" ref="C82:AF82" si="20">C11+C13+C17+C34+C36+C38+C40+C94+C108+C110+C121+C127+C130+C139+C143+C144+C147+C154+C159+C162+C163+C164+C172+C177+C83+C84+C85+C86+C99</f>
        <v>134.71999999999997</v>
      </c>
      <c r="D82" s="115">
        <f t="shared" si="20"/>
        <v>134.62</v>
      </c>
      <c r="E82" s="115">
        <f t="shared" si="20"/>
        <v>137.01999999999995</v>
      </c>
      <c r="F82" s="115">
        <f t="shared" si="20"/>
        <v>153.51999999999998</v>
      </c>
      <c r="G82" s="115">
        <f t="shared" si="20"/>
        <v>174.12</v>
      </c>
      <c r="H82" s="115">
        <f t="shared" si="20"/>
        <v>203.02</v>
      </c>
      <c r="I82" s="115">
        <f t="shared" si="20"/>
        <v>208.52</v>
      </c>
      <c r="J82" s="115">
        <f t="shared" si="20"/>
        <v>222.42000000000004</v>
      </c>
      <c r="K82" s="115">
        <f t="shared" si="20"/>
        <v>241.72</v>
      </c>
      <c r="L82" s="115">
        <f t="shared" si="20"/>
        <v>252.81999999999996</v>
      </c>
      <c r="M82" s="115">
        <f t="shared" si="20"/>
        <v>257.62</v>
      </c>
      <c r="N82" s="115">
        <f t="shared" si="20"/>
        <v>246.61999999999998</v>
      </c>
      <c r="O82" s="115">
        <f t="shared" si="20"/>
        <v>232.82000000000002</v>
      </c>
      <c r="P82" s="115">
        <f t="shared" si="20"/>
        <v>254.02000000000004</v>
      </c>
      <c r="Q82" s="115">
        <f t="shared" si="20"/>
        <v>231.72</v>
      </c>
      <c r="R82" s="115">
        <f t="shared" si="20"/>
        <v>229.61999999999998</v>
      </c>
      <c r="S82" s="115">
        <f t="shared" si="20"/>
        <v>268.52</v>
      </c>
      <c r="T82" s="115">
        <f t="shared" si="20"/>
        <v>226.01999999999998</v>
      </c>
      <c r="U82" s="115">
        <f t="shared" si="20"/>
        <v>215.42</v>
      </c>
      <c r="V82" s="115">
        <f t="shared" si="20"/>
        <v>222.72</v>
      </c>
      <c r="W82" s="115">
        <f t="shared" si="20"/>
        <v>227.71999999999997</v>
      </c>
      <c r="X82" s="115">
        <f t="shared" si="20"/>
        <v>240.21999999999997</v>
      </c>
      <c r="Y82" s="115">
        <f t="shared" si="20"/>
        <v>262.41999999999996</v>
      </c>
      <c r="Z82" s="115">
        <f t="shared" si="20"/>
        <v>296.32</v>
      </c>
      <c r="AA82" s="115">
        <f t="shared" si="20"/>
        <v>236.92</v>
      </c>
      <c r="AB82" s="115">
        <f t="shared" si="20"/>
        <v>327.02</v>
      </c>
      <c r="AC82" s="115">
        <f t="shared" si="20"/>
        <v>332.61999999999995</v>
      </c>
      <c r="AD82" s="115">
        <f t="shared" si="20"/>
        <v>178.92</v>
      </c>
      <c r="AE82" s="115">
        <f t="shared" si="20"/>
        <v>149.32000000000002</v>
      </c>
      <c r="AF82" s="115">
        <f t="shared" si="20"/>
        <v>138.52000000000001</v>
      </c>
      <c r="AG82" s="116"/>
      <c r="AH82" s="52">
        <f>MAX(B82:AF82)</f>
        <v>332.61999999999995</v>
      </c>
      <c r="AI82" s="53">
        <f>MIN(B82:AF82)</f>
        <v>134.62</v>
      </c>
    </row>
    <row r="83" spans="1:37" x14ac:dyDescent="0.25">
      <c r="A83" s="117" t="s">
        <v>89</v>
      </c>
      <c r="B83" s="118">
        <v>66.3</v>
      </c>
      <c r="C83" s="118">
        <v>68</v>
      </c>
      <c r="D83" s="118">
        <v>50</v>
      </c>
      <c r="E83" s="118">
        <v>51.6</v>
      </c>
      <c r="F83" s="118">
        <v>46.6</v>
      </c>
      <c r="G83" s="118">
        <v>55.9</v>
      </c>
      <c r="H83" s="118">
        <v>68.599999999999994</v>
      </c>
      <c r="I83" s="118">
        <v>74.599999999999994</v>
      </c>
      <c r="J83" s="118">
        <v>72.599999999999994</v>
      </c>
      <c r="K83" s="118">
        <v>73.5</v>
      </c>
      <c r="L83" s="118">
        <v>78.099999999999994</v>
      </c>
      <c r="M83" s="118">
        <v>64.5</v>
      </c>
      <c r="N83" s="118">
        <v>62</v>
      </c>
      <c r="O83" s="118">
        <v>57.3</v>
      </c>
      <c r="P83" s="118">
        <v>62.3</v>
      </c>
      <c r="Q83" s="118">
        <v>65</v>
      </c>
      <c r="R83" s="118">
        <v>58.5</v>
      </c>
      <c r="S83" s="118">
        <v>58</v>
      </c>
      <c r="T83" s="118">
        <v>66</v>
      </c>
      <c r="U83" s="118">
        <v>56.3</v>
      </c>
      <c r="V83" s="118">
        <v>57.3</v>
      </c>
      <c r="W83" s="118">
        <v>60</v>
      </c>
      <c r="X83" s="118">
        <v>50.3</v>
      </c>
      <c r="Y83" s="118">
        <v>64.5</v>
      </c>
      <c r="Z83" s="118">
        <v>56</v>
      </c>
      <c r="AA83" s="50">
        <v>51.8</v>
      </c>
      <c r="AB83" s="50">
        <v>50.3</v>
      </c>
      <c r="AC83" s="50">
        <v>68</v>
      </c>
      <c r="AD83" s="50">
        <v>58.2</v>
      </c>
      <c r="AE83" s="50">
        <v>57.8</v>
      </c>
      <c r="AF83" s="119">
        <v>58.3</v>
      </c>
      <c r="AG83" s="120">
        <v>75</v>
      </c>
      <c r="AH83" s="52">
        <f>IF(ABS(MAX(B83:AF83))&gt;ABS(MIN(B83:AF83)),MAX(B83:AF83),MIN(B83:AF83))</f>
        <v>78.099999999999994</v>
      </c>
      <c r="AI83" s="121">
        <f>INDEX($B$9:$AF$9,1,MATCH(AH83,B83:AF83,0))</f>
        <v>0.33333333333333331</v>
      </c>
    </row>
    <row r="84" spans="1:37" x14ac:dyDescent="0.25">
      <c r="A84" s="122" t="s">
        <v>90</v>
      </c>
      <c r="B84" s="83">
        <v>-52</v>
      </c>
      <c r="C84" s="83">
        <v>-45</v>
      </c>
      <c r="D84" s="83">
        <v>-33</v>
      </c>
      <c r="E84" s="83">
        <v>-37.299999999999997</v>
      </c>
      <c r="F84" s="83">
        <v>-27</v>
      </c>
      <c r="G84" s="83">
        <v>-28.6</v>
      </c>
      <c r="H84" s="83">
        <v>-32.799999999999997</v>
      </c>
      <c r="I84" s="83">
        <v>-31</v>
      </c>
      <c r="J84" s="83">
        <v>-32.5</v>
      </c>
      <c r="K84" s="83">
        <v>-28</v>
      </c>
      <c r="L84" s="83">
        <v>-30.9</v>
      </c>
      <c r="M84" s="83">
        <v>-4.5</v>
      </c>
      <c r="N84" s="83">
        <v>3.8</v>
      </c>
      <c r="O84" s="83">
        <v>-6</v>
      </c>
      <c r="P84" s="83">
        <v>10.3</v>
      </c>
      <c r="Q84" s="83">
        <v>-11.5</v>
      </c>
      <c r="R84" s="83">
        <v>-7</v>
      </c>
      <c r="S84" s="83">
        <v>-6.5</v>
      </c>
      <c r="T84" s="83">
        <v>-18</v>
      </c>
      <c r="U84" s="83">
        <v>-12</v>
      </c>
      <c r="V84" s="83">
        <v>-14</v>
      </c>
      <c r="W84" s="83">
        <v>-14</v>
      </c>
      <c r="X84" s="83">
        <v>-6.5</v>
      </c>
      <c r="Y84" s="83">
        <v>-9</v>
      </c>
      <c r="Z84" s="83">
        <v>-6.3</v>
      </c>
      <c r="AA84" s="70">
        <v>-44.5</v>
      </c>
      <c r="AB84" s="70">
        <v>46.8</v>
      </c>
      <c r="AC84" s="70">
        <v>67.900000000000006</v>
      </c>
      <c r="AD84" s="70">
        <f>-15-25.3</f>
        <v>-40.299999999999997</v>
      </c>
      <c r="AE84" s="70">
        <f>-19.3-24.4</f>
        <v>-43.7</v>
      </c>
      <c r="AF84" s="123">
        <v>-45.1</v>
      </c>
      <c r="AG84" s="120">
        <v>240</v>
      </c>
      <c r="AH84" s="52">
        <f>IF(ABS(MAX(B84:AF84))&gt;ABS(MIN(B84:AF84)),MAX(B84:AF84),MIN(B84:AF84))</f>
        <v>67.900000000000006</v>
      </c>
      <c r="AI84" s="121">
        <f>INDEX($B$9:$AF$9,1,MATCH(AH84,B84:AF84,0))</f>
        <v>0.875</v>
      </c>
    </row>
    <row r="85" spans="1:37" x14ac:dyDescent="0.25">
      <c r="A85" s="122" t="s">
        <v>91</v>
      </c>
      <c r="B85" s="83">
        <v>1.2</v>
      </c>
      <c r="C85" s="83">
        <v>-7.5</v>
      </c>
      <c r="D85" s="83">
        <v>-2.1</v>
      </c>
      <c r="E85" s="83">
        <v>-9.3000000000000007</v>
      </c>
      <c r="F85" s="83">
        <v>-6.6</v>
      </c>
      <c r="G85" s="83">
        <v>-5.7</v>
      </c>
      <c r="H85" s="83">
        <v>6</v>
      </c>
      <c r="I85" s="83">
        <v>-2</v>
      </c>
      <c r="J85" s="83">
        <v>8</v>
      </c>
      <c r="K85" s="83">
        <v>14.9</v>
      </c>
      <c r="L85" s="83">
        <v>16.600000000000001</v>
      </c>
      <c r="M85" s="83">
        <v>9.3000000000000007</v>
      </c>
      <c r="N85" s="83">
        <v>11.8</v>
      </c>
      <c r="O85" s="83">
        <v>11.3</v>
      </c>
      <c r="P85" s="83">
        <v>7.8</v>
      </c>
      <c r="Q85" s="83">
        <v>7.9</v>
      </c>
      <c r="R85" s="83">
        <v>8</v>
      </c>
      <c r="S85" s="83">
        <v>8.5</v>
      </c>
      <c r="T85" s="83">
        <v>8</v>
      </c>
      <c r="U85" s="83">
        <v>8</v>
      </c>
      <c r="V85" s="83">
        <v>8</v>
      </c>
      <c r="W85" s="83">
        <v>6.7</v>
      </c>
      <c r="X85" s="83">
        <v>11.8</v>
      </c>
      <c r="Y85" s="83">
        <v>11.6</v>
      </c>
      <c r="Z85" s="83">
        <v>33.6</v>
      </c>
      <c r="AA85" s="70">
        <v>32</v>
      </c>
      <c r="AB85" s="70">
        <v>31.8</v>
      </c>
      <c r="AC85" s="70">
        <v>21.4</v>
      </c>
      <c r="AD85" s="70">
        <v>15.6</v>
      </c>
      <c r="AE85" s="70">
        <v>1.2</v>
      </c>
      <c r="AF85" s="123">
        <v>2</v>
      </c>
      <c r="AG85" s="120">
        <v>60</v>
      </c>
      <c r="AH85" s="52">
        <f>IF(ABS(MAX(B85:AF85))&gt;ABS(MIN(B85:AF85)),MAX(B85:AF85),MIN(B85:AF85))</f>
        <v>33.6</v>
      </c>
      <c r="AI85" s="121">
        <f>INDEX($B$9:$AF$9,1,MATCH(AH85,B85:AF85,0))</f>
        <v>0.8125</v>
      </c>
    </row>
    <row r="86" spans="1:37" x14ac:dyDescent="0.25">
      <c r="A86" s="124" t="s">
        <v>92</v>
      </c>
      <c r="B86" s="85">
        <v>-74.599999999999994</v>
      </c>
      <c r="C86" s="85">
        <v>-75</v>
      </c>
      <c r="D86" s="85">
        <v>-75.2</v>
      </c>
      <c r="E86" s="85">
        <v>-62.6</v>
      </c>
      <c r="F86" s="85">
        <v>-54.9</v>
      </c>
      <c r="G86" s="85">
        <v>-43.9</v>
      </c>
      <c r="H86" s="85">
        <v>-34.9</v>
      </c>
      <c r="I86" s="85">
        <v>-27.7</v>
      </c>
      <c r="J86" s="85">
        <v>-20.2</v>
      </c>
      <c r="K86" s="85">
        <v>-11.6</v>
      </c>
      <c r="L86" s="85">
        <v>-4.7</v>
      </c>
      <c r="M86" s="85">
        <v>-5.4</v>
      </c>
      <c r="N86" s="85">
        <v>-22.3</v>
      </c>
      <c r="O86" s="85">
        <v>-23.2</v>
      </c>
      <c r="P86" s="85">
        <v>-19.399999999999999</v>
      </c>
      <c r="Q86" s="85">
        <v>-20.9</v>
      </c>
      <c r="R86" s="85">
        <v>-19</v>
      </c>
      <c r="S86" s="85">
        <v>18.5</v>
      </c>
      <c r="T86" s="85">
        <v>-20</v>
      </c>
      <c r="U86" s="85">
        <v>-26.2</v>
      </c>
      <c r="V86" s="85">
        <v>-19</v>
      </c>
      <c r="W86" s="85">
        <v>-16</v>
      </c>
      <c r="X86" s="85">
        <v>-7.4</v>
      </c>
      <c r="Y86" s="85">
        <v>3</v>
      </c>
      <c r="Z86" s="85">
        <v>20.6</v>
      </c>
      <c r="AA86" s="125">
        <v>0</v>
      </c>
      <c r="AB86" s="125">
        <v>0</v>
      </c>
      <c r="AC86" s="125">
        <v>-22.7</v>
      </c>
      <c r="AD86" s="125">
        <v>-51.9</v>
      </c>
      <c r="AE86" s="125">
        <v>-63.3</v>
      </c>
      <c r="AF86" s="126">
        <v>-70.400000000000006</v>
      </c>
      <c r="AG86" s="127">
        <v>120</v>
      </c>
      <c r="AH86" s="52">
        <f>IF(ABS(MAX(B86:AF86))&gt;ABS(MIN(B86:AF86)),MAX(B86:AF86),MIN(B86:AF86))</f>
        <v>-75.2</v>
      </c>
      <c r="AI86" s="121">
        <f>INDEX($B$9:$AF$9,1,MATCH(AH86,B86:AF86,0))</f>
        <v>0.125</v>
      </c>
    </row>
    <row r="87" spans="1:37" ht="15.75" thickBot="1" x14ac:dyDescent="0.3">
      <c r="A87" s="124" t="s">
        <v>93</v>
      </c>
      <c r="B87" s="85">
        <v>31.7</v>
      </c>
      <c r="C87" s="85">
        <v>46</v>
      </c>
      <c r="D87" s="85">
        <v>57.2</v>
      </c>
      <c r="E87" s="85">
        <v>47.4</v>
      </c>
      <c r="F87" s="85">
        <v>62</v>
      </c>
      <c r="G87" s="85">
        <v>51.9</v>
      </c>
      <c r="H87" s="85">
        <v>39.1</v>
      </c>
      <c r="I87" s="85">
        <v>33.6</v>
      </c>
      <c r="J87" s="85">
        <v>30.8</v>
      </c>
      <c r="K87" s="85">
        <v>21.1</v>
      </c>
      <c r="L87" s="85">
        <v>19.8</v>
      </c>
      <c r="M87" s="85">
        <v>59.2</v>
      </c>
      <c r="N87" s="85">
        <v>60.6</v>
      </c>
      <c r="O87" s="85">
        <v>64.5</v>
      </c>
      <c r="P87" s="85">
        <v>58.7</v>
      </c>
      <c r="Q87" s="85">
        <v>59.9</v>
      </c>
      <c r="R87" s="85">
        <v>68.8</v>
      </c>
      <c r="S87" s="85">
        <v>69</v>
      </c>
      <c r="T87" s="85">
        <v>48</v>
      </c>
      <c r="U87" s="85">
        <v>55.6</v>
      </c>
      <c r="V87" s="85">
        <v>50</v>
      </c>
      <c r="W87" s="85">
        <v>50</v>
      </c>
      <c r="X87" s="85">
        <v>54.6</v>
      </c>
      <c r="Y87" s="85">
        <v>47</v>
      </c>
      <c r="Z87" s="85">
        <v>41</v>
      </c>
      <c r="AA87" s="125">
        <v>41.3</v>
      </c>
      <c r="AB87" s="125">
        <v>42</v>
      </c>
      <c r="AC87" s="125">
        <v>20.8</v>
      </c>
      <c r="AD87" s="125">
        <v>26.1</v>
      </c>
      <c r="AE87" s="125">
        <v>43.1</v>
      </c>
      <c r="AF87" s="126">
        <v>44.5</v>
      </c>
      <c r="AG87" s="127"/>
      <c r="AH87" s="52">
        <f>IF(ABS(MAX(B87:AF87))&gt;ABS(MIN(B87:AF87)),MAX(B87:AF87),MIN(B87:AF87))</f>
        <v>69</v>
      </c>
      <c r="AI87" s="121">
        <f>INDEX($B$9:$AF$9,1,MATCH(AH87,B87:AF87,0))</f>
        <v>0.625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1110.2400000000002</v>
      </c>
      <c r="C188" s="164">
        <f>INDEX(F9:M9,1,MATCH(MAX(F65:M65),F65:M65,0))</f>
        <v>0.375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26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26)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26)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1038.44</v>
      </c>
      <c r="U193" s="173">
        <f t="shared" si="37"/>
        <v>1042.8400000000001</v>
      </c>
      <c r="V193" s="173">
        <f t="shared" si="37"/>
        <v>1019.8400000000001</v>
      </c>
      <c r="W193" s="173">
        <f t="shared" si="37"/>
        <v>1026.8400000000001</v>
      </c>
      <c r="X193" s="173">
        <f t="shared" si="37"/>
        <v>1009.44</v>
      </c>
      <c r="Y193" s="173">
        <f t="shared" si="37"/>
        <v>1009.6400000000001</v>
      </c>
      <c r="Z193" s="173">
        <f t="shared" si="37"/>
        <v>987.75000000000011</v>
      </c>
      <c r="AA193" s="173">
        <f t="shared" si="37"/>
        <v>1002.5900000000001</v>
      </c>
      <c r="AB193" s="173">
        <f t="shared" si="37"/>
        <v>1053.83</v>
      </c>
      <c r="AC193" s="173">
        <f t="shared" si="37"/>
        <v>1096.71</v>
      </c>
      <c r="AD193" s="173">
        <f t="shared" si="37"/>
        <v>1079.7400000000002</v>
      </c>
      <c r="AE193" s="173">
        <f t="shared" si="37"/>
        <v>1110.2400000000002</v>
      </c>
      <c r="AF193" s="173">
        <f t="shared" si="37"/>
        <v>1121.1400000000001</v>
      </c>
      <c r="AG193" s="173">
        <f t="shared" si="37"/>
        <v>1131</v>
      </c>
      <c r="AH193" s="173">
        <f t="shared" si="37"/>
        <v>1120.3400000000001</v>
      </c>
      <c r="AI193" s="173">
        <f t="shared" si="37"/>
        <v>1140.2800000000002</v>
      </c>
      <c r="AJ193" s="173">
        <f t="shared" si="37"/>
        <v>1153.8400000000001</v>
      </c>
      <c r="AK193" s="173">
        <f t="shared" si="37"/>
        <v>1166.54</v>
      </c>
      <c r="AL193" s="173">
        <f t="shared" si="37"/>
        <v>1107.44</v>
      </c>
      <c r="AM193" s="173">
        <f t="shared" si="37"/>
        <v>1085.74</v>
      </c>
      <c r="AN193" s="173">
        <f t="shared" si="37"/>
        <v>1074.5400000000002</v>
      </c>
      <c r="AO193" s="173">
        <f t="shared" si="37"/>
        <v>1061.6400000000001</v>
      </c>
      <c r="AP193" s="173">
        <f t="shared" si="37"/>
        <v>1078.44</v>
      </c>
      <c r="AQ193" s="173">
        <f t="shared" si="37"/>
        <v>1124.54</v>
      </c>
      <c r="AR193" s="173">
        <f t="shared" si="37"/>
        <v>1260.94</v>
      </c>
      <c r="AS193" s="173">
        <f t="shared" si="37"/>
        <v>1303.3399999999999</v>
      </c>
      <c r="AT193" s="173">
        <f t="shared" si="37"/>
        <v>1295.3399999999999</v>
      </c>
      <c r="AU193" s="173">
        <f t="shared" si="37"/>
        <v>1227.54</v>
      </c>
      <c r="AV193" s="173">
        <f t="shared" si="37"/>
        <v>1210.2400000000002</v>
      </c>
      <c r="AW193" s="173">
        <f t="shared" si="37"/>
        <v>1154.24</v>
      </c>
      <c r="AX193" s="173">
        <f t="shared" si="37"/>
        <v>1126.24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322" priority="146">
      <formula>S$9&gt;=20/24</formula>
    </cfRule>
    <cfRule type="expression" dxfId="1321" priority="147">
      <formula>AND(S$9&gt;=14/24,S$9&lt;20/24)</formula>
    </cfRule>
    <cfRule type="expression" dxfId="1320" priority="148">
      <formula>AND(S$9&gt;=8/24,S$9&lt;14/24)</formula>
    </cfRule>
    <cfRule type="expression" dxfId="1319" priority="149">
      <formula>S$9&lt;8/24</formula>
    </cfRule>
  </conditionalFormatting>
  <conditionalFormatting sqref="B8:AF10 AA70:AF70 B70:Q70 L32:Z33 L31:Q31 B47:AF47 B71:AF71 C173:AF179 M36 L29:Q29 M37:Q39 L49:T50 V35:W35 S34:W34 AA72:AF79 AA48:AF51 B59:AF69 G51:J52 B51:F58 B48:K50 L34:Q34 N72:Q72 B72:M79 N35:Q39 L51:Q58 R38:Z39 S11:U11 U11:Z12 X34:Z35 R54:Z58 N73:Z79 L44:AF46 AA39:AC39">
    <cfRule type="expression" dxfId="1318" priority="142">
      <formula>B$9&gt;=20/24</formula>
    </cfRule>
    <cfRule type="expression" dxfId="1317" priority="143">
      <formula>AND(B$9&gt;=14/24,B$9&lt;20/24)</formula>
    </cfRule>
    <cfRule type="expression" dxfId="1316" priority="144">
      <formula>AND(B$9&gt;=8/24,B$9&lt;14/24)</formula>
    </cfRule>
    <cfRule type="expression" dxfId="1315" priority="145">
      <formula>B$9&lt;8/24</formula>
    </cfRule>
  </conditionalFormatting>
  <conditionalFormatting sqref="B171:AF171">
    <cfRule type="expression" dxfId="1314" priority="138">
      <formula>B$9&gt;=20/24</formula>
    </cfRule>
    <cfRule type="expression" dxfId="1313" priority="139">
      <formula>AND(B$9&gt;=14/24,B$9&lt;20/24)</formula>
    </cfRule>
    <cfRule type="expression" dxfId="1312" priority="140">
      <formula>AND(B$9&gt;=8/24,B$9&lt;14/24)</formula>
    </cfRule>
    <cfRule type="expression" dxfId="1311" priority="141">
      <formula>B$9&lt;8/24</formula>
    </cfRule>
  </conditionalFormatting>
  <conditionalFormatting sqref="AL4:AL6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310" priority="133">
      <formula>L$9&gt;=20/24</formula>
    </cfRule>
    <cfRule type="expression" dxfId="1309" priority="134">
      <formula>AND(L$9&gt;=14/24,L$9&lt;20/24)</formula>
    </cfRule>
    <cfRule type="expression" dxfId="1308" priority="135">
      <formula>AND(L$9&gt;=8/24,L$9&lt;14/24)</formula>
    </cfRule>
    <cfRule type="expression" dxfId="1307" priority="136">
      <formula>L$9&lt;8/24</formula>
    </cfRule>
  </conditionalFormatting>
  <conditionalFormatting sqref="L35:N35">
    <cfRule type="expression" dxfId="1306" priority="129">
      <formula>L$9&gt;=20/24</formula>
    </cfRule>
    <cfRule type="expression" dxfId="1305" priority="130">
      <formula>AND(L$9&gt;=14/24,L$9&lt;20/24)</formula>
    </cfRule>
    <cfRule type="expression" dxfId="1304" priority="131">
      <formula>AND(L$9&gt;=8/24,L$9&lt;14/24)</formula>
    </cfRule>
    <cfRule type="expression" dxfId="1303" priority="132">
      <formula>L$9&lt;8/24</formula>
    </cfRule>
  </conditionalFormatting>
  <conditionalFormatting sqref="U13:Z13">
    <cfRule type="expression" dxfId="1302" priority="125">
      <formula>U$9&gt;=20/24</formula>
    </cfRule>
    <cfRule type="expression" dxfId="1301" priority="126">
      <formula>AND(U$9&gt;=14/24,U$9&lt;20/24)</formula>
    </cfRule>
    <cfRule type="expression" dxfId="1300" priority="127">
      <formula>AND(U$9&gt;=8/24,U$9&lt;14/24)</formula>
    </cfRule>
    <cfRule type="expression" dxfId="1299" priority="128">
      <formula>U$9&lt;8/24</formula>
    </cfRule>
  </conditionalFormatting>
  <conditionalFormatting sqref="R31:Z31">
    <cfRule type="expression" dxfId="1298" priority="121">
      <formula>R$9&gt;=20/24</formula>
    </cfRule>
    <cfRule type="expression" dxfId="1297" priority="122">
      <formula>AND(R$9&gt;=14/24,R$9&lt;20/24)</formula>
    </cfRule>
    <cfRule type="expression" dxfId="1296" priority="123">
      <formula>AND(R$9&gt;=8/24,R$9&lt;14/24)</formula>
    </cfRule>
    <cfRule type="expression" dxfId="1295" priority="124">
      <formula>R$9&lt;8/24</formula>
    </cfRule>
  </conditionalFormatting>
  <conditionalFormatting sqref="R48:Z48">
    <cfRule type="expression" dxfId="1294" priority="117">
      <formula>R$9&gt;=20/24</formula>
    </cfRule>
    <cfRule type="expression" dxfId="1293" priority="118">
      <formula>AND(R$9&gt;=14/24,R$9&lt;20/24)</formula>
    </cfRule>
    <cfRule type="expression" dxfId="1292" priority="119">
      <formula>AND(R$9&gt;=8/24,R$9&lt;14/24)</formula>
    </cfRule>
    <cfRule type="expression" dxfId="1291" priority="120">
      <formula>R$9&lt;8/24</formula>
    </cfRule>
  </conditionalFormatting>
  <conditionalFormatting sqref="R70:Z70">
    <cfRule type="expression" dxfId="1290" priority="113">
      <formula>R$9&gt;=20/24</formula>
    </cfRule>
    <cfRule type="expression" dxfId="1289" priority="114">
      <formula>AND(R$9&gt;=14/24,R$9&lt;20/24)</formula>
    </cfRule>
    <cfRule type="expression" dxfId="1288" priority="115">
      <formula>AND(R$9&gt;=8/24,R$9&lt;14/24)</formula>
    </cfRule>
    <cfRule type="expression" dxfId="1287" priority="116">
      <formula>R$9&lt;8/24</formula>
    </cfRule>
  </conditionalFormatting>
  <conditionalFormatting sqref="R72:Z72">
    <cfRule type="expression" dxfId="1286" priority="109">
      <formula>R$9&gt;=20/24</formula>
    </cfRule>
    <cfRule type="expression" dxfId="1285" priority="110">
      <formula>AND(R$9&gt;=14/24,R$9&lt;20/24)</formula>
    </cfRule>
    <cfRule type="expression" dxfId="1284" priority="111">
      <formula>AND(R$9&gt;=8/24,R$9&lt;14/24)</formula>
    </cfRule>
    <cfRule type="expression" dxfId="1283" priority="112">
      <formula>R$9&lt;8/24</formula>
    </cfRule>
  </conditionalFormatting>
  <conditionalFormatting sqref="L11:Z27 AA15:AA27">
    <cfRule type="expression" dxfId="1282" priority="105">
      <formula>L$9&gt;=20/24</formula>
    </cfRule>
    <cfRule type="expression" dxfId="1281" priority="106">
      <formula>AND(L$9&gt;=14/24,L$9&lt;20/24)</formula>
    </cfRule>
    <cfRule type="expression" dxfId="1280" priority="107">
      <formula>AND(L$9&gt;=8/24,L$9&lt;14/24)</formula>
    </cfRule>
    <cfRule type="expression" dxfId="1279" priority="108">
      <formula>L$9&lt;8/24</formula>
    </cfRule>
  </conditionalFormatting>
  <conditionalFormatting sqref="L40:AC40">
    <cfRule type="expression" dxfId="1278" priority="101">
      <formula>L$9&gt;=20/24</formula>
    </cfRule>
    <cfRule type="expression" dxfId="1277" priority="102">
      <formula>AND(L$9&gt;=14/24,L$9&lt;20/24)</formula>
    </cfRule>
    <cfRule type="expression" dxfId="1276" priority="103">
      <formula>AND(L$9&gt;=8/24,L$9&lt;14/24)</formula>
    </cfRule>
    <cfRule type="expression" dxfId="1275" priority="104">
      <formula>L$9&lt;8/24</formula>
    </cfRule>
  </conditionalFormatting>
  <conditionalFormatting sqref="L41:AC41">
    <cfRule type="expression" dxfId="1274" priority="97">
      <formula>L$9&gt;=20/24</formula>
    </cfRule>
    <cfRule type="expression" dxfId="1273" priority="98">
      <formula>AND(L$9&gt;=14/24,L$9&lt;20/24)</formula>
    </cfRule>
    <cfRule type="expression" dxfId="1272" priority="99">
      <formula>AND(L$9&gt;=8/24,L$9&lt;14/24)</formula>
    </cfRule>
    <cfRule type="expression" dxfId="1271" priority="100">
      <formula>L$9&lt;8/24</formula>
    </cfRule>
  </conditionalFormatting>
  <conditionalFormatting sqref="L36:N39 O36:Q36 N37:Q39 R38:Z39 AA39:AC39">
    <cfRule type="expression" dxfId="1270" priority="93">
      <formula>L$9&gt;=20/24</formula>
    </cfRule>
    <cfRule type="expression" dxfId="1269" priority="94">
      <formula>AND(L$9&gt;=14/24,L$9&lt;20/24)</formula>
    </cfRule>
    <cfRule type="expression" dxfId="1268" priority="95">
      <formula>AND(L$9&gt;=8/24,L$9&lt;14/24)</formula>
    </cfRule>
    <cfRule type="expression" dxfId="1267" priority="96">
      <formula>L$9&lt;8/24</formula>
    </cfRule>
  </conditionalFormatting>
  <conditionalFormatting sqref="R29:AD29">
    <cfRule type="expression" dxfId="1266" priority="89">
      <formula>R$9&gt;=20/24</formula>
    </cfRule>
    <cfRule type="expression" dxfId="1265" priority="90">
      <formula>AND(R$9&gt;=14/24,R$9&lt;20/24)</formula>
    </cfRule>
    <cfRule type="expression" dxfId="1264" priority="91">
      <formula>AND(R$9&gt;=8/24,R$9&lt;14/24)</formula>
    </cfRule>
    <cfRule type="expression" dxfId="1263" priority="92">
      <formula>R$9&lt;8/24</formula>
    </cfRule>
  </conditionalFormatting>
  <conditionalFormatting sqref="S12:T27 U12:U13 V12:V18 S19:V19 U14:Z27 AA15:AA27 AA16:AF27">
    <cfRule type="expression" dxfId="1262" priority="85">
      <formula>S$9&gt;=20/24</formula>
    </cfRule>
    <cfRule type="expression" dxfId="1261" priority="86">
      <formula>AND(S$9&gt;=14/24,S$9&lt;20/24)</formula>
    </cfRule>
    <cfRule type="expression" dxfId="1260" priority="87">
      <formula>AND(S$9&gt;=8/24,S$9&lt;14/24)</formula>
    </cfRule>
    <cfRule type="expression" dxfId="1259" priority="88">
      <formula>S$9&lt;8/24</formula>
    </cfRule>
  </conditionalFormatting>
  <conditionalFormatting sqref="R34:R39 S35:U39 S37:Z39 V36:Z39 AA39:AC39">
    <cfRule type="expression" dxfId="1258" priority="81">
      <formula>R$9&gt;=20/24</formula>
    </cfRule>
    <cfRule type="expression" dxfId="1257" priority="82">
      <formula>AND(R$9&gt;=14/24,R$9&lt;20/24)</formula>
    </cfRule>
    <cfRule type="expression" dxfId="1256" priority="83">
      <formula>AND(R$9&gt;=8/24,R$9&lt;14/24)</formula>
    </cfRule>
    <cfRule type="expression" dxfId="1255" priority="84">
      <formula>R$9&lt;8/24</formula>
    </cfRule>
  </conditionalFormatting>
  <conditionalFormatting sqref="R40:AC40">
    <cfRule type="expression" dxfId="1254" priority="77">
      <formula>R$9&gt;=20/24</formula>
    </cfRule>
    <cfRule type="expression" dxfId="1253" priority="78">
      <formula>AND(R$9&gt;=14/24,R$9&lt;20/24)</formula>
    </cfRule>
    <cfRule type="expression" dxfId="1252" priority="79">
      <formula>AND(R$9&gt;=8/24,R$9&lt;14/24)</formula>
    </cfRule>
    <cfRule type="expression" dxfId="1251" priority="80">
      <formula>R$9&lt;8/24</formula>
    </cfRule>
  </conditionalFormatting>
  <conditionalFormatting sqref="R41:AC41">
    <cfRule type="expression" dxfId="1250" priority="73">
      <formula>R$9&gt;=20/24</formula>
    </cfRule>
    <cfRule type="expression" dxfId="1249" priority="74">
      <formula>AND(R$9&gt;=14/24,R$9&lt;20/24)</formula>
    </cfRule>
    <cfRule type="expression" dxfId="1248" priority="75">
      <formula>AND(R$9&gt;=8/24,R$9&lt;14/24)</formula>
    </cfRule>
    <cfRule type="expression" dxfId="1247" priority="76">
      <formula>R$9&lt;8/24</formula>
    </cfRule>
  </conditionalFormatting>
  <conditionalFormatting sqref="R51:Z53 AA52:AF58">
    <cfRule type="expression" dxfId="1246" priority="69">
      <formula>R$9&gt;=20/24</formula>
    </cfRule>
    <cfRule type="expression" dxfId="1245" priority="70">
      <formula>AND(R$9&gt;=14/24,R$9&lt;20/24)</formula>
    </cfRule>
    <cfRule type="expression" dxfId="1244" priority="71">
      <formula>AND(R$9&gt;=8/24,R$9&lt;14/24)</formula>
    </cfRule>
    <cfRule type="expression" dxfId="1243" priority="72">
      <formula>R$9&lt;8/24</formula>
    </cfRule>
  </conditionalFormatting>
  <conditionalFormatting sqref="AA83:AF86">
    <cfRule type="expression" dxfId="1242" priority="65">
      <formula>AA$9&gt;=20/24</formula>
    </cfRule>
    <cfRule type="expression" dxfId="1241" priority="66">
      <formula>AND(AA$9&gt;=14/24,AA$9&lt;20/24)</formula>
    </cfRule>
    <cfRule type="expression" dxfId="1240" priority="67">
      <formula>AND(AA$9&gt;=8/24,AA$9&lt;14/24)</formula>
    </cfRule>
    <cfRule type="expression" dxfId="1239" priority="68">
      <formula>AA$9&lt;8/24</formula>
    </cfRule>
  </conditionalFormatting>
  <conditionalFormatting sqref="G53:J58">
    <cfRule type="expression" dxfId="1238" priority="61">
      <formula>G$9&gt;=20/24</formula>
    </cfRule>
    <cfRule type="expression" dxfId="1237" priority="62">
      <formula>AND(G$9&gt;=14/24,G$9&lt;20/24)</formula>
    </cfRule>
    <cfRule type="expression" dxfId="1236" priority="63">
      <formula>AND(G$9&gt;=8/24,G$9&lt;14/24)</formula>
    </cfRule>
    <cfRule type="expression" dxfId="1235" priority="64">
      <formula>G$9&lt;8/24</formula>
    </cfRule>
  </conditionalFormatting>
  <conditionalFormatting sqref="B83:K86">
    <cfRule type="expression" dxfId="1234" priority="57">
      <formula>B$9&gt;=20/24</formula>
    </cfRule>
    <cfRule type="expression" dxfId="1233" priority="58">
      <formula>AND(B$9&gt;=14/24,B$9&lt;20/24)</formula>
    </cfRule>
    <cfRule type="expression" dxfId="1232" priority="59">
      <formula>AND(B$9&gt;=8/24,B$9&lt;14/24)</formula>
    </cfRule>
    <cfRule type="expression" dxfId="1231" priority="60">
      <formula>B$9&lt;8/24</formula>
    </cfRule>
  </conditionalFormatting>
  <conditionalFormatting sqref="L83:Q86">
    <cfRule type="expression" dxfId="1230" priority="53">
      <formula>L$9&gt;=20/24</formula>
    </cfRule>
    <cfRule type="expression" dxfId="1229" priority="54">
      <formula>AND(L$9&gt;=14/24,L$9&lt;20/24)</formula>
    </cfRule>
    <cfRule type="expression" dxfId="1228" priority="55">
      <formula>AND(L$9&gt;=8/24,L$9&lt;14/24)</formula>
    </cfRule>
    <cfRule type="expression" dxfId="1227" priority="56">
      <formula>L$9&lt;8/24</formula>
    </cfRule>
  </conditionalFormatting>
  <conditionalFormatting sqref="R83:Z86">
    <cfRule type="expression" dxfId="1226" priority="49">
      <formula>R$9&gt;=20/24</formula>
    </cfRule>
    <cfRule type="expression" dxfId="1225" priority="50">
      <formula>AND(R$9&gt;=14/24,R$9&lt;20/24)</formula>
    </cfRule>
    <cfRule type="expression" dxfId="1224" priority="51">
      <formula>AND(R$9&gt;=8/24,R$9&lt;14/24)</formula>
    </cfRule>
    <cfRule type="expression" dxfId="1223" priority="52">
      <formula>R$9&lt;8/24</formula>
    </cfRule>
  </conditionalFormatting>
  <conditionalFormatting sqref="AG42 M11:M27 L20:Q27 B11:Q19 R11:AF27 B28:AF47">
    <cfRule type="expression" dxfId="1222" priority="48">
      <formula>B11&gt;$AG11</formula>
    </cfRule>
  </conditionalFormatting>
  <conditionalFormatting sqref="T192:AX192">
    <cfRule type="expression" dxfId="1221" priority="44">
      <formula>T$9&gt;=20/24</formula>
    </cfRule>
    <cfRule type="expression" dxfId="1220" priority="45">
      <formula>AND(T$9&gt;=14/24,T$9&lt;20/24)</formula>
    </cfRule>
    <cfRule type="expression" dxfId="1219" priority="46">
      <formula>AND(T$9&gt;=8/24,T$9&lt;14/24)</formula>
    </cfRule>
    <cfRule type="expression" dxfId="1218" priority="47">
      <formula>T$9&lt;8/24</formula>
    </cfRule>
  </conditionalFormatting>
  <conditionalFormatting sqref="A11:A86 A88:A180">
    <cfRule type="expression" dxfId="1217" priority="43">
      <formula>$AH11=0</formula>
    </cfRule>
  </conditionalFormatting>
  <conditionalFormatting sqref="AA87:AF87">
    <cfRule type="expression" dxfId="1216" priority="39">
      <formula>AA$9&gt;=20/24</formula>
    </cfRule>
    <cfRule type="expression" dxfId="1215" priority="40">
      <formula>AND(AA$9&gt;=14/24,AA$9&lt;20/24)</formula>
    </cfRule>
    <cfRule type="expression" dxfId="1214" priority="41">
      <formula>AND(AA$9&gt;=8/24,AA$9&lt;14/24)</formula>
    </cfRule>
    <cfRule type="expression" dxfId="1213" priority="42">
      <formula>AA$9&lt;8/24</formula>
    </cfRule>
  </conditionalFormatting>
  <conditionalFormatting sqref="B87:K87">
    <cfRule type="expression" dxfId="1212" priority="35">
      <formula>B$9&gt;=20/24</formula>
    </cfRule>
    <cfRule type="expression" dxfId="1211" priority="36">
      <formula>AND(B$9&gt;=14/24,B$9&lt;20/24)</formula>
    </cfRule>
    <cfRule type="expression" dxfId="1210" priority="37">
      <formula>AND(B$9&gt;=8/24,B$9&lt;14/24)</formula>
    </cfRule>
    <cfRule type="expression" dxfId="1209" priority="38">
      <formula>B$9&lt;8/24</formula>
    </cfRule>
  </conditionalFormatting>
  <conditionalFormatting sqref="L87:Q87">
    <cfRule type="expression" dxfId="1208" priority="31">
      <formula>L$9&gt;=20/24</formula>
    </cfRule>
    <cfRule type="expression" dxfId="1207" priority="32">
      <formula>AND(L$9&gt;=14/24,L$9&lt;20/24)</formula>
    </cfRule>
    <cfRule type="expression" dxfId="1206" priority="33">
      <formula>AND(L$9&gt;=8/24,L$9&lt;14/24)</formula>
    </cfRule>
    <cfRule type="expression" dxfId="1205" priority="34">
      <formula>L$9&lt;8/24</formula>
    </cfRule>
  </conditionalFormatting>
  <conditionalFormatting sqref="R87:Z87">
    <cfRule type="expression" dxfId="1204" priority="27">
      <formula>R$9&gt;=20/24</formula>
    </cfRule>
    <cfRule type="expression" dxfId="1203" priority="28">
      <formula>AND(R$9&gt;=14/24,R$9&lt;20/24)</formula>
    </cfRule>
    <cfRule type="expression" dxfId="1202" priority="29">
      <formula>AND(R$9&gt;=8/24,R$9&lt;14/24)</formula>
    </cfRule>
    <cfRule type="expression" dxfId="1201" priority="30">
      <formula>R$9&lt;8/24</formula>
    </cfRule>
  </conditionalFormatting>
  <conditionalFormatting sqref="A87">
    <cfRule type="expression" dxfId="1200" priority="26">
      <formula>$AH87=0</formula>
    </cfRule>
  </conditionalFormatting>
  <conditionalFormatting sqref="B28:AF28">
    <cfRule type="expression" dxfId="1199" priority="22">
      <formula>B$9&gt;=20/24</formula>
    </cfRule>
    <cfRule type="expression" dxfId="1198" priority="23">
      <formula>AND(B$9&gt;=14/24,B$9&lt;20/24)</formula>
    </cfRule>
    <cfRule type="expression" dxfId="1197" priority="24">
      <formula>AND(B$9&gt;=8/24,B$9&lt;14/24)</formula>
    </cfRule>
    <cfRule type="expression" dxfId="1196" priority="25">
      <formula>B$9&lt;8/24</formula>
    </cfRule>
  </conditionalFormatting>
  <conditionalFormatting sqref="R28:AA28">
    <cfRule type="expression" dxfId="1195" priority="18">
      <formula>R$9&gt;=20/24</formula>
    </cfRule>
    <cfRule type="expression" dxfId="1194" priority="19">
      <formula>AND(R$9&gt;=14/24,R$9&lt;20/24)</formula>
    </cfRule>
    <cfRule type="expression" dxfId="1193" priority="20">
      <formula>AND(R$9&gt;=8/24,R$9&lt;14/24)</formula>
    </cfRule>
    <cfRule type="expression" dxfId="1192" priority="21">
      <formula>R$9&lt;8/24</formula>
    </cfRule>
  </conditionalFormatting>
  <conditionalFormatting sqref="B20:K27">
    <cfRule type="expression" dxfId="1191" priority="14">
      <formula>B$9&gt;=20/24</formula>
    </cfRule>
    <cfRule type="expression" dxfId="1190" priority="15">
      <formula>AND(B$9&gt;=14/24,B$9&lt;20/24)</formula>
    </cfRule>
    <cfRule type="expression" dxfId="1189" priority="16">
      <formula>AND(B$9&gt;=8/24,B$9&lt;14/24)</formula>
    </cfRule>
    <cfRule type="expression" dxfId="1188" priority="17">
      <formula>B$9&lt;8/24</formula>
    </cfRule>
  </conditionalFormatting>
  <conditionalFormatting sqref="B20:K27">
    <cfRule type="expression" dxfId="1187" priority="13">
      <formula>B20&gt;$AG20</formula>
    </cfRule>
  </conditionalFormatting>
  <conditionalFormatting sqref="B20:K27">
    <cfRule type="expression" dxfId="1186" priority="9">
      <formula>B$9&gt;=20/24</formula>
    </cfRule>
    <cfRule type="expression" dxfId="1185" priority="10">
      <formula>AND(B$9&gt;=14/24,B$9&lt;20/24)</formula>
    </cfRule>
    <cfRule type="expression" dxfId="1184" priority="11">
      <formula>AND(B$9&gt;=8/24,B$9&lt;14/24)</formula>
    </cfRule>
    <cfRule type="expression" dxfId="1183" priority="12">
      <formula>B$9&lt;8/24</formula>
    </cfRule>
  </conditionalFormatting>
  <conditionalFormatting sqref="K51:K52">
    <cfRule type="expression" dxfId="1182" priority="5">
      <formula>K$9&gt;=20/24</formula>
    </cfRule>
    <cfRule type="expression" dxfId="1181" priority="6">
      <formula>AND(K$9&gt;=14/24,K$9&lt;20/24)</formula>
    </cfRule>
    <cfRule type="expression" dxfId="1180" priority="7">
      <formula>AND(K$9&gt;=8/24,K$9&lt;14/24)</formula>
    </cfRule>
    <cfRule type="expression" dxfId="1179" priority="8">
      <formula>K$9&lt;8/24</formula>
    </cfRule>
  </conditionalFormatting>
  <conditionalFormatting sqref="K53:K58">
    <cfRule type="expression" dxfId="1178" priority="1">
      <formula>K$9&gt;=20/24</formula>
    </cfRule>
    <cfRule type="expression" dxfId="1177" priority="2">
      <formula>AND(K$9&gt;=14/24,K$9&lt;20/24)</formula>
    </cfRule>
    <cfRule type="expression" dxfId="1176" priority="3">
      <formula>AND(K$9&gt;=8/24,K$9&lt;14/24)</formula>
    </cfRule>
    <cfRule type="expression" dxfId="1175" priority="4">
      <formula>K$9&lt;8/24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Q82" sqref="Q82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27</v>
      </c>
      <c r="D4" s="324">
        <f ca="1">IFERROR(DATE(2021,5,14)+C4,"")</f>
        <v>44357</v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221.5</v>
      </c>
      <c r="C5" s="32">
        <f t="shared" ref="C5:AF5" si="0">C59</f>
        <v>195.8</v>
      </c>
      <c r="D5" s="32">
        <f t="shared" si="0"/>
        <v>204</v>
      </c>
      <c r="E5" s="32">
        <f t="shared" si="0"/>
        <v>201</v>
      </c>
      <c r="F5" s="32">
        <f t="shared" si="0"/>
        <v>202.8</v>
      </c>
      <c r="G5" s="32">
        <f t="shared" si="0"/>
        <v>176.4</v>
      </c>
      <c r="H5" s="32">
        <f t="shared" si="0"/>
        <v>192.2</v>
      </c>
      <c r="I5" s="32">
        <f t="shared" si="0"/>
        <v>206</v>
      </c>
      <c r="J5" s="32">
        <f t="shared" si="0"/>
        <v>228</v>
      </c>
      <c r="K5" s="32">
        <f t="shared" si="0"/>
        <v>236</v>
      </c>
      <c r="L5" s="32">
        <f t="shared" si="0"/>
        <v>239.4</v>
      </c>
      <c r="M5" s="32">
        <f t="shared" si="0"/>
        <v>261.33</v>
      </c>
      <c r="N5" s="32">
        <f t="shared" si="0"/>
        <v>248</v>
      </c>
      <c r="O5" s="32">
        <f t="shared" si="0"/>
        <v>272.46000000000004</v>
      </c>
      <c r="P5" s="32">
        <f t="shared" si="0"/>
        <v>255.8</v>
      </c>
      <c r="Q5" s="32">
        <f t="shared" si="0"/>
        <v>252.53</v>
      </c>
      <c r="R5" s="32">
        <f t="shared" si="0"/>
        <v>254</v>
      </c>
      <c r="S5" s="32">
        <f t="shared" si="0"/>
        <v>251.57999999999998</v>
      </c>
      <c r="T5" s="32">
        <f t="shared" si="0"/>
        <v>223</v>
      </c>
      <c r="U5" s="32">
        <f t="shared" si="0"/>
        <v>241.62</v>
      </c>
      <c r="V5" s="32">
        <f t="shared" si="0"/>
        <v>216.1</v>
      </c>
      <c r="W5" s="32">
        <f t="shared" si="0"/>
        <v>220.23</v>
      </c>
      <c r="X5" s="32">
        <f t="shared" si="0"/>
        <v>204.14</v>
      </c>
      <c r="Y5" s="32">
        <f t="shared" si="0"/>
        <v>258.89999999999998</v>
      </c>
      <c r="Z5" s="32">
        <f t="shared" si="0"/>
        <v>314.89999999999998</v>
      </c>
      <c r="AA5" s="32">
        <f t="shared" si="0"/>
        <v>377</v>
      </c>
      <c r="AB5" s="32">
        <f t="shared" si="0"/>
        <v>357</v>
      </c>
      <c r="AC5" s="32">
        <f t="shared" si="0"/>
        <v>360.8</v>
      </c>
      <c r="AD5" s="32">
        <f t="shared" si="0"/>
        <v>296.39999999999998</v>
      </c>
      <c r="AE5" s="32">
        <f t="shared" si="0"/>
        <v>244</v>
      </c>
      <c r="AF5" s="32">
        <f t="shared" si="0"/>
        <v>224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7"/>
      <c r="E6" s="187"/>
      <c r="F6" s="187"/>
      <c r="G6" s="187"/>
      <c r="H6" s="187"/>
      <c r="I6" s="18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1175MW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Load=1044</v>
      </c>
      <c r="B7" s="36">
        <f t="shared" ref="B7:AF7" si="1">B65</f>
        <v>1144.3400000000001</v>
      </c>
      <c r="C7" s="36">
        <f t="shared" si="1"/>
        <v>1120.1399999999999</v>
      </c>
      <c r="D7" s="36">
        <f t="shared" si="1"/>
        <v>1123.94</v>
      </c>
      <c r="E7" s="36">
        <f t="shared" si="1"/>
        <v>1106.24</v>
      </c>
      <c r="F7" s="36">
        <f t="shared" si="1"/>
        <v>1087.8399999999999</v>
      </c>
      <c r="G7" s="36">
        <f t="shared" si="1"/>
        <v>1053.5390000000002</v>
      </c>
      <c r="H7" s="36">
        <f t="shared" si="1"/>
        <v>1073.74</v>
      </c>
      <c r="I7" s="36">
        <f t="shared" si="1"/>
        <v>1114.24</v>
      </c>
      <c r="J7" s="36">
        <f t="shared" si="1"/>
        <v>1135.54</v>
      </c>
      <c r="K7" s="36">
        <f t="shared" si="1"/>
        <v>1174.8400000000001</v>
      </c>
      <c r="L7" s="36">
        <f>L65</f>
        <v>1159.5400000000002</v>
      </c>
      <c r="M7" s="36">
        <f t="shared" si="1"/>
        <v>1163.3699999999999</v>
      </c>
      <c r="N7" s="36">
        <f t="shared" si="1"/>
        <v>1150.24</v>
      </c>
      <c r="O7" s="36">
        <f t="shared" si="1"/>
        <v>1145.3000000000002</v>
      </c>
      <c r="P7" s="36">
        <f t="shared" si="1"/>
        <v>1136.8400000000001</v>
      </c>
      <c r="Q7" s="36">
        <f t="shared" si="1"/>
        <v>1137.17</v>
      </c>
      <c r="R7" s="36">
        <f t="shared" si="1"/>
        <v>1135.44</v>
      </c>
      <c r="S7" s="36">
        <f t="shared" si="1"/>
        <v>1129.1199999999999</v>
      </c>
      <c r="T7" s="36">
        <f t="shared" si="1"/>
        <v>1106.2400000000002</v>
      </c>
      <c r="U7" s="36">
        <f t="shared" si="1"/>
        <v>1084.76</v>
      </c>
      <c r="V7" s="36">
        <f t="shared" si="1"/>
        <v>1087.94</v>
      </c>
      <c r="W7" s="36">
        <f t="shared" si="1"/>
        <v>1060.5700000000002</v>
      </c>
      <c r="X7" s="36">
        <f t="shared" si="1"/>
        <v>1044.3800000000001</v>
      </c>
      <c r="Y7" s="36">
        <f t="shared" si="1"/>
        <v>1095.04</v>
      </c>
      <c r="Z7" s="36">
        <f t="shared" si="1"/>
        <v>1242.74</v>
      </c>
      <c r="AA7" s="36">
        <f t="shared" si="1"/>
        <v>1274.8400000000001</v>
      </c>
      <c r="AB7" s="36">
        <f t="shared" si="1"/>
        <v>1282.6400000000001</v>
      </c>
      <c r="AC7" s="36">
        <f t="shared" si="1"/>
        <v>1287.44</v>
      </c>
      <c r="AD7" s="36">
        <f t="shared" si="1"/>
        <v>1220.3399999999999</v>
      </c>
      <c r="AE7" s="36">
        <f t="shared" si="1"/>
        <v>1144.1400000000001</v>
      </c>
      <c r="AF7" s="36">
        <f t="shared" si="1"/>
        <v>1162.94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38.6</v>
      </c>
      <c r="C11" s="48">
        <v>39.6</v>
      </c>
      <c r="D11" s="48">
        <v>39.6</v>
      </c>
      <c r="E11" s="48">
        <v>38.6</v>
      </c>
      <c r="F11" s="48">
        <v>37.299999999999997</v>
      </c>
      <c r="G11" s="48">
        <v>37</v>
      </c>
      <c r="H11" s="48">
        <v>40.6</v>
      </c>
      <c r="I11" s="48">
        <v>40.6</v>
      </c>
      <c r="J11" s="48">
        <v>40.200000000000003</v>
      </c>
      <c r="K11" s="48">
        <v>40.200000000000003</v>
      </c>
      <c r="L11" s="49">
        <v>45</v>
      </c>
      <c r="M11" s="49">
        <v>49.6</v>
      </c>
      <c r="N11" s="49">
        <v>48.8</v>
      </c>
      <c r="O11" s="49">
        <v>48.7</v>
      </c>
      <c r="P11" s="49">
        <v>47.6</v>
      </c>
      <c r="Q11" s="49">
        <v>48.7</v>
      </c>
      <c r="R11" s="50">
        <v>52</v>
      </c>
      <c r="S11" s="50">
        <v>53.4</v>
      </c>
      <c r="T11" s="50">
        <v>59.5</v>
      </c>
      <c r="U11" s="50">
        <v>43.3</v>
      </c>
      <c r="V11" s="50">
        <v>44.9</v>
      </c>
      <c r="W11" s="50">
        <v>60.7</v>
      </c>
      <c r="X11" s="50">
        <v>59.8</v>
      </c>
      <c r="Y11" s="50">
        <v>60.3</v>
      </c>
      <c r="Z11" s="50">
        <v>60.7</v>
      </c>
      <c r="AA11" s="50">
        <v>60.7</v>
      </c>
      <c r="AB11" s="48">
        <v>60.9</v>
      </c>
      <c r="AC11" s="48">
        <v>60.9</v>
      </c>
      <c r="AD11" s="48">
        <v>58</v>
      </c>
      <c r="AE11" s="48">
        <v>57</v>
      </c>
      <c r="AF11" s="48">
        <v>57</v>
      </c>
      <c r="AG11" s="51">
        <v>60</v>
      </c>
      <c r="AH11" s="52">
        <f>MAX(B11:AF11)</f>
        <v>60.9</v>
      </c>
      <c r="AI11" s="53">
        <f>MIN(B11:AF11)</f>
        <v>37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50.6</v>
      </c>
      <c r="C12" s="56">
        <v>50.5</v>
      </c>
      <c r="D12" s="56">
        <v>50.5</v>
      </c>
      <c r="E12" s="56">
        <v>50.5</v>
      </c>
      <c r="F12" s="56">
        <v>50.3</v>
      </c>
      <c r="G12" s="56">
        <v>50.3</v>
      </c>
      <c r="H12" s="56">
        <v>50.4</v>
      </c>
      <c r="I12" s="56">
        <v>50.2</v>
      </c>
      <c r="J12" s="56">
        <v>50.3</v>
      </c>
      <c r="K12" s="56">
        <v>50.4</v>
      </c>
      <c r="L12" s="49">
        <v>50.3</v>
      </c>
      <c r="M12" s="49">
        <v>50</v>
      </c>
      <c r="N12" s="49">
        <v>50.5</v>
      </c>
      <c r="O12" s="49">
        <v>50.7</v>
      </c>
      <c r="P12" s="49">
        <v>50.6</v>
      </c>
      <c r="Q12" s="49">
        <v>50.5</v>
      </c>
      <c r="R12" s="49">
        <v>50.9</v>
      </c>
      <c r="S12" s="49">
        <v>50.7</v>
      </c>
      <c r="T12" s="49">
        <v>50.2</v>
      </c>
      <c r="U12" s="49">
        <v>50.2</v>
      </c>
      <c r="V12" s="49">
        <v>50.5</v>
      </c>
      <c r="W12" s="49">
        <v>50.6</v>
      </c>
      <c r="X12" s="49">
        <v>50.4</v>
      </c>
      <c r="Y12" s="49">
        <v>50.5</v>
      </c>
      <c r="Z12" s="49">
        <v>50.5</v>
      </c>
      <c r="AA12" s="49">
        <v>50.5</v>
      </c>
      <c r="AB12" s="56">
        <v>50.2</v>
      </c>
      <c r="AC12" s="56">
        <v>50.2</v>
      </c>
      <c r="AD12" s="56">
        <v>50</v>
      </c>
      <c r="AE12" s="56">
        <v>50.5</v>
      </c>
      <c r="AF12" s="56">
        <v>50.5</v>
      </c>
      <c r="AG12" s="57">
        <v>50</v>
      </c>
      <c r="AH12" s="52">
        <f t="shared" ref="AH12:AH77" si="2">MAX(B12:AF12)</f>
        <v>50.9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42.8</v>
      </c>
      <c r="C13" s="56">
        <v>42.8</v>
      </c>
      <c r="D13" s="56">
        <v>42.8</v>
      </c>
      <c r="E13" s="56">
        <v>43</v>
      </c>
      <c r="F13" s="56">
        <v>43</v>
      </c>
      <c r="G13" s="56">
        <v>43</v>
      </c>
      <c r="H13" s="56">
        <v>42.5</v>
      </c>
      <c r="I13" s="56">
        <v>42.6</v>
      </c>
      <c r="J13" s="56">
        <v>42.3</v>
      </c>
      <c r="K13" s="56">
        <v>42.6</v>
      </c>
      <c r="L13" s="49">
        <v>42.6</v>
      </c>
      <c r="M13" s="49">
        <v>41.9</v>
      </c>
      <c r="N13" s="49">
        <v>42.5</v>
      </c>
      <c r="O13" s="49">
        <v>41.7</v>
      </c>
      <c r="P13" s="49">
        <v>41.4</v>
      </c>
      <c r="Q13" s="49">
        <v>40.4</v>
      </c>
      <c r="R13" s="49">
        <v>40.4</v>
      </c>
      <c r="S13" s="49">
        <v>40.5</v>
      </c>
      <c r="T13" s="49">
        <v>42.1</v>
      </c>
      <c r="U13" s="49">
        <v>42.1</v>
      </c>
      <c r="V13" s="49">
        <v>58.4</v>
      </c>
      <c r="W13" s="49">
        <v>45.9</v>
      </c>
      <c r="X13" s="49">
        <v>45.8</v>
      </c>
      <c r="Y13" s="49">
        <v>45.4</v>
      </c>
      <c r="Z13" s="49">
        <v>45.6</v>
      </c>
      <c r="AA13" s="49">
        <v>45.6</v>
      </c>
      <c r="AB13" s="56">
        <v>45.7</v>
      </c>
      <c r="AC13" s="56">
        <v>45.7</v>
      </c>
      <c r="AD13" s="56">
        <v>45.4</v>
      </c>
      <c r="AE13" s="56">
        <v>45.4</v>
      </c>
      <c r="AF13" s="56">
        <v>45</v>
      </c>
      <c r="AG13" s="59">
        <v>45</v>
      </c>
      <c r="AH13" s="52">
        <f t="shared" si="2"/>
        <v>58.4</v>
      </c>
      <c r="AI13" s="53">
        <f t="shared" si="3"/>
        <v>40.4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25</v>
      </c>
      <c r="C14" s="56">
        <v>25</v>
      </c>
      <c r="D14" s="56">
        <v>25</v>
      </c>
      <c r="E14" s="56">
        <v>25</v>
      </c>
      <c r="F14" s="56">
        <v>25</v>
      </c>
      <c r="G14" s="56">
        <v>25</v>
      </c>
      <c r="H14" s="56">
        <v>25</v>
      </c>
      <c r="I14" s="56">
        <v>25</v>
      </c>
      <c r="J14" s="56">
        <v>25</v>
      </c>
      <c r="K14" s="56">
        <v>25</v>
      </c>
      <c r="L14" s="49">
        <v>25</v>
      </c>
      <c r="M14" s="49">
        <v>25</v>
      </c>
      <c r="N14" s="49">
        <v>25</v>
      </c>
      <c r="O14" s="49">
        <v>25</v>
      </c>
      <c r="P14" s="49">
        <v>25</v>
      </c>
      <c r="Q14" s="49">
        <v>25</v>
      </c>
      <c r="R14" s="49">
        <v>25</v>
      </c>
      <c r="S14" s="49">
        <v>25</v>
      </c>
      <c r="T14" s="49">
        <v>25</v>
      </c>
      <c r="U14" s="49">
        <v>25</v>
      </c>
      <c r="V14" s="49">
        <v>25</v>
      </c>
      <c r="W14" s="49">
        <v>25</v>
      </c>
      <c r="X14" s="49">
        <v>25</v>
      </c>
      <c r="Y14" s="49">
        <v>25</v>
      </c>
      <c r="Z14" s="49">
        <v>25</v>
      </c>
      <c r="AA14" s="49">
        <v>25</v>
      </c>
      <c r="AB14" s="49">
        <v>25</v>
      </c>
      <c r="AC14" s="49">
        <v>25</v>
      </c>
      <c r="AD14" s="49">
        <v>25</v>
      </c>
      <c r="AE14" s="49">
        <v>25</v>
      </c>
      <c r="AF14" s="49">
        <v>25</v>
      </c>
      <c r="AG14" s="59">
        <v>25</v>
      </c>
      <c r="AH14" s="52">
        <f t="shared" si="2"/>
        <v>25</v>
      </c>
      <c r="AI14" s="53">
        <f t="shared" si="3"/>
        <v>25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25.6</v>
      </c>
      <c r="C15" s="56">
        <v>25.3</v>
      </c>
      <c r="D15" s="56">
        <v>25.3</v>
      </c>
      <c r="E15" s="56">
        <v>25.2</v>
      </c>
      <c r="F15" s="56">
        <v>24</v>
      </c>
      <c r="G15" s="56">
        <v>24</v>
      </c>
      <c r="H15" s="56">
        <v>24</v>
      </c>
      <c r="I15" s="56">
        <v>22.6</v>
      </c>
      <c r="J15" s="56">
        <v>22.3</v>
      </c>
      <c r="K15" s="56">
        <v>22.3</v>
      </c>
      <c r="L15" s="49">
        <v>23.5</v>
      </c>
      <c r="M15" s="49">
        <v>21.8</v>
      </c>
      <c r="N15" s="49">
        <v>0</v>
      </c>
      <c r="O15" s="49">
        <v>0</v>
      </c>
      <c r="P15" s="49">
        <v>17.100000000000001</v>
      </c>
      <c r="Q15" s="49">
        <v>17.2</v>
      </c>
      <c r="R15" s="49">
        <v>16.7</v>
      </c>
      <c r="S15" s="49">
        <v>16.3</v>
      </c>
      <c r="T15" s="49">
        <v>16.3</v>
      </c>
      <c r="U15" s="49">
        <v>25</v>
      </c>
      <c r="V15" s="49">
        <v>25</v>
      </c>
      <c r="W15" s="49">
        <v>25</v>
      </c>
      <c r="X15" s="49">
        <v>24.9</v>
      </c>
      <c r="Y15" s="49">
        <v>25</v>
      </c>
      <c r="Z15" s="49">
        <v>25</v>
      </c>
      <c r="AA15" s="49">
        <v>25</v>
      </c>
      <c r="AB15" s="56">
        <v>25</v>
      </c>
      <c r="AC15" s="56">
        <v>25</v>
      </c>
      <c r="AD15" s="56">
        <v>24.9</v>
      </c>
      <c r="AE15" s="56">
        <v>25</v>
      </c>
      <c r="AF15" s="56">
        <v>25</v>
      </c>
      <c r="AG15" s="59">
        <v>25</v>
      </c>
      <c r="AH15" s="52">
        <f t="shared" si="2"/>
        <v>25.6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6.2</v>
      </c>
      <c r="C16" s="49">
        <v>6.2</v>
      </c>
      <c r="D16" s="49">
        <v>6.2</v>
      </c>
      <c r="E16" s="49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6.3</v>
      </c>
      <c r="K16" s="56">
        <v>6.3</v>
      </c>
      <c r="L16" s="49">
        <v>6.3</v>
      </c>
      <c r="M16" s="49">
        <v>6.3</v>
      </c>
      <c r="N16" s="49">
        <v>6.3</v>
      </c>
      <c r="O16" s="49">
        <v>6.3</v>
      </c>
      <c r="P16" s="49">
        <v>6.3</v>
      </c>
      <c r="Q16" s="49">
        <v>6.3</v>
      </c>
      <c r="R16" s="49">
        <v>6.3</v>
      </c>
      <c r="S16" s="49">
        <v>6.3</v>
      </c>
      <c r="T16" s="49">
        <v>6.3</v>
      </c>
      <c r="U16" s="49">
        <v>6.3</v>
      </c>
      <c r="V16" s="49">
        <v>6.3</v>
      </c>
      <c r="W16" s="49">
        <v>6.3</v>
      </c>
      <c r="X16" s="49">
        <v>6.3</v>
      </c>
      <c r="Y16" s="49">
        <v>6.3</v>
      </c>
      <c r="Z16" s="49">
        <v>6.3</v>
      </c>
      <c r="AA16" s="49">
        <v>6.3</v>
      </c>
      <c r="AB16" s="49">
        <v>6.3</v>
      </c>
      <c r="AC16" s="49">
        <v>6.3</v>
      </c>
      <c r="AD16" s="49">
        <v>6.3</v>
      </c>
      <c r="AE16" s="49">
        <v>6.3</v>
      </c>
      <c r="AF16" s="49">
        <v>6.3</v>
      </c>
      <c r="AG16" s="59">
        <v>23.5</v>
      </c>
      <c r="AH16" s="52">
        <f t="shared" si="2"/>
        <v>6.3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22</v>
      </c>
      <c r="C17" s="49">
        <v>22</v>
      </c>
      <c r="D17" s="49">
        <v>22</v>
      </c>
      <c r="E17" s="49">
        <v>22</v>
      </c>
      <c r="F17" s="56">
        <v>22</v>
      </c>
      <c r="G17" s="56">
        <v>22</v>
      </c>
      <c r="H17" s="56">
        <v>22</v>
      </c>
      <c r="I17" s="56">
        <v>22</v>
      </c>
      <c r="J17" s="56">
        <v>22</v>
      </c>
      <c r="K17" s="56">
        <v>22</v>
      </c>
      <c r="L17" s="49">
        <v>22</v>
      </c>
      <c r="M17" s="49">
        <v>22</v>
      </c>
      <c r="N17" s="49">
        <v>22</v>
      </c>
      <c r="O17" s="49">
        <v>22</v>
      </c>
      <c r="P17" s="49">
        <v>22</v>
      </c>
      <c r="Q17" s="49">
        <v>22</v>
      </c>
      <c r="R17" s="49">
        <v>22.5</v>
      </c>
      <c r="S17" s="49">
        <v>22.7</v>
      </c>
      <c r="T17" s="49">
        <v>22.3</v>
      </c>
      <c r="U17" s="49">
        <v>22.7</v>
      </c>
      <c r="V17" s="49">
        <v>22.8</v>
      </c>
      <c r="W17" s="49">
        <v>22.8</v>
      </c>
      <c r="X17" s="49">
        <v>22.7</v>
      </c>
      <c r="Y17" s="49">
        <v>22.8</v>
      </c>
      <c r="Z17" s="49">
        <v>22.5</v>
      </c>
      <c r="AA17" s="49">
        <v>22.7</v>
      </c>
      <c r="AB17" s="49">
        <v>22.7</v>
      </c>
      <c r="AC17" s="49">
        <v>22.7</v>
      </c>
      <c r="AD17" s="49">
        <v>22.9</v>
      </c>
      <c r="AE17" s="49">
        <v>23</v>
      </c>
      <c r="AF17" s="49">
        <v>23</v>
      </c>
      <c r="AG17" s="59">
        <v>22.1</v>
      </c>
      <c r="AH17" s="52">
        <f t="shared" si="2"/>
        <v>23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8</v>
      </c>
      <c r="C18" s="56">
        <v>8</v>
      </c>
      <c r="D18" s="56">
        <v>8</v>
      </c>
      <c r="E18" s="56">
        <v>8</v>
      </c>
      <c r="F18" s="56">
        <v>8</v>
      </c>
      <c r="G18" s="56">
        <v>8</v>
      </c>
      <c r="H18" s="56">
        <v>8</v>
      </c>
      <c r="I18" s="56">
        <v>8</v>
      </c>
      <c r="J18" s="56">
        <v>8</v>
      </c>
      <c r="K18" s="56">
        <v>8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49">
        <v>8</v>
      </c>
      <c r="S18" s="49">
        <v>8</v>
      </c>
      <c r="T18" s="49">
        <v>8</v>
      </c>
      <c r="U18" s="49">
        <v>8</v>
      </c>
      <c r="V18" s="49">
        <v>8</v>
      </c>
      <c r="W18" s="49">
        <v>8</v>
      </c>
      <c r="X18" s="49">
        <v>8</v>
      </c>
      <c r="Y18" s="49">
        <v>8</v>
      </c>
      <c r="Z18" s="49">
        <v>8</v>
      </c>
      <c r="AA18" s="49">
        <v>8</v>
      </c>
      <c r="AB18" s="49">
        <v>8</v>
      </c>
      <c r="AC18" s="49">
        <v>8</v>
      </c>
      <c r="AD18" s="49">
        <v>8</v>
      </c>
      <c r="AE18" s="49">
        <v>8</v>
      </c>
      <c r="AF18" s="49">
        <v>8</v>
      </c>
      <c r="AG18" s="59">
        <v>22.1</v>
      </c>
      <c r="AH18" s="52">
        <f t="shared" si="2"/>
        <v>8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22</v>
      </c>
      <c r="C19" s="49">
        <v>22</v>
      </c>
      <c r="D19" s="49">
        <v>18</v>
      </c>
      <c r="E19" s="49">
        <v>15.8</v>
      </c>
      <c r="F19" s="56">
        <v>14.1</v>
      </c>
      <c r="G19" s="56">
        <v>12.8</v>
      </c>
      <c r="H19" s="56">
        <v>12.6</v>
      </c>
      <c r="I19" s="56">
        <v>11.8</v>
      </c>
      <c r="J19" s="56">
        <v>11.6</v>
      </c>
      <c r="K19" s="56">
        <v>11.3</v>
      </c>
      <c r="L19" s="49">
        <v>11</v>
      </c>
      <c r="M19" s="49">
        <v>11</v>
      </c>
      <c r="N19" s="49">
        <v>12.6</v>
      </c>
      <c r="O19" s="49">
        <v>12.6</v>
      </c>
      <c r="P19" s="49">
        <v>12.6</v>
      </c>
      <c r="Q19" s="49">
        <v>12.6</v>
      </c>
      <c r="R19" s="49">
        <v>12.1</v>
      </c>
      <c r="S19" s="49">
        <v>11.4</v>
      </c>
      <c r="T19" s="49">
        <v>12.2</v>
      </c>
      <c r="U19" s="49">
        <v>6.7</v>
      </c>
      <c r="V19" s="49">
        <v>14.3</v>
      </c>
      <c r="W19" s="49">
        <v>13.2</v>
      </c>
      <c r="X19" s="49">
        <v>23.1</v>
      </c>
      <c r="Y19" s="49">
        <v>23.2</v>
      </c>
      <c r="Z19" s="49">
        <v>23</v>
      </c>
      <c r="AA19" s="49">
        <v>23</v>
      </c>
      <c r="AB19" s="49">
        <v>23</v>
      </c>
      <c r="AC19" s="49">
        <v>23</v>
      </c>
      <c r="AD19" s="49">
        <v>23</v>
      </c>
      <c r="AE19" s="49">
        <v>23</v>
      </c>
      <c r="AF19" s="49">
        <v>23</v>
      </c>
      <c r="AG19" s="59">
        <v>22</v>
      </c>
      <c r="AH19" s="52">
        <f t="shared" si="2"/>
        <v>23.2</v>
      </c>
      <c r="AI19" s="53">
        <f t="shared" si="3"/>
        <v>6.7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49">
        <v>11</v>
      </c>
      <c r="M20" s="49">
        <v>11</v>
      </c>
      <c r="N20" s="49">
        <v>11</v>
      </c>
      <c r="O20" s="49">
        <v>11</v>
      </c>
      <c r="P20" s="49">
        <v>11</v>
      </c>
      <c r="Q20" s="49">
        <v>11</v>
      </c>
      <c r="R20" s="49">
        <v>11</v>
      </c>
      <c r="S20" s="49">
        <v>11</v>
      </c>
      <c r="T20" s="49">
        <v>11</v>
      </c>
      <c r="U20" s="49">
        <v>11</v>
      </c>
      <c r="V20" s="49">
        <v>11</v>
      </c>
      <c r="W20" s="49">
        <v>11</v>
      </c>
      <c r="X20" s="49">
        <v>11</v>
      </c>
      <c r="Y20" s="49">
        <v>11</v>
      </c>
      <c r="Z20" s="49">
        <v>11</v>
      </c>
      <c r="AA20" s="49">
        <v>11</v>
      </c>
      <c r="AB20" s="49">
        <v>11</v>
      </c>
      <c r="AC20" s="49">
        <v>11</v>
      </c>
      <c r="AD20" s="49">
        <v>11</v>
      </c>
      <c r="AE20" s="49">
        <v>11</v>
      </c>
      <c r="AF20" s="49">
        <v>11</v>
      </c>
      <c r="AG20" s="59">
        <v>22</v>
      </c>
      <c r="AH20" s="52">
        <f t="shared" si="2"/>
        <v>11</v>
      </c>
      <c r="AI20" s="53">
        <f t="shared" si="3"/>
        <v>11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7</v>
      </c>
      <c r="C21" s="49">
        <v>7</v>
      </c>
      <c r="D21" s="49">
        <v>7</v>
      </c>
      <c r="E21" s="49">
        <v>7</v>
      </c>
      <c r="F21" s="49">
        <v>7</v>
      </c>
      <c r="G21" s="49">
        <v>7</v>
      </c>
      <c r="H21" s="49">
        <v>7</v>
      </c>
      <c r="I21" s="49">
        <v>7</v>
      </c>
      <c r="J21" s="49">
        <v>7</v>
      </c>
      <c r="K21" s="49">
        <v>7</v>
      </c>
      <c r="L21" s="49">
        <v>7</v>
      </c>
      <c r="M21" s="49">
        <v>7</v>
      </c>
      <c r="N21" s="49">
        <v>7</v>
      </c>
      <c r="O21" s="49">
        <v>7</v>
      </c>
      <c r="P21" s="49">
        <v>7</v>
      </c>
      <c r="Q21" s="49">
        <v>7</v>
      </c>
      <c r="R21" s="49">
        <v>7</v>
      </c>
      <c r="S21" s="49">
        <v>7</v>
      </c>
      <c r="T21" s="49">
        <v>7</v>
      </c>
      <c r="U21" s="49">
        <v>7</v>
      </c>
      <c r="V21" s="49">
        <v>7</v>
      </c>
      <c r="W21" s="49">
        <v>7</v>
      </c>
      <c r="X21" s="49">
        <v>7</v>
      </c>
      <c r="Y21" s="49">
        <v>7</v>
      </c>
      <c r="Z21" s="49">
        <v>7</v>
      </c>
      <c r="AA21" s="49">
        <v>7</v>
      </c>
      <c r="AB21" s="49">
        <v>7</v>
      </c>
      <c r="AC21" s="49">
        <v>7</v>
      </c>
      <c r="AD21" s="49">
        <v>7</v>
      </c>
      <c r="AE21" s="49">
        <v>7</v>
      </c>
      <c r="AF21" s="49">
        <v>7</v>
      </c>
      <c r="AG21" s="59">
        <v>14.9</v>
      </c>
      <c r="AH21" s="52">
        <f t="shared" si="2"/>
        <v>7</v>
      </c>
      <c r="AI21" s="53">
        <f t="shared" si="3"/>
        <v>7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49">
        <v>10</v>
      </c>
      <c r="C22" s="49">
        <v>10</v>
      </c>
      <c r="D22" s="49">
        <v>10</v>
      </c>
      <c r="E22" s="49">
        <v>10</v>
      </c>
      <c r="F22" s="49">
        <v>10</v>
      </c>
      <c r="G22" s="49">
        <v>10</v>
      </c>
      <c r="H22" s="49">
        <v>10</v>
      </c>
      <c r="I22" s="49">
        <v>10</v>
      </c>
      <c r="J22" s="49">
        <v>10</v>
      </c>
      <c r="K22" s="49">
        <v>10</v>
      </c>
      <c r="L22" s="49">
        <v>10</v>
      </c>
      <c r="M22" s="49">
        <v>10</v>
      </c>
      <c r="N22" s="49">
        <v>10</v>
      </c>
      <c r="O22" s="49">
        <v>10</v>
      </c>
      <c r="P22" s="49">
        <v>10</v>
      </c>
      <c r="Q22" s="49">
        <v>10</v>
      </c>
      <c r="R22" s="49">
        <v>10</v>
      </c>
      <c r="S22" s="49">
        <v>10</v>
      </c>
      <c r="T22" s="49">
        <v>10</v>
      </c>
      <c r="U22" s="49">
        <v>10</v>
      </c>
      <c r="V22" s="49">
        <v>10</v>
      </c>
      <c r="W22" s="49">
        <v>10</v>
      </c>
      <c r="X22" s="49">
        <v>10</v>
      </c>
      <c r="Y22" s="49">
        <v>10</v>
      </c>
      <c r="Z22" s="49">
        <v>10</v>
      </c>
      <c r="AA22" s="49">
        <v>10</v>
      </c>
      <c r="AB22" s="49">
        <v>10</v>
      </c>
      <c r="AC22" s="49">
        <v>10</v>
      </c>
      <c r="AD22" s="49">
        <v>10</v>
      </c>
      <c r="AE22" s="49">
        <v>10</v>
      </c>
      <c r="AF22" s="49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49">
        <v>10.6</v>
      </c>
      <c r="C23" s="49">
        <v>10.6</v>
      </c>
      <c r="D23" s="49">
        <v>10.6</v>
      </c>
      <c r="E23" s="49">
        <v>10.6</v>
      </c>
      <c r="F23" s="49">
        <v>10.6</v>
      </c>
      <c r="G23" s="49">
        <v>10.6</v>
      </c>
      <c r="H23" s="49">
        <v>10.6</v>
      </c>
      <c r="I23" s="49">
        <v>10.6</v>
      </c>
      <c r="J23" s="49">
        <v>10.6</v>
      </c>
      <c r="K23" s="49">
        <v>10.6</v>
      </c>
      <c r="L23" s="49">
        <v>8.5</v>
      </c>
      <c r="M23" s="49">
        <v>8.5</v>
      </c>
      <c r="N23" s="49">
        <v>8.5</v>
      </c>
      <c r="O23" s="49">
        <v>8.5</v>
      </c>
      <c r="P23" s="49">
        <v>8.5</v>
      </c>
      <c r="Q23" s="49">
        <v>8.5</v>
      </c>
      <c r="R23" s="49">
        <v>8.5</v>
      </c>
      <c r="S23" s="49">
        <v>8.5</v>
      </c>
      <c r="T23" s="49">
        <v>8.5</v>
      </c>
      <c r="U23" s="49">
        <v>8.5</v>
      </c>
      <c r="V23" s="49">
        <v>8.5</v>
      </c>
      <c r="W23" s="49">
        <v>8.5</v>
      </c>
      <c r="X23" s="49">
        <v>8.5</v>
      </c>
      <c r="Y23" s="49">
        <v>8.5</v>
      </c>
      <c r="Z23" s="49">
        <v>8.5</v>
      </c>
      <c r="AA23" s="49">
        <v>8.5</v>
      </c>
      <c r="AB23" s="49">
        <v>8.5</v>
      </c>
      <c r="AC23" s="49">
        <v>8.5</v>
      </c>
      <c r="AD23" s="49">
        <v>8.5</v>
      </c>
      <c r="AE23" s="49">
        <v>8.5</v>
      </c>
      <c r="AF23" s="49">
        <v>8.5</v>
      </c>
      <c r="AG23" s="59">
        <v>13</v>
      </c>
      <c r="AH23" s="52">
        <f t="shared" si="2"/>
        <v>10.6</v>
      </c>
      <c r="AI23" s="53">
        <f t="shared" si="3"/>
        <v>8.5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49">
        <v>4.4000000000000004</v>
      </c>
      <c r="C24" s="49">
        <v>4.4000000000000004</v>
      </c>
      <c r="D24" s="49">
        <v>4.4000000000000004</v>
      </c>
      <c r="E24" s="49">
        <v>4.4000000000000004</v>
      </c>
      <c r="F24" s="49">
        <v>4.4000000000000004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4</v>
      </c>
      <c r="O24" s="49">
        <v>7</v>
      </c>
      <c r="P24" s="49">
        <v>12</v>
      </c>
      <c r="Q24" s="218">
        <v>12</v>
      </c>
      <c r="R24" s="218">
        <v>12</v>
      </c>
      <c r="S24" s="218">
        <v>12</v>
      </c>
      <c r="T24" s="218">
        <v>12</v>
      </c>
      <c r="U24" s="218">
        <v>12</v>
      </c>
      <c r="V24" s="218">
        <v>12</v>
      </c>
      <c r="W24" s="218">
        <v>12</v>
      </c>
      <c r="X24" s="218">
        <v>12</v>
      </c>
      <c r="Y24" s="218">
        <v>12</v>
      </c>
      <c r="Z24" s="218">
        <v>12</v>
      </c>
      <c r="AA24" s="218">
        <v>12</v>
      </c>
      <c r="AB24" s="218">
        <v>12</v>
      </c>
      <c r="AC24" s="218">
        <v>12</v>
      </c>
      <c r="AD24" s="218">
        <v>12</v>
      </c>
      <c r="AE24" s="218">
        <v>12</v>
      </c>
      <c r="AF24" s="218">
        <v>12</v>
      </c>
      <c r="AG24" s="59">
        <v>12</v>
      </c>
      <c r="AH24" s="52">
        <f t="shared" si="2"/>
        <v>12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49">
        <v>2.2000000000000002</v>
      </c>
      <c r="C25" s="49">
        <v>2.2000000000000002</v>
      </c>
      <c r="D25" s="49">
        <v>2.2000000000000002</v>
      </c>
      <c r="E25" s="49">
        <v>2.2000000000000002</v>
      </c>
      <c r="F25" s="49">
        <v>2.2000000000000002</v>
      </c>
      <c r="G25" s="49">
        <v>2.2000000000000002</v>
      </c>
      <c r="H25" s="49">
        <v>2.2000000000000002</v>
      </c>
      <c r="I25" s="49">
        <v>2.2000000000000002</v>
      </c>
      <c r="J25" s="49">
        <v>2.2000000000000002</v>
      </c>
      <c r="K25" s="49">
        <v>2.2000000000000002</v>
      </c>
      <c r="L25" s="49">
        <v>2.2000000000000002</v>
      </c>
      <c r="M25" s="49">
        <v>2.2000000000000002</v>
      </c>
      <c r="N25" s="49">
        <v>2.2000000000000002</v>
      </c>
      <c r="O25" s="49">
        <v>2.2000000000000002</v>
      </c>
      <c r="P25" s="49">
        <v>2.2000000000000002</v>
      </c>
      <c r="Q25" s="49">
        <v>2.2000000000000002</v>
      </c>
      <c r="R25" s="49">
        <v>2.2000000000000002</v>
      </c>
      <c r="S25" s="49">
        <v>2.2000000000000002</v>
      </c>
      <c r="T25" s="49">
        <v>2.2000000000000002</v>
      </c>
      <c r="U25" s="49">
        <v>2.2000000000000002</v>
      </c>
      <c r="V25" s="49">
        <v>2.2000000000000002</v>
      </c>
      <c r="W25" s="49">
        <v>2.2000000000000002</v>
      </c>
      <c r="X25" s="49">
        <v>2.2000000000000002</v>
      </c>
      <c r="Y25" s="49">
        <v>2.2000000000000002</v>
      </c>
      <c r="Z25" s="49">
        <v>2.2000000000000002</v>
      </c>
      <c r="AA25" s="49">
        <v>2.2000000000000002</v>
      </c>
      <c r="AB25" s="49">
        <v>2.2000000000000002</v>
      </c>
      <c r="AC25" s="49">
        <v>2.2000000000000002</v>
      </c>
      <c r="AD25" s="49">
        <v>2.2000000000000002</v>
      </c>
      <c r="AE25" s="49">
        <v>2.2000000000000002</v>
      </c>
      <c r="AF25" s="49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8</v>
      </c>
      <c r="M26" s="49">
        <v>8</v>
      </c>
      <c r="N26" s="49">
        <v>8</v>
      </c>
      <c r="O26" s="49">
        <v>8</v>
      </c>
      <c r="P26" s="49">
        <v>8</v>
      </c>
      <c r="Q26" s="49">
        <v>8</v>
      </c>
      <c r="R26" s="49">
        <v>8</v>
      </c>
      <c r="S26" s="49">
        <v>8</v>
      </c>
      <c r="T26" s="49">
        <v>8</v>
      </c>
      <c r="U26" s="49">
        <v>8</v>
      </c>
      <c r="V26" s="49">
        <v>8</v>
      </c>
      <c r="W26" s="49">
        <v>8</v>
      </c>
      <c r="X26" s="49">
        <v>8</v>
      </c>
      <c r="Y26" s="49">
        <v>8</v>
      </c>
      <c r="Z26" s="49">
        <v>8</v>
      </c>
      <c r="AA26" s="49">
        <v>8</v>
      </c>
      <c r="AB26" s="49">
        <v>8</v>
      </c>
      <c r="AC26" s="49">
        <v>8</v>
      </c>
      <c r="AD26" s="49">
        <v>8</v>
      </c>
      <c r="AE26" s="49">
        <v>8</v>
      </c>
      <c r="AF26" s="49">
        <v>8</v>
      </c>
      <c r="AG26" s="59">
        <v>12</v>
      </c>
      <c r="AH26" s="52">
        <f>MAX(B26:AF26)</f>
        <v>10</v>
      </c>
      <c r="AI26" s="53">
        <f>MIN(B26:AF26)</f>
        <v>8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8</v>
      </c>
      <c r="C27" s="49">
        <v>8</v>
      </c>
      <c r="D27" s="49">
        <v>8</v>
      </c>
      <c r="E27" s="49">
        <v>8</v>
      </c>
      <c r="F27" s="49">
        <v>8</v>
      </c>
      <c r="G27" s="49">
        <v>8</v>
      </c>
      <c r="H27" s="49">
        <v>8</v>
      </c>
      <c r="I27" s="49">
        <v>8</v>
      </c>
      <c r="J27" s="49">
        <v>8</v>
      </c>
      <c r="K27" s="49">
        <v>8</v>
      </c>
      <c r="L27" s="49">
        <v>8</v>
      </c>
      <c r="M27" s="49">
        <v>8</v>
      </c>
      <c r="N27" s="49">
        <v>8</v>
      </c>
      <c r="O27" s="49">
        <v>8</v>
      </c>
      <c r="P27" s="49">
        <v>8</v>
      </c>
      <c r="Q27" s="49">
        <v>8</v>
      </c>
      <c r="R27" s="49">
        <v>8</v>
      </c>
      <c r="S27" s="49">
        <v>8</v>
      </c>
      <c r="T27" s="49">
        <v>8</v>
      </c>
      <c r="U27" s="49">
        <v>8</v>
      </c>
      <c r="V27" s="49">
        <v>8</v>
      </c>
      <c r="W27" s="49">
        <v>8</v>
      </c>
      <c r="X27" s="49">
        <v>8</v>
      </c>
      <c r="Y27" s="49">
        <v>8</v>
      </c>
      <c r="Z27" s="49">
        <v>8</v>
      </c>
      <c r="AA27" s="49">
        <v>8</v>
      </c>
      <c r="AB27" s="49">
        <v>8</v>
      </c>
      <c r="AC27" s="49">
        <v>8</v>
      </c>
      <c r="AD27" s="49">
        <v>8</v>
      </c>
      <c r="AE27" s="49">
        <v>8</v>
      </c>
      <c r="AF27" s="49">
        <v>8</v>
      </c>
      <c r="AG27" s="59">
        <v>10</v>
      </c>
      <c r="AH27" s="52">
        <f t="shared" si="2"/>
        <v>8</v>
      </c>
      <c r="AI27" s="53">
        <f t="shared" si="3"/>
        <v>8</v>
      </c>
      <c r="AK27" s="54"/>
    </row>
    <row r="28" spans="1:88" x14ac:dyDescent="0.25">
      <c r="A28" s="65" t="s">
        <v>35</v>
      </c>
      <c r="B28" s="56">
        <v>170</v>
      </c>
      <c r="C28" s="56">
        <v>170</v>
      </c>
      <c r="D28" s="56">
        <v>170</v>
      </c>
      <c r="E28" s="56">
        <v>170</v>
      </c>
      <c r="F28" s="56">
        <v>170</v>
      </c>
      <c r="G28" s="56">
        <v>170</v>
      </c>
      <c r="H28" s="56">
        <v>170</v>
      </c>
      <c r="I28" s="56">
        <v>170</v>
      </c>
      <c r="J28" s="56">
        <v>170</v>
      </c>
      <c r="K28" s="56">
        <v>170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150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170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>
        <v>110.5</v>
      </c>
      <c r="C29" s="56">
        <v>110.3</v>
      </c>
      <c r="D29" s="56">
        <v>106</v>
      </c>
      <c r="E29" s="56">
        <v>104.9</v>
      </c>
      <c r="F29" s="56">
        <v>104</v>
      </c>
      <c r="G29" s="56">
        <v>100.8</v>
      </c>
      <c r="H29" s="56">
        <v>100.5</v>
      </c>
      <c r="I29" s="56">
        <v>100</v>
      </c>
      <c r="J29" s="56">
        <v>101.4</v>
      </c>
      <c r="K29" s="56">
        <v>101.7</v>
      </c>
      <c r="L29" s="67">
        <v>101.1</v>
      </c>
      <c r="M29" s="67">
        <v>99.7</v>
      </c>
      <c r="N29" s="67">
        <v>98.1</v>
      </c>
      <c r="O29" s="67">
        <v>98.4</v>
      </c>
      <c r="P29" s="67">
        <v>95</v>
      </c>
      <c r="Q29" s="67">
        <v>92.8</v>
      </c>
      <c r="R29" s="67">
        <v>100.7</v>
      </c>
      <c r="S29" s="67">
        <v>83.7</v>
      </c>
      <c r="T29" s="67">
        <v>97</v>
      </c>
      <c r="U29" s="67">
        <v>97</v>
      </c>
      <c r="V29" s="67">
        <v>94.7</v>
      </c>
      <c r="W29" s="67">
        <v>95.2</v>
      </c>
      <c r="X29" s="67">
        <v>97.2</v>
      </c>
      <c r="Y29" s="67">
        <v>95.2</v>
      </c>
      <c r="Z29" s="67">
        <v>96.3</v>
      </c>
      <c r="AA29" s="67">
        <v>92</v>
      </c>
      <c r="AB29" s="67">
        <v>93.5</v>
      </c>
      <c r="AC29" s="67">
        <v>98.8</v>
      </c>
      <c r="AD29" s="67">
        <v>98</v>
      </c>
      <c r="AE29" s="56">
        <v>101</v>
      </c>
      <c r="AF29" s="56"/>
      <c r="AG29" s="59">
        <v>240</v>
      </c>
      <c r="AH29" s="52">
        <f t="shared" si="2"/>
        <v>110.5</v>
      </c>
      <c r="AI29" s="53">
        <f t="shared" si="3"/>
        <v>83.7</v>
      </c>
      <c r="AK29" s="54"/>
    </row>
    <row r="30" spans="1:88" ht="15.75" thickBot="1" x14ac:dyDescent="0.3">
      <c r="A30" s="68" t="s">
        <v>37</v>
      </c>
      <c r="B30" s="69">
        <f>SUM(B11:B28)</f>
        <v>473.99999999999994</v>
      </c>
      <c r="C30" s="69">
        <f t="shared" ref="C30:AF30" si="4">SUM(C11:C28)</f>
        <v>474.59999999999997</v>
      </c>
      <c r="D30" s="69">
        <f t="shared" si="4"/>
        <v>470.59999999999997</v>
      </c>
      <c r="E30" s="69">
        <f t="shared" si="4"/>
        <v>467.49999999999994</v>
      </c>
      <c r="F30" s="69">
        <f t="shared" si="4"/>
        <v>463.09999999999997</v>
      </c>
      <c r="G30" s="69">
        <f t="shared" si="4"/>
        <v>457.1</v>
      </c>
      <c r="H30" s="69">
        <f t="shared" si="4"/>
        <v>460.09999999999997</v>
      </c>
      <c r="I30" s="69">
        <f t="shared" si="4"/>
        <v>457.8</v>
      </c>
      <c r="J30" s="69">
        <f t="shared" si="4"/>
        <v>456.8</v>
      </c>
      <c r="K30" s="69">
        <f t="shared" si="4"/>
        <v>456.90000000000003</v>
      </c>
      <c r="L30" s="69">
        <f t="shared" si="4"/>
        <v>438.40000000000003</v>
      </c>
      <c r="M30" s="69">
        <f t="shared" si="4"/>
        <v>440.3</v>
      </c>
      <c r="N30" s="69">
        <f t="shared" si="4"/>
        <v>424.40000000000003</v>
      </c>
      <c r="O30" s="69">
        <f t="shared" si="4"/>
        <v>426.7</v>
      </c>
      <c r="P30" s="69">
        <f t="shared" si="4"/>
        <v>447.3</v>
      </c>
      <c r="Q30" s="69">
        <f t="shared" si="4"/>
        <v>447.4</v>
      </c>
      <c r="R30" s="69">
        <f t="shared" si="4"/>
        <v>450.59999999999997</v>
      </c>
      <c r="S30" s="69">
        <f t="shared" si="4"/>
        <v>451</v>
      </c>
      <c r="T30" s="69">
        <f t="shared" si="4"/>
        <v>458.6</v>
      </c>
      <c r="U30" s="69">
        <f t="shared" si="4"/>
        <v>445.99999999999994</v>
      </c>
      <c r="V30" s="69">
        <f>SUM(V11:V28)</f>
        <v>471.90000000000003</v>
      </c>
      <c r="W30" s="69">
        <f t="shared" si="4"/>
        <v>474.20000000000005</v>
      </c>
      <c r="X30" s="69">
        <f t="shared" si="4"/>
        <v>482.7</v>
      </c>
      <c r="Y30" s="69">
        <f t="shared" si="4"/>
        <v>483.2</v>
      </c>
      <c r="Z30" s="69">
        <f t="shared" si="4"/>
        <v>483.3</v>
      </c>
      <c r="AA30" s="69">
        <f t="shared" si="4"/>
        <v>483.5</v>
      </c>
      <c r="AB30" s="69">
        <f t="shared" si="4"/>
        <v>483.5</v>
      </c>
      <c r="AC30" s="69">
        <f t="shared" si="4"/>
        <v>483.5</v>
      </c>
      <c r="AD30" s="69">
        <f t="shared" si="4"/>
        <v>480.2</v>
      </c>
      <c r="AE30" s="69">
        <f t="shared" si="4"/>
        <v>479.90000000000003</v>
      </c>
      <c r="AF30" s="69">
        <f t="shared" si="4"/>
        <v>479.5</v>
      </c>
      <c r="AG30" s="59">
        <f>SUM(AG11:AG29)</f>
        <v>729.2</v>
      </c>
      <c r="AH30" s="52">
        <f t="shared" si="2"/>
        <v>483.5</v>
      </c>
      <c r="AI30" s="53">
        <f t="shared" si="3"/>
        <v>424.40000000000003</v>
      </c>
      <c r="AK30" s="54"/>
    </row>
    <row r="31" spans="1:88" x14ac:dyDescent="0.25">
      <c r="A31" s="55" t="s">
        <v>38</v>
      </c>
      <c r="B31" s="48">
        <v>143.80000000000001</v>
      </c>
      <c r="C31" s="56">
        <v>143.6</v>
      </c>
      <c r="D31" s="56">
        <v>143.6</v>
      </c>
      <c r="E31" s="56">
        <v>143.6</v>
      </c>
      <c r="F31" s="56">
        <v>143.6</v>
      </c>
      <c r="G31" s="56">
        <v>144.6</v>
      </c>
      <c r="H31" s="56">
        <v>144.5</v>
      </c>
      <c r="I31" s="56">
        <v>144.30000000000001</v>
      </c>
      <c r="J31" s="56">
        <v>145.1</v>
      </c>
      <c r="K31" s="56">
        <v>144.30000000000001</v>
      </c>
      <c r="L31" s="49">
        <v>144.9</v>
      </c>
      <c r="M31" s="49">
        <v>142.80000000000001</v>
      </c>
      <c r="N31" s="49">
        <v>141.6</v>
      </c>
      <c r="O31" s="49">
        <v>140.5</v>
      </c>
      <c r="P31" s="49">
        <v>139.69999999999999</v>
      </c>
      <c r="Q31" s="49">
        <v>137.30000000000001</v>
      </c>
      <c r="R31" s="49">
        <v>137.30000000000001</v>
      </c>
      <c r="S31" s="49">
        <v>137</v>
      </c>
      <c r="T31" s="49">
        <v>140</v>
      </c>
      <c r="U31" s="49">
        <v>141.6</v>
      </c>
      <c r="V31" s="49">
        <v>141.69999999999999</v>
      </c>
      <c r="W31" s="49">
        <v>141.80000000000001</v>
      </c>
      <c r="X31" s="49">
        <v>141.69999999999999</v>
      </c>
      <c r="Y31" s="49">
        <v>141.4</v>
      </c>
      <c r="Z31" s="49">
        <v>142</v>
      </c>
      <c r="AA31" s="49">
        <v>142</v>
      </c>
      <c r="AB31" s="48">
        <v>142.5</v>
      </c>
      <c r="AC31" s="48">
        <v>142.80000000000001</v>
      </c>
      <c r="AD31" s="48">
        <v>143.19999999999999</v>
      </c>
      <c r="AE31" s="48">
        <v>143.19999999999999</v>
      </c>
      <c r="AF31" s="48">
        <v>143.19999999999999</v>
      </c>
      <c r="AG31" s="57">
        <v>144</v>
      </c>
      <c r="AH31" s="52">
        <f t="shared" si="2"/>
        <v>145.1</v>
      </c>
      <c r="AI31" s="53">
        <f t="shared" si="3"/>
        <v>137</v>
      </c>
      <c r="AK31" s="54"/>
    </row>
    <row r="32" spans="1:88" x14ac:dyDescent="0.25">
      <c r="A32" s="58" t="s">
        <v>39</v>
      </c>
      <c r="B32" s="56">
        <v>70.3</v>
      </c>
      <c r="C32" s="56">
        <v>70.8</v>
      </c>
      <c r="D32" s="56">
        <v>70.8</v>
      </c>
      <c r="E32" s="56">
        <v>70.8</v>
      </c>
      <c r="F32" s="56">
        <v>70.8</v>
      </c>
      <c r="G32" s="56">
        <v>70.998999999999995</v>
      </c>
      <c r="H32" s="56">
        <v>70.599999999999994</v>
      </c>
      <c r="I32" s="56">
        <v>70.7</v>
      </c>
      <c r="J32" s="56">
        <v>70</v>
      </c>
      <c r="K32" s="56">
        <v>70</v>
      </c>
      <c r="L32" s="70">
        <v>68.8</v>
      </c>
      <c r="M32" s="70">
        <v>70.7</v>
      </c>
      <c r="N32" s="70">
        <v>70.900000000000006</v>
      </c>
      <c r="O32" s="70">
        <v>70.900000000000006</v>
      </c>
      <c r="P32" s="70">
        <v>71.3</v>
      </c>
      <c r="Q32" s="70">
        <v>70.3</v>
      </c>
      <c r="R32" s="70">
        <v>70.099999999999994</v>
      </c>
      <c r="S32" s="70">
        <v>69.8</v>
      </c>
      <c r="T32" s="70">
        <v>70.099999999999994</v>
      </c>
      <c r="U32" s="70">
        <v>70.7</v>
      </c>
      <c r="V32" s="70">
        <v>59.4</v>
      </c>
      <c r="W32" s="70">
        <v>50.5</v>
      </c>
      <c r="X32" s="70">
        <v>49.4</v>
      </c>
      <c r="Y32" s="70">
        <v>43.7</v>
      </c>
      <c r="Z32" s="70">
        <v>70.2</v>
      </c>
      <c r="AA32" s="70">
        <v>70.2</v>
      </c>
      <c r="AB32" s="70">
        <v>70.2</v>
      </c>
      <c r="AC32" s="70">
        <v>70.2</v>
      </c>
      <c r="AD32" s="56">
        <v>71</v>
      </c>
      <c r="AE32" s="56">
        <v>71</v>
      </c>
      <c r="AF32" s="56">
        <v>71</v>
      </c>
      <c r="AG32" s="59">
        <v>70</v>
      </c>
      <c r="AH32" s="52">
        <f t="shared" si="2"/>
        <v>71.3</v>
      </c>
      <c r="AI32" s="53">
        <f t="shared" si="3"/>
        <v>43.7</v>
      </c>
      <c r="AK32" s="54"/>
    </row>
    <row r="33" spans="1:41" x14ac:dyDescent="0.25">
      <c r="A33" s="58" t="s">
        <v>40</v>
      </c>
      <c r="B33" s="56">
        <v>62.6</v>
      </c>
      <c r="C33" s="56">
        <v>62.4</v>
      </c>
      <c r="D33" s="56">
        <v>62.4</v>
      </c>
      <c r="E33" s="56">
        <v>62.4</v>
      </c>
      <c r="F33" s="56">
        <v>62.4</v>
      </c>
      <c r="G33" s="56">
        <v>62.9</v>
      </c>
      <c r="H33" s="56">
        <v>62.5</v>
      </c>
      <c r="I33" s="56">
        <v>62.8</v>
      </c>
      <c r="J33" s="56">
        <v>62.8</v>
      </c>
      <c r="K33" s="56">
        <v>63.1</v>
      </c>
      <c r="L33" s="70">
        <v>62.5</v>
      </c>
      <c r="M33" s="70">
        <v>62.6</v>
      </c>
      <c r="N33" s="70">
        <v>62.6</v>
      </c>
      <c r="O33" s="70">
        <v>62.6</v>
      </c>
      <c r="P33" s="70">
        <v>62.6</v>
      </c>
      <c r="Q33" s="70">
        <v>62.8</v>
      </c>
      <c r="R33" s="70">
        <v>62.9</v>
      </c>
      <c r="S33" s="70">
        <v>61.2</v>
      </c>
      <c r="T33" s="70">
        <v>62.2</v>
      </c>
      <c r="U33" s="70">
        <v>38.299999999999997</v>
      </c>
      <c r="V33" s="70">
        <v>59.8</v>
      </c>
      <c r="W33" s="70">
        <v>62.1</v>
      </c>
      <c r="X33" s="70">
        <v>62</v>
      </c>
      <c r="Y33" s="70">
        <v>62.8</v>
      </c>
      <c r="Z33" s="70">
        <v>62.8</v>
      </c>
      <c r="AA33" s="70">
        <v>62.8</v>
      </c>
      <c r="AB33" s="70">
        <v>62.8</v>
      </c>
      <c r="AC33" s="70">
        <v>62.8</v>
      </c>
      <c r="AD33" s="56">
        <v>62.2</v>
      </c>
      <c r="AE33" s="56">
        <v>62.2</v>
      </c>
      <c r="AF33" s="56">
        <v>62.2</v>
      </c>
      <c r="AG33" s="59">
        <v>69</v>
      </c>
      <c r="AH33" s="52">
        <f t="shared" si="2"/>
        <v>63.1</v>
      </c>
      <c r="AI33" s="53">
        <f t="shared" si="3"/>
        <v>38.299999999999997</v>
      </c>
      <c r="AK33" s="54"/>
    </row>
    <row r="34" spans="1:41" x14ac:dyDescent="0.25">
      <c r="A34" s="58" t="s">
        <v>41</v>
      </c>
      <c r="B34" s="56">
        <v>28.5</v>
      </c>
      <c r="C34" s="56">
        <v>28.7</v>
      </c>
      <c r="D34" s="56">
        <v>28.7</v>
      </c>
      <c r="E34" s="56">
        <v>28.7</v>
      </c>
      <c r="F34" s="56">
        <v>28.7</v>
      </c>
      <c r="G34" s="56">
        <v>28.5</v>
      </c>
      <c r="H34" s="56">
        <v>28.6</v>
      </c>
      <c r="I34" s="56">
        <v>28.5</v>
      </c>
      <c r="J34" s="56">
        <v>28.6</v>
      </c>
      <c r="K34" s="56">
        <v>28.6</v>
      </c>
      <c r="L34" s="70">
        <v>28.5</v>
      </c>
      <c r="M34" s="70">
        <v>28.5</v>
      </c>
      <c r="N34" s="70">
        <v>28.5</v>
      </c>
      <c r="O34" s="70">
        <v>28.5</v>
      </c>
      <c r="P34" s="70">
        <v>28.7</v>
      </c>
      <c r="Q34" s="70">
        <v>28.5</v>
      </c>
      <c r="R34" s="70">
        <v>28.5</v>
      </c>
      <c r="S34" s="70">
        <v>28.5</v>
      </c>
      <c r="T34" s="70">
        <v>28.5</v>
      </c>
      <c r="U34" s="70">
        <v>28.7</v>
      </c>
      <c r="V34" s="70">
        <v>22.8</v>
      </c>
      <c r="W34" s="70">
        <v>28.5</v>
      </c>
      <c r="X34" s="70">
        <v>28.5</v>
      </c>
      <c r="Y34" s="70">
        <v>28.5</v>
      </c>
      <c r="Z34" s="70">
        <v>28.5</v>
      </c>
      <c r="AA34" s="70">
        <v>28.5</v>
      </c>
      <c r="AB34" s="70">
        <v>28.5</v>
      </c>
      <c r="AC34" s="70">
        <v>28.5</v>
      </c>
      <c r="AD34" s="70">
        <v>28.5</v>
      </c>
      <c r="AE34" s="70">
        <v>28.5</v>
      </c>
      <c r="AF34" s="70">
        <v>28.5</v>
      </c>
      <c r="AG34" s="59">
        <v>60</v>
      </c>
      <c r="AH34" s="52">
        <f t="shared" si="2"/>
        <v>28.7</v>
      </c>
      <c r="AI34" s="53">
        <f t="shared" si="3"/>
        <v>22.8</v>
      </c>
      <c r="AK34" s="54"/>
    </row>
    <row r="35" spans="1:41" x14ac:dyDescent="0.25">
      <c r="A35" s="58" t="s">
        <v>42</v>
      </c>
      <c r="B35" s="56">
        <v>30</v>
      </c>
      <c r="C35" s="56">
        <v>30.3</v>
      </c>
      <c r="D35" s="56">
        <v>30.3</v>
      </c>
      <c r="E35" s="56">
        <v>30.3</v>
      </c>
      <c r="F35" s="56">
        <v>30.3</v>
      </c>
      <c r="G35" s="56">
        <v>30</v>
      </c>
      <c r="H35" s="56">
        <v>30</v>
      </c>
      <c r="I35" s="56">
        <v>30</v>
      </c>
      <c r="J35" s="56">
        <v>30</v>
      </c>
      <c r="K35" s="56">
        <v>30</v>
      </c>
      <c r="L35" s="49">
        <v>29.9</v>
      </c>
      <c r="M35" s="49">
        <v>29.9</v>
      </c>
      <c r="N35" s="49">
        <v>29.9</v>
      </c>
      <c r="O35" s="49">
        <v>29.8</v>
      </c>
      <c r="P35" s="49">
        <v>29.8</v>
      </c>
      <c r="Q35" s="49">
        <v>29.7</v>
      </c>
      <c r="R35" s="49">
        <v>29.6</v>
      </c>
      <c r="S35" s="49">
        <v>29.6</v>
      </c>
      <c r="T35" s="49">
        <v>29.6</v>
      </c>
      <c r="U35" s="49">
        <v>25.4</v>
      </c>
      <c r="V35" s="70">
        <v>23</v>
      </c>
      <c r="W35" s="70">
        <v>29</v>
      </c>
      <c r="X35" s="70">
        <v>20.7</v>
      </c>
      <c r="Y35" s="70">
        <v>21.3</v>
      </c>
      <c r="Z35" s="70">
        <v>30</v>
      </c>
      <c r="AA35" s="70">
        <v>30</v>
      </c>
      <c r="AB35" s="70">
        <v>30</v>
      </c>
      <c r="AC35" s="70">
        <v>30</v>
      </c>
      <c r="AD35" s="70">
        <v>30</v>
      </c>
      <c r="AE35" s="70">
        <v>25</v>
      </c>
      <c r="AF35" s="70">
        <v>25</v>
      </c>
      <c r="AG35" s="59">
        <v>30</v>
      </c>
      <c r="AH35" s="52">
        <f t="shared" si="2"/>
        <v>30.3</v>
      </c>
      <c r="AI35" s="53">
        <f t="shared" si="3"/>
        <v>20.7</v>
      </c>
      <c r="AK35" s="54"/>
    </row>
    <row r="36" spans="1:41" x14ac:dyDescent="0.25">
      <c r="A36" s="58" t="s">
        <v>43</v>
      </c>
      <c r="B36" s="56">
        <v>17</v>
      </c>
      <c r="C36" s="71">
        <v>17</v>
      </c>
      <c r="D36" s="71">
        <v>17</v>
      </c>
      <c r="E36" s="71">
        <v>17</v>
      </c>
      <c r="F36" s="71">
        <v>17</v>
      </c>
      <c r="G36" s="71">
        <v>17</v>
      </c>
      <c r="H36" s="71">
        <v>17</v>
      </c>
      <c r="I36" s="71">
        <v>17</v>
      </c>
      <c r="J36" s="71">
        <v>17</v>
      </c>
      <c r="K36" s="71">
        <v>17</v>
      </c>
      <c r="L36" s="49">
        <v>17</v>
      </c>
      <c r="M36" s="49">
        <v>16.899999999999999</v>
      </c>
      <c r="N36" s="49">
        <v>16.899999999999999</v>
      </c>
      <c r="O36" s="49">
        <v>16.899999999999999</v>
      </c>
      <c r="P36" s="49">
        <v>16.899999999999999</v>
      </c>
      <c r="Q36" s="49">
        <v>16.899999999999999</v>
      </c>
      <c r="R36" s="49">
        <v>13.3</v>
      </c>
      <c r="S36" s="49">
        <v>11.4</v>
      </c>
      <c r="T36" s="49">
        <v>11.4</v>
      </c>
      <c r="U36" s="49">
        <v>14.8</v>
      </c>
      <c r="V36" s="49">
        <v>14.8</v>
      </c>
      <c r="W36" s="49">
        <v>14.9</v>
      </c>
      <c r="X36" s="49">
        <v>15.9</v>
      </c>
      <c r="Y36" s="49">
        <v>15.9</v>
      </c>
      <c r="Z36" s="49">
        <v>16.5</v>
      </c>
      <c r="AA36" s="49">
        <v>16.5</v>
      </c>
      <c r="AB36" s="49">
        <v>16.5</v>
      </c>
      <c r="AC36" s="49">
        <v>16.5</v>
      </c>
      <c r="AD36" s="49">
        <v>16.5</v>
      </c>
      <c r="AE36" s="49">
        <v>16.5</v>
      </c>
      <c r="AF36" s="49">
        <v>16.5</v>
      </c>
      <c r="AG36" s="59">
        <v>24</v>
      </c>
      <c r="AH36" s="52">
        <f t="shared" si="2"/>
        <v>17</v>
      </c>
      <c r="AI36" s="53">
        <f t="shared" si="3"/>
        <v>11.4</v>
      </c>
      <c r="AK36" s="54"/>
    </row>
    <row r="37" spans="1:41" x14ac:dyDescent="0.25">
      <c r="A37" s="58" t="s">
        <v>44</v>
      </c>
      <c r="B37" s="56">
        <v>2.1</v>
      </c>
      <c r="C37" s="56">
        <v>2.1</v>
      </c>
      <c r="D37" s="56">
        <v>2.1</v>
      </c>
      <c r="E37" s="56">
        <v>2.1</v>
      </c>
      <c r="F37" s="56">
        <v>2.1</v>
      </c>
      <c r="G37" s="56">
        <v>2.1</v>
      </c>
      <c r="H37" s="56">
        <v>2.4</v>
      </c>
      <c r="I37" s="56">
        <v>2.5</v>
      </c>
      <c r="J37" s="56">
        <v>2.6</v>
      </c>
      <c r="K37" s="56">
        <v>2.6</v>
      </c>
      <c r="L37" s="49">
        <v>2.1</v>
      </c>
      <c r="M37" s="49">
        <v>2.1</v>
      </c>
      <c r="N37" s="49">
        <v>2.1</v>
      </c>
      <c r="O37" s="49">
        <v>2.1</v>
      </c>
      <c r="P37" s="49">
        <v>2.1</v>
      </c>
      <c r="Q37" s="49">
        <v>2.1</v>
      </c>
      <c r="R37" s="49">
        <v>2.1</v>
      </c>
      <c r="S37" s="49">
        <v>2.1</v>
      </c>
      <c r="T37" s="49">
        <v>2.1</v>
      </c>
      <c r="U37" s="49">
        <v>2.1</v>
      </c>
      <c r="V37" s="49">
        <v>2.1</v>
      </c>
      <c r="W37" s="49">
        <v>2.1</v>
      </c>
      <c r="X37" s="49">
        <v>2.1</v>
      </c>
      <c r="Y37" s="49">
        <v>2.1</v>
      </c>
      <c r="Z37" s="49">
        <v>2.1</v>
      </c>
      <c r="AA37" s="49">
        <v>2.1</v>
      </c>
      <c r="AB37" s="49">
        <v>2.1</v>
      </c>
      <c r="AC37" s="49">
        <v>2.1</v>
      </c>
      <c r="AD37" s="49">
        <v>2.1</v>
      </c>
      <c r="AE37" s="49">
        <v>2.1</v>
      </c>
      <c r="AF37" s="49">
        <v>2.1</v>
      </c>
      <c r="AG37" s="59">
        <v>15</v>
      </c>
      <c r="AH37" s="52">
        <f t="shared" si="2"/>
        <v>2.6</v>
      </c>
      <c r="AI37" s="53">
        <f t="shared" si="3"/>
        <v>2.1</v>
      </c>
      <c r="AK37" s="54"/>
    </row>
    <row r="38" spans="1:41" x14ac:dyDescent="0.25">
      <c r="A38" s="58" t="s">
        <v>45</v>
      </c>
      <c r="B38" s="56">
        <v>13</v>
      </c>
      <c r="C38" s="56">
        <v>13</v>
      </c>
      <c r="D38" s="56">
        <v>13</v>
      </c>
      <c r="E38" s="56">
        <v>13</v>
      </c>
      <c r="F38" s="56">
        <v>13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56">
        <v>13</v>
      </c>
      <c r="M38" s="49">
        <v>13</v>
      </c>
      <c r="N38" s="49">
        <v>13</v>
      </c>
      <c r="O38" s="49">
        <v>13</v>
      </c>
      <c r="P38" s="49">
        <v>13</v>
      </c>
      <c r="Q38" s="49">
        <v>13</v>
      </c>
      <c r="R38" s="49">
        <v>13</v>
      </c>
      <c r="S38" s="49">
        <v>12</v>
      </c>
      <c r="T38" s="49">
        <v>12</v>
      </c>
      <c r="U38" s="49">
        <v>12</v>
      </c>
      <c r="V38" s="49">
        <v>12</v>
      </c>
      <c r="W38" s="49">
        <v>12</v>
      </c>
      <c r="X38" s="49">
        <v>12</v>
      </c>
      <c r="Y38" s="49">
        <v>12</v>
      </c>
      <c r="Z38" s="49">
        <v>12</v>
      </c>
      <c r="AA38" s="49">
        <v>12</v>
      </c>
      <c r="AB38" s="49">
        <v>12</v>
      </c>
      <c r="AC38" s="49">
        <v>12</v>
      </c>
      <c r="AD38" s="49">
        <v>12</v>
      </c>
      <c r="AE38" s="49">
        <v>12</v>
      </c>
      <c r="AF38" s="49">
        <v>12</v>
      </c>
      <c r="AG38" s="59">
        <v>14.1</v>
      </c>
      <c r="AH38" s="52">
        <f t="shared" si="2"/>
        <v>13</v>
      </c>
      <c r="AI38" s="53">
        <f t="shared" si="3"/>
        <v>12</v>
      </c>
      <c r="AK38" s="54"/>
      <c r="AL38" s="64"/>
      <c r="AO38" s="64"/>
    </row>
    <row r="39" spans="1:41" s="64" customFormat="1" x14ac:dyDescent="0.25">
      <c r="A39" s="72" t="s">
        <v>46</v>
      </c>
      <c r="B39" s="56">
        <v>12</v>
      </c>
      <c r="C39" s="56">
        <v>12</v>
      </c>
      <c r="D39" s="56">
        <v>12</v>
      </c>
      <c r="E39" s="56">
        <v>12</v>
      </c>
      <c r="F39" s="56">
        <v>12</v>
      </c>
      <c r="G39" s="56">
        <v>12</v>
      </c>
      <c r="H39" s="56">
        <v>12</v>
      </c>
      <c r="I39" s="56">
        <v>12</v>
      </c>
      <c r="J39" s="56">
        <v>12</v>
      </c>
      <c r="K39" s="56">
        <v>12</v>
      </c>
      <c r="L39" s="49">
        <v>12</v>
      </c>
      <c r="M39" s="49">
        <v>12</v>
      </c>
      <c r="N39" s="49">
        <v>12</v>
      </c>
      <c r="O39" s="49">
        <v>12</v>
      </c>
      <c r="P39" s="49">
        <v>3</v>
      </c>
      <c r="Q39" s="49">
        <v>8</v>
      </c>
      <c r="R39" s="49">
        <v>8</v>
      </c>
      <c r="S39" s="49">
        <v>8</v>
      </c>
      <c r="T39" s="49">
        <v>8</v>
      </c>
      <c r="U39" s="49">
        <v>8</v>
      </c>
      <c r="V39" s="49">
        <v>8</v>
      </c>
      <c r="W39" s="49">
        <v>8</v>
      </c>
      <c r="X39" s="49">
        <v>8</v>
      </c>
      <c r="Y39" s="49">
        <v>8</v>
      </c>
      <c r="Z39" s="49">
        <v>8</v>
      </c>
      <c r="AA39" s="49">
        <v>8</v>
      </c>
      <c r="AB39" s="49">
        <v>8</v>
      </c>
      <c r="AC39" s="49">
        <v>8</v>
      </c>
      <c r="AD39" s="49">
        <v>8</v>
      </c>
      <c r="AE39" s="49">
        <v>8</v>
      </c>
      <c r="AF39" s="49">
        <v>8</v>
      </c>
      <c r="AG39" s="59">
        <v>14</v>
      </c>
      <c r="AH39" s="52">
        <f t="shared" si="2"/>
        <v>12</v>
      </c>
      <c r="AI39" s="53">
        <f t="shared" si="3"/>
        <v>3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>
        <v>9.3000000000000007</v>
      </c>
      <c r="C40" s="56">
        <v>9.3000000000000007</v>
      </c>
      <c r="D40" s="56">
        <v>9.3000000000000007</v>
      </c>
      <c r="E40" s="56">
        <v>9.3000000000000007</v>
      </c>
      <c r="F40" s="56">
        <v>9.3000000000000007</v>
      </c>
      <c r="G40" s="56">
        <v>9.3000000000000007</v>
      </c>
      <c r="H40" s="56">
        <v>9.3000000000000007</v>
      </c>
      <c r="I40" s="56">
        <v>9.3000000000000007</v>
      </c>
      <c r="J40" s="56">
        <v>9.3000000000000007</v>
      </c>
      <c r="K40" s="56">
        <v>9.3000000000000007</v>
      </c>
      <c r="L40" s="56">
        <v>9.3000000000000007</v>
      </c>
      <c r="M40" s="49">
        <v>9.1999999999999993</v>
      </c>
      <c r="N40" s="49">
        <v>9.1999999999999993</v>
      </c>
      <c r="O40" s="49">
        <v>9.1999999999999993</v>
      </c>
      <c r="P40" s="49">
        <v>7.8</v>
      </c>
      <c r="Q40" s="49">
        <v>7.3</v>
      </c>
      <c r="R40" s="49">
        <v>7.3</v>
      </c>
      <c r="S40" s="49">
        <v>8.6999999999999993</v>
      </c>
      <c r="T40" s="49">
        <v>8.6999999999999993</v>
      </c>
      <c r="U40" s="49">
        <v>8.6999999999999993</v>
      </c>
      <c r="V40" s="49">
        <v>8.6999999999999993</v>
      </c>
      <c r="W40" s="49">
        <v>8.6999999999999993</v>
      </c>
      <c r="X40" s="49">
        <v>8.6999999999999993</v>
      </c>
      <c r="Y40" s="49">
        <v>8.6999999999999993</v>
      </c>
      <c r="Z40" s="49">
        <v>8.6999999999999993</v>
      </c>
      <c r="AA40" s="49">
        <v>8.6999999999999993</v>
      </c>
      <c r="AB40" s="49">
        <v>8.6999999999999993</v>
      </c>
      <c r="AC40" s="49">
        <v>8.6999999999999993</v>
      </c>
      <c r="AD40" s="49">
        <v>8.6999999999999993</v>
      </c>
      <c r="AE40" s="49">
        <v>8.6999999999999993</v>
      </c>
      <c r="AF40" s="49">
        <v>8.6999999999999993</v>
      </c>
      <c r="AG40" s="59">
        <v>10.050000000000001</v>
      </c>
      <c r="AH40" s="52">
        <f t="shared" si="2"/>
        <v>9.3000000000000007</v>
      </c>
      <c r="AI40" s="53">
        <f t="shared" si="3"/>
        <v>7.3</v>
      </c>
      <c r="AK40" s="54"/>
    </row>
    <row r="41" spans="1:41" x14ac:dyDescent="0.2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56">
        <v>5</v>
      </c>
      <c r="M41" s="49">
        <v>5</v>
      </c>
      <c r="N41" s="49">
        <v>5</v>
      </c>
      <c r="O41" s="49">
        <v>5</v>
      </c>
      <c r="P41" s="49">
        <v>5</v>
      </c>
      <c r="Q41" s="49">
        <v>5</v>
      </c>
      <c r="R41" s="49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49">
        <v>5</v>
      </c>
      <c r="AA41" s="49">
        <v>5</v>
      </c>
      <c r="AB41" s="49">
        <v>5</v>
      </c>
      <c r="AC41" s="49">
        <v>5</v>
      </c>
      <c r="AD41" s="49">
        <v>5</v>
      </c>
      <c r="AE41" s="49">
        <v>5</v>
      </c>
      <c r="AF41" s="49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397.1400000000001</v>
      </c>
      <c r="C43" s="69">
        <f t="shared" ref="C43:AF43" si="6">SUM(C31:C42)</f>
        <v>397.74</v>
      </c>
      <c r="D43" s="69">
        <f t="shared" si="6"/>
        <v>397.74</v>
      </c>
      <c r="E43" s="69">
        <f t="shared" si="6"/>
        <v>397.74</v>
      </c>
      <c r="F43" s="69">
        <f t="shared" si="6"/>
        <v>397.74</v>
      </c>
      <c r="G43" s="69">
        <f t="shared" si="6"/>
        <v>398.93900000000002</v>
      </c>
      <c r="H43" s="69">
        <f t="shared" si="6"/>
        <v>398.44000000000005</v>
      </c>
      <c r="I43" s="69">
        <f t="shared" si="6"/>
        <v>398.64000000000004</v>
      </c>
      <c r="J43" s="69">
        <f t="shared" si="6"/>
        <v>398.94000000000005</v>
      </c>
      <c r="K43" s="69">
        <f t="shared" si="6"/>
        <v>398.44000000000011</v>
      </c>
      <c r="L43" s="69">
        <f t="shared" si="6"/>
        <v>396.54</v>
      </c>
      <c r="M43" s="69">
        <f t="shared" si="6"/>
        <v>396.24</v>
      </c>
      <c r="N43" s="69">
        <f t="shared" si="6"/>
        <v>395.24</v>
      </c>
      <c r="O43" s="69">
        <f t="shared" si="6"/>
        <v>394.04</v>
      </c>
      <c r="P43" s="69">
        <f t="shared" si="6"/>
        <v>383.44000000000005</v>
      </c>
      <c r="Q43" s="69">
        <f t="shared" si="6"/>
        <v>384.44000000000005</v>
      </c>
      <c r="R43" s="69">
        <f t="shared" si="6"/>
        <v>380.6400000000001</v>
      </c>
      <c r="S43" s="69">
        <f t="shared" si="6"/>
        <v>376.84000000000003</v>
      </c>
      <c r="T43" s="69">
        <f t="shared" si="6"/>
        <v>381.14000000000004</v>
      </c>
      <c r="U43" s="69">
        <f t="shared" si="6"/>
        <v>358.84000000000003</v>
      </c>
      <c r="V43" s="69">
        <f t="shared" si="6"/>
        <v>360.84000000000003</v>
      </c>
      <c r="W43" s="69">
        <f t="shared" si="6"/>
        <v>366.14</v>
      </c>
      <c r="X43" s="69">
        <f t="shared" si="6"/>
        <v>357.54</v>
      </c>
      <c r="Y43" s="69">
        <f t="shared" si="6"/>
        <v>352.94000000000005</v>
      </c>
      <c r="Z43" s="69">
        <f t="shared" si="6"/>
        <v>389.34000000000003</v>
      </c>
      <c r="AA43" s="69">
        <f t="shared" si="6"/>
        <v>389.34000000000003</v>
      </c>
      <c r="AB43" s="69">
        <f t="shared" si="6"/>
        <v>389.84000000000003</v>
      </c>
      <c r="AC43" s="69">
        <f t="shared" si="6"/>
        <v>390.14000000000004</v>
      </c>
      <c r="AD43" s="69">
        <f t="shared" si="6"/>
        <v>390.74</v>
      </c>
      <c r="AE43" s="69">
        <f t="shared" si="6"/>
        <v>385.74</v>
      </c>
      <c r="AF43" s="69">
        <f t="shared" si="6"/>
        <v>385.74</v>
      </c>
      <c r="AG43" s="74">
        <f>SUM(AG31:AG42)</f>
        <v>464.91</v>
      </c>
      <c r="AH43" s="52">
        <f t="shared" si="2"/>
        <v>398.94000000000005</v>
      </c>
      <c r="AI43" s="53">
        <f t="shared" si="3"/>
        <v>352.94000000000005</v>
      </c>
      <c r="AK43" s="54"/>
    </row>
    <row r="44" spans="1:41" x14ac:dyDescent="0.25">
      <c r="A44" s="55" t="s">
        <v>51</v>
      </c>
      <c r="B44" s="49">
        <v>30.5</v>
      </c>
      <c r="C44" s="56">
        <v>29.9</v>
      </c>
      <c r="D44" s="56">
        <v>30</v>
      </c>
      <c r="E44" s="56">
        <v>20</v>
      </c>
      <c r="F44" s="56">
        <v>14.3</v>
      </c>
      <c r="G44" s="56">
        <v>14.3</v>
      </c>
      <c r="H44" s="56">
        <v>14</v>
      </c>
      <c r="I44" s="56">
        <v>30</v>
      </c>
      <c r="J44" s="56">
        <v>30</v>
      </c>
      <c r="K44" s="56">
        <v>60</v>
      </c>
      <c r="L44" s="75">
        <v>46.8</v>
      </c>
      <c r="M44" s="75">
        <v>40.4</v>
      </c>
      <c r="N44" s="75">
        <v>49.3</v>
      </c>
      <c r="O44" s="75">
        <v>30.2</v>
      </c>
      <c r="P44" s="49">
        <v>29.6</v>
      </c>
      <c r="Q44" s="49">
        <v>30.6</v>
      </c>
      <c r="R44" s="49">
        <v>30</v>
      </c>
      <c r="S44" s="49">
        <v>29.8</v>
      </c>
      <c r="T44" s="49">
        <v>29</v>
      </c>
      <c r="U44" s="49">
        <v>29</v>
      </c>
      <c r="V44" s="49">
        <v>29.8</v>
      </c>
      <c r="W44" s="49">
        <v>0</v>
      </c>
      <c r="X44" s="49">
        <v>0</v>
      </c>
      <c r="Y44" s="49">
        <v>0</v>
      </c>
      <c r="Z44" s="49">
        <v>30</v>
      </c>
      <c r="AA44" s="49">
        <v>14</v>
      </c>
      <c r="AB44" s="49">
        <v>30</v>
      </c>
      <c r="AC44" s="49">
        <v>30</v>
      </c>
      <c r="AD44" s="49">
        <v>30</v>
      </c>
      <c r="AE44" s="49">
        <v>14</v>
      </c>
      <c r="AF44" s="49">
        <v>45</v>
      </c>
      <c r="AG44" s="57">
        <v>60</v>
      </c>
      <c r="AH44" s="52">
        <f t="shared" si="2"/>
        <v>60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15.5</v>
      </c>
      <c r="C45" s="56">
        <v>16.2</v>
      </c>
      <c r="D45" s="56">
        <v>16</v>
      </c>
      <c r="E45" s="56">
        <v>15</v>
      </c>
      <c r="F45" s="56">
        <v>4.9000000000000004</v>
      </c>
      <c r="G45" s="56">
        <v>5</v>
      </c>
      <c r="H45" s="56">
        <v>6.6</v>
      </c>
      <c r="I45" s="56">
        <v>16</v>
      </c>
      <c r="J45" s="56">
        <v>16</v>
      </c>
      <c r="K45" s="56">
        <v>16</v>
      </c>
      <c r="L45" s="75">
        <v>31</v>
      </c>
      <c r="M45" s="75">
        <v>18.399999999999999</v>
      </c>
      <c r="N45" s="75">
        <v>24.4</v>
      </c>
      <c r="O45" s="75">
        <v>16</v>
      </c>
      <c r="P45" s="70">
        <v>15.2</v>
      </c>
      <c r="Q45" s="70">
        <v>16.3</v>
      </c>
      <c r="R45" s="49">
        <v>14.8</v>
      </c>
      <c r="S45" s="49">
        <v>14.6</v>
      </c>
      <c r="T45" s="49">
        <v>10.6</v>
      </c>
      <c r="U45" s="70">
        <v>6.8</v>
      </c>
      <c r="V45" s="70">
        <v>6.8</v>
      </c>
      <c r="W45" s="70">
        <v>0</v>
      </c>
      <c r="X45" s="70">
        <v>0</v>
      </c>
      <c r="Y45" s="70">
        <v>0</v>
      </c>
      <c r="Z45" s="70">
        <v>18.5</v>
      </c>
      <c r="AA45" s="70">
        <v>7</v>
      </c>
      <c r="AB45" s="70">
        <v>15.3</v>
      </c>
      <c r="AC45" s="70">
        <v>16</v>
      </c>
      <c r="AD45" s="70">
        <v>16</v>
      </c>
      <c r="AE45" s="70">
        <v>15</v>
      </c>
      <c r="AF45" s="70">
        <v>21</v>
      </c>
      <c r="AG45" s="59">
        <v>32</v>
      </c>
      <c r="AH45" s="52">
        <f t="shared" si="2"/>
        <v>31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5.7</v>
      </c>
      <c r="C46" s="71">
        <v>5.9</v>
      </c>
      <c r="D46" s="71">
        <v>5.6</v>
      </c>
      <c r="E46" s="71">
        <v>5</v>
      </c>
      <c r="F46" s="71">
        <v>5</v>
      </c>
      <c r="G46" s="71">
        <v>1.8</v>
      </c>
      <c r="H46" s="71">
        <v>2.4</v>
      </c>
      <c r="I46" s="71">
        <v>5.8</v>
      </c>
      <c r="J46" s="71">
        <v>5.8</v>
      </c>
      <c r="K46" s="71">
        <v>7.5</v>
      </c>
      <c r="L46" s="76">
        <v>7.4</v>
      </c>
      <c r="M46" s="76">
        <v>6.7</v>
      </c>
      <c r="N46" s="76">
        <v>8.9</v>
      </c>
      <c r="O46" s="76">
        <v>5.9</v>
      </c>
      <c r="P46" s="77">
        <v>5.5</v>
      </c>
      <c r="Q46" s="77">
        <v>5.9</v>
      </c>
      <c r="R46" s="49">
        <v>5.4</v>
      </c>
      <c r="S46" s="49">
        <v>5.3</v>
      </c>
      <c r="T46" s="49">
        <v>3.9</v>
      </c>
      <c r="U46" s="77">
        <v>2.5</v>
      </c>
      <c r="V46" s="77">
        <v>2.5</v>
      </c>
      <c r="W46" s="77">
        <v>0</v>
      </c>
      <c r="X46" s="77">
        <v>0</v>
      </c>
      <c r="Y46" s="77">
        <v>0</v>
      </c>
      <c r="Z46" s="77">
        <v>6.7</v>
      </c>
      <c r="AA46" s="77">
        <v>4</v>
      </c>
      <c r="AB46" s="77">
        <v>7</v>
      </c>
      <c r="AC46" s="77">
        <v>7</v>
      </c>
      <c r="AD46" s="77">
        <v>7</v>
      </c>
      <c r="AE46" s="77">
        <v>5.5</v>
      </c>
      <c r="AF46" s="77">
        <v>7.7</v>
      </c>
      <c r="AG46" s="78">
        <v>14</v>
      </c>
      <c r="AH46" s="52">
        <f t="shared" si="2"/>
        <v>8.9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51.7</v>
      </c>
      <c r="C47" s="69">
        <f t="shared" ref="C47:AF47" si="7">SUM(C44:C46)</f>
        <v>51.999999999999993</v>
      </c>
      <c r="D47" s="69">
        <f t="shared" si="7"/>
        <v>51.6</v>
      </c>
      <c r="E47" s="69">
        <f t="shared" si="7"/>
        <v>40</v>
      </c>
      <c r="F47" s="69">
        <f t="shared" si="7"/>
        <v>24.200000000000003</v>
      </c>
      <c r="G47" s="69">
        <f t="shared" si="7"/>
        <v>21.1</v>
      </c>
      <c r="H47" s="69">
        <f t="shared" si="7"/>
        <v>23</v>
      </c>
      <c r="I47" s="69">
        <f t="shared" si="7"/>
        <v>51.8</v>
      </c>
      <c r="J47" s="69">
        <f t="shared" si="7"/>
        <v>51.8</v>
      </c>
      <c r="K47" s="69">
        <f t="shared" si="7"/>
        <v>83.5</v>
      </c>
      <c r="L47" s="69">
        <f t="shared" si="7"/>
        <v>85.2</v>
      </c>
      <c r="M47" s="69">
        <f t="shared" si="7"/>
        <v>65.5</v>
      </c>
      <c r="N47" s="69">
        <f t="shared" si="7"/>
        <v>82.6</v>
      </c>
      <c r="O47" s="69">
        <f t="shared" si="7"/>
        <v>52.1</v>
      </c>
      <c r="P47" s="69">
        <f t="shared" si="7"/>
        <v>50.3</v>
      </c>
      <c r="Q47" s="69">
        <f t="shared" si="7"/>
        <v>52.800000000000004</v>
      </c>
      <c r="R47" s="69">
        <f t="shared" si="7"/>
        <v>50.199999999999996</v>
      </c>
      <c r="S47" s="69">
        <f t="shared" si="7"/>
        <v>49.699999999999996</v>
      </c>
      <c r="T47" s="69">
        <f t="shared" si="7"/>
        <v>43.5</v>
      </c>
      <c r="U47" s="69">
        <f t="shared" si="7"/>
        <v>38.299999999999997</v>
      </c>
      <c r="V47" s="69">
        <f t="shared" si="7"/>
        <v>39.1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55.2</v>
      </c>
      <c r="AA47" s="69">
        <f t="shared" si="7"/>
        <v>25</v>
      </c>
      <c r="AB47" s="69">
        <f t="shared" si="7"/>
        <v>52.3</v>
      </c>
      <c r="AC47" s="69">
        <f t="shared" si="7"/>
        <v>53</v>
      </c>
      <c r="AD47" s="69">
        <f t="shared" si="7"/>
        <v>53</v>
      </c>
      <c r="AE47" s="69">
        <f t="shared" si="7"/>
        <v>34.5</v>
      </c>
      <c r="AF47" s="69">
        <f t="shared" si="7"/>
        <v>73.7</v>
      </c>
      <c r="AG47" s="74">
        <f>SUM(AG44:AG46)</f>
        <v>106</v>
      </c>
      <c r="AH47" s="52">
        <f t="shared" si="2"/>
        <v>85.2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58</v>
      </c>
      <c r="C48" s="49">
        <v>54.3</v>
      </c>
      <c r="D48" s="49">
        <v>55</v>
      </c>
      <c r="E48" s="49">
        <v>50</v>
      </c>
      <c r="F48" s="49">
        <v>55.8</v>
      </c>
      <c r="G48" s="49">
        <v>56.4</v>
      </c>
      <c r="H48" s="49">
        <v>52.2</v>
      </c>
      <c r="I48" s="49">
        <v>56</v>
      </c>
      <c r="J48" s="49">
        <v>68</v>
      </c>
      <c r="K48" s="49">
        <v>68</v>
      </c>
      <c r="L48" s="49">
        <v>69.400000000000006</v>
      </c>
      <c r="M48" s="49">
        <v>66.33</v>
      </c>
      <c r="N48" s="49">
        <v>65</v>
      </c>
      <c r="O48" s="49">
        <v>48.86</v>
      </c>
      <c r="P48" s="49">
        <v>59.8</v>
      </c>
      <c r="Q48" s="49">
        <v>52.53</v>
      </c>
      <c r="R48" s="49">
        <v>58</v>
      </c>
      <c r="S48" s="49">
        <v>69.58</v>
      </c>
      <c r="T48" s="49">
        <v>63</v>
      </c>
      <c r="U48" s="49">
        <v>66.62</v>
      </c>
      <c r="V48" s="49">
        <v>66.099999999999994</v>
      </c>
      <c r="W48" s="49">
        <v>60.23</v>
      </c>
      <c r="X48" s="49">
        <v>50.14</v>
      </c>
      <c r="Y48" s="49">
        <v>57</v>
      </c>
      <c r="Z48" s="49">
        <v>65</v>
      </c>
      <c r="AA48" s="49">
        <v>75</v>
      </c>
      <c r="AB48" s="49">
        <v>67</v>
      </c>
      <c r="AC48" s="49">
        <v>67.8</v>
      </c>
      <c r="AD48" s="49">
        <v>66</v>
      </c>
      <c r="AE48" s="49">
        <v>44</v>
      </c>
      <c r="AF48" s="49">
        <v>43</v>
      </c>
      <c r="AG48" s="57"/>
      <c r="AH48" s="52">
        <f t="shared" si="2"/>
        <v>75</v>
      </c>
      <c r="AI48" s="53">
        <f t="shared" si="3"/>
        <v>43</v>
      </c>
      <c r="AK48" s="54"/>
    </row>
    <row r="49" spans="1:37" x14ac:dyDescent="0.25">
      <c r="A49" s="58" t="s">
        <v>56</v>
      </c>
      <c r="B49" s="70">
        <v>74.5</v>
      </c>
      <c r="C49" s="70">
        <v>54.5</v>
      </c>
      <c r="D49" s="70">
        <v>52</v>
      </c>
      <c r="E49" s="70">
        <v>51</v>
      </c>
      <c r="F49" s="70">
        <v>41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9">
        <v>0</v>
      </c>
      <c r="M49" s="49">
        <v>0</v>
      </c>
      <c r="N49" s="49">
        <v>0</v>
      </c>
      <c r="O49" s="49">
        <v>38.6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40.9</v>
      </c>
      <c r="AA49" s="70">
        <v>38</v>
      </c>
      <c r="AB49" s="70">
        <v>40</v>
      </c>
      <c r="AC49" s="70">
        <v>43</v>
      </c>
      <c r="AD49" s="70">
        <v>30.4</v>
      </c>
      <c r="AE49" s="70">
        <v>0</v>
      </c>
      <c r="AF49" s="70">
        <f>71+30</f>
        <v>101</v>
      </c>
      <c r="AG49" s="59"/>
      <c r="AH49" s="52">
        <f t="shared" si="2"/>
        <v>101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75</v>
      </c>
      <c r="C50" s="70">
        <v>80</v>
      </c>
      <c r="D50" s="70">
        <v>90</v>
      </c>
      <c r="E50" s="70">
        <v>100</v>
      </c>
      <c r="F50" s="70">
        <v>106</v>
      </c>
      <c r="G50" s="49">
        <v>120</v>
      </c>
      <c r="H50" s="49">
        <v>140</v>
      </c>
      <c r="I50" s="49">
        <v>150</v>
      </c>
      <c r="J50" s="49">
        <v>160</v>
      </c>
      <c r="K50" s="49">
        <v>168</v>
      </c>
      <c r="L50" s="70">
        <v>170</v>
      </c>
      <c r="M50" s="70">
        <v>195</v>
      </c>
      <c r="N50" s="70">
        <v>183</v>
      </c>
      <c r="O50" s="70">
        <v>185</v>
      </c>
      <c r="P50" s="70">
        <v>196</v>
      </c>
      <c r="Q50" s="70">
        <v>200</v>
      </c>
      <c r="R50" s="70">
        <v>196</v>
      </c>
      <c r="S50" s="70">
        <v>182</v>
      </c>
      <c r="T50" s="70">
        <v>160</v>
      </c>
      <c r="U50" s="80">
        <v>175</v>
      </c>
      <c r="V50" s="80">
        <v>150</v>
      </c>
      <c r="W50" s="80">
        <v>160</v>
      </c>
      <c r="X50" s="80">
        <v>154</v>
      </c>
      <c r="Y50" s="80">
        <v>201.9</v>
      </c>
      <c r="Z50" s="80">
        <v>209</v>
      </c>
      <c r="AA50" s="70">
        <v>264</v>
      </c>
      <c r="AB50" s="70">
        <v>250</v>
      </c>
      <c r="AC50" s="70">
        <v>250</v>
      </c>
      <c r="AD50" s="70">
        <v>200</v>
      </c>
      <c r="AE50" s="70">
        <v>200</v>
      </c>
      <c r="AF50" s="70">
        <v>80</v>
      </c>
      <c r="AG50" s="81"/>
      <c r="AH50" s="52">
        <f t="shared" si="2"/>
        <v>264</v>
      </c>
      <c r="AI50" s="53">
        <f t="shared" si="3"/>
        <v>75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3">
        <v>7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1"/>
      <c r="AH53" s="52">
        <f t="shared" si="2"/>
        <v>7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49">
        <v>0</v>
      </c>
      <c r="I54" s="49">
        <v>0</v>
      </c>
      <c r="J54" s="49">
        <v>0</v>
      </c>
      <c r="K54" s="49">
        <v>0</v>
      </c>
      <c r="L54" s="70">
        <v>0</v>
      </c>
      <c r="M54" s="70">
        <v>0</v>
      </c>
      <c r="N54" s="70">
        <v>0</v>
      </c>
      <c r="O54" s="70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7</v>
      </c>
      <c r="C55" s="82">
        <v>7</v>
      </c>
      <c r="D55" s="82">
        <v>7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70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2">
        <v>0</v>
      </c>
      <c r="AD55" s="82">
        <v>0</v>
      </c>
      <c r="AE55" s="82">
        <v>0</v>
      </c>
      <c r="AF55" s="82">
        <v>0</v>
      </c>
      <c r="AG55" s="81"/>
      <c r="AH55" s="52">
        <f t="shared" si="2"/>
        <v>7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70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2">
        <v>0</v>
      </c>
      <c r="AD56" s="82">
        <v>0</v>
      </c>
      <c r="AE56" s="82">
        <v>0</v>
      </c>
      <c r="AF56" s="82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221.5</v>
      </c>
      <c r="C59" s="69">
        <f t="shared" ref="C59:AF59" si="8">SUM(C48:C58)</f>
        <v>195.8</v>
      </c>
      <c r="D59" s="69">
        <f t="shared" si="8"/>
        <v>204</v>
      </c>
      <c r="E59" s="69">
        <f t="shared" si="8"/>
        <v>201</v>
      </c>
      <c r="F59" s="69">
        <f t="shared" si="8"/>
        <v>202.8</v>
      </c>
      <c r="G59" s="69">
        <f t="shared" si="8"/>
        <v>176.4</v>
      </c>
      <c r="H59" s="69">
        <f t="shared" si="8"/>
        <v>192.2</v>
      </c>
      <c r="I59" s="69">
        <f t="shared" si="8"/>
        <v>206</v>
      </c>
      <c r="J59" s="69">
        <f t="shared" si="8"/>
        <v>228</v>
      </c>
      <c r="K59" s="69">
        <f t="shared" si="8"/>
        <v>236</v>
      </c>
      <c r="L59" s="69">
        <f t="shared" si="8"/>
        <v>239.4</v>
      </c>
      <c r="M59" s="69">
        <f t="shared" si="8"/>
        <v>261.33</v>
      </c>
      <c r="N59" s="69">
        <f t="shared" si="8"/>
        <v>248</v>
      </c>
      <c r="O59" s="69">
        <f t="shared" si="8"/>
        <v>272.46000000000004</v>
      </c>
      <c r="P59" s="69">
        <f t="shared" si="8"/>
        <v>255.8</v>
      </c>
      <c r="Q59" s="69">
        <f t="shared" si="8"/>
        <v>252.53</v>
      </c>
      <c r="R59" s="69">
        <f t="shared" si="8"/>
        <v>254</v>
      </c>
      <c r="S59" s="69">
        <f t="shared" si="8"/>
        <v>251.57999999999998</v>
      </c>
      <c r="T59" s="69">
        <f t="shared" si="8"/>
        <v>223</v>
      </c>
      <c r="U59" s="69">
        <f t="shared" si="8"/>
        <v>241.62</v>
      </c>
      <c r="V59" s="69">
        <f t="shared" si="8"/>
        <v>216.1</v>
      </c>
      <c r="W59" s="69">
        <f t="shared" si="8"/>
        <v>220.23</v>
      </c>
      <c r="X59" s="69">
        <f t="shared" si="8"/>
        <v>204.14</v>
      </c>
      <c r="Y59" s="69">
        <f t="shared" si="8"/>
        <v>258.89999999999998</v>
      </c>
      <c r="Z59" s="69">
        <f t="shared" si="8"/>
        <v>314.89999999999998</v>
      </c>
      <c r="AA59" s="69">
        <f t="shared" si="8"/>
        <v>377</v>
      </c>
      <c r="AB59" s="69">
        <f t="shared" si="8"/>
        <v>357</v>
      </c>
      <c r="AC59" s="69">
        <f t="shared" si="8"/>
        <v>360.8</v>
      </c>
      <c r="AD59" s="69">
        <f t="shared" si="8"/>
        <v>296.39999999999998</v>
      </c>
      <c r="AE59" s="69">
        <f t="shared" si="8"/>
        <v>244</v>
      </c>
      <c r="AF59" s="69">
        <f t="shared" si="8"/>
        <v>224</v>
      </c>
      <c r="AG59" s="74">
        <f>SUM(AG48:AG58)</f>
        <v>0</v>
      </c>
      <c r="AH59" s="52">
        <f t="shared" si="2"/>
        <v>377</v>
      </c>
      <c r="AI59" s="53">
        <f t="shared" si="3"/>
        <v>176.4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1144.3400000000001</v>
      </c>
      <c r="C65" s="91">
        <f t="shared" ref="C65:AF65" si="10">C63+C59+C47+C43+C30+C64</f>
        <v>1120.1399999999999</v>
      </c>
      <c r="D65" s="91">
        <f t="shared" si="10"/>
        <v>1123.94</v>
      </c>
      <c r="E65" s="91">
        <f t="shared" si="10"/>
        <v>1106.24</v>
      </c>
      <c r="F65" s="91">
        <f t="shared" si="10"/>
        <v>1087.8399999999999</v>
      </c>
      <c r="G65" s="91">
        <f t="shared" si="10"/>
        <v>1053.5390000000002</v>
      </c>
      <c r="H65" s="91">
        <f t="shared" si="10"/>
        <v>1073.74</v>
      </c>
      <c r="I65" s="91">
        <f t="shared" si="10"/>
        <v>1114.24</v>
      </c>
      <c r="J65" s="91">
        <f t="shared" si="10"/>
        <v>1135.54</v>
      </c>
      <c r="K65" s="91">
        <f t="shared" si="10"/>
        <v>1174.8400000000001</v>
      </c>
      <c r="L65" s="91">
        <f t="shared" si="10"/>
        <v>1159.5400000000002</v>
      </c>
      <c r="M65" s="91">
        <f t="shared" si="10"/>
        <v>1163.3699999999999</v>
      </c>
      <c r="N65" s="91">
        <f t="shared" si="10"/>
        <v>1150.24</v>
      </c>
      <c r="O65" s="91">
        <f t="shared" si="10"/>
        <v>1145.3000000000002</v>
      </c>
      <c r="P65" s="91">
        <f t="shared" si="10"/>
        <v>1136.8400000000001</v>
      </c>
      <c r="Q65" s="91">
        <f t="shared" si="10"/>
        <v>1137.17</v>
      </c>
      <c r="R65" s="91">
        <f t="shared" si="10"/>
        <v>1135.44</v>
      </c>
      <c r="S65" s="91">
        <f t="shared" si="10"/>
        <v>1129.1199999999999</v>
      </c>
      <c r="T65" s="91">
        <f t="shared" si="10"/>
        <v>1106.2400000000002</v>
      </c>
      <c r="U65" s="91">
        <f t="shared" si="10"/>
        <v>1084.76</v>
      </c>
      <c r="V65" s="91">
        <f t="shared" si="10"/>
        <v>1087.94</v>
      </c>
      <c r="W65" s="91">
        <f t="shared" si="10"/>
        <v>1060.5700000000002</v>
      </c>
      <c r="X65" s="91">
        <f t="shared" si="10"/>
        <v>1044.3800000000001</v>
      </c>
      <c r="Y65" s="91">
        <f t="shared" si="10"/>
        <v>1095.04</v>
      </c>
      <c r="Z65" s="91">
        <f t="shared" si="10"/>
        <v>1242.74</v>
      </c>
      <c r="AA65" s="91">
        <f t="shared" si="10"/>
        <v>1274.8400000000001</v>
      </c>
      <c r="AB65" s="91">
        <f t="shared" si="10"/>
        <v>1282.6400000000001</v>
      </c>
      <c r="AC65" s="91">
        <f t="shared" si="10"/>
        <v>1287.44</v>
      </c>
      <c r="AD65" s="91">
        <f t="shared" si="10"/>
        <v>1220.3399999999999</v>
      </c>
      <c r="AE65" s="91">
        <f t="shared" si="10"/>
        <v>1144.1400000000001</v>
      </c>
      <c r="AF65" s="91">
        <f t="shared" si="10"/>
        <v>1162.94</v>
      </c>
      <c r="AG65" s="74">
        <f>AG63+AG59+AG47+AG43+AG30+AG64</f>
        <v>1355.5100000000002</v>
      </c>
      <c r="AH65" s="52">
        <f t="shared" si="2"/>
        <v>1287.44</v>
      </c>
      <c r="AI65" s="53">
        <f t="shared" si="3"/>
        <v>1044.3800000000001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6">
        <v>50.03</v>
      </c>
      <c r="C72" s="94">
        <v>49.96</v>
      </c>
      <c r="D72" s="94">
        <v>50</v>
      </c>
      <c r="E72" s="94">
        <v>50.085000000000001</v>
      </c>
      <c r="F72" s="94">
        <v>49.978999999999999</v>
      </c>
      <c r="G72" s="94">
        <v>50</v>
      </c>
      <c r="H72" s="94">
        <v>50.023000000000003</v>
      </c>
      <c r="I72" s="94">
        <v>49.984999999999999</v>
      </c>
      <c r="J72" s="94">
        <v>50.39</v>
      </c>
      <c r="K72" s="94">
        <v>49.99</v>
      </c>
      <c r="L72" s="94">
        <v>50.055</v>
      </c>
      <c r="M72" s="94">
        <v>50.042000000000002</v>
      </c>
      <c r="N72" s="94">
        <v>50.006</v>
      </c>
      <c r="O72" s="94">
        <v>50.003999999999998</v>
      </c>
      <c r="P72" s="94">
        <v>49.936999999999998</v>
      </c>
      <c r="Q72" s="95">
        <v>49.993000000000002</v>
      </c>
      <c r="R72" s="94">
        <v>50.01</v>
      </c>
      <c r="S72" s="94">
        <v>50.08</v>
      </c>
      <c r="T72" s="94">
        <v>50.04</v>
      </c>
      <c r="U72" s="94">
        <v>49.98</v>
      </c>
      <c r="V72" s="94">
        <v>50.03</v>
      </c>
      <c r="W72" s="94">
        <v>50.02</v>
      </c>
      <c r="X72" s="94">
        <v>50.01</v>
      </c>
      <c r="Y72" s="94">
        <v>50.06</v>
      </c>
      <c r="Z72" s="94">
        <v>50.11</v>
      </c>
      <c r="AA72" s="94">
        <v>50.088999999999999</v>
      </c>
      <c r="AB72" s="94">
        <v>50.064</v>
      </c>
      <c r="AC72" s="94">
        <v>50.07</v>
      </c>
      <c r="AD72" s="94">
        <v>50.063000000000002</v>
      </c>
      <c r="AE72" s="94">
        <v>50.04</v>
      </c>
      <c r="AF72" s="96">
        <v>50.054000000000002</v>
      </c>
      <c r="AG72" s="97"/>
      <c r="AH72" s="52">
        <f t="shared" si="2"/>
        <v>50.39</v>
      </c>
      <c r="AI72" s="53">
        <f t="shared" si="3"/>
        <v>49.936999999999998</v>
      </c>
    </row>
    <row r="73" spans="1:35" x14ac:dyDescent="0.25">
      <c r="A73" s="98" t="s">
        <v>80</v>
      </c>
      <c r="B73" s="100">
        <v>125</v>
      </c>
      <c r="C73" s="70">
        <v>125.8</v>
      </c>
      <c r="D73" s="70">
        <v>126</v>
      </c>
      <c r="E73" s="70">
        <v>126.1</v>
      </c>
      <c r="F73" s="70">
        <v>125.3</v>
      </c>
      <c r="G73" s="70">
        <v>125.8</v>
      </c>
      <c r="H73" s="70">
        <v>126.5</v>
      </c>
      <c r="I73" s="70">
        <v>125.4</v>
      </c>
      <c r="J73" s="70">
        <v>124.6</v>
      </c>
      <c r="K73" s="70">
        <v>126.1</v>
      </c>
      <c r="L73" s="70">
        <v>126.1</v>
      </c>
      <c r="M73" s="70">
        <v>124.7</v>
      </c>
      <c r="N73" s="70">
        <v>125.5</v>
      </c>
      <c r="O73" s="70">
        <v>124.7</v>
      </c>
      <c r="P73" s="70">
        <v>123.5</v>
      </c>
      <c r="Q73" s="99">
        <v>124.9</v>
      </c>
      <c r="R73" s="99">
        <v>125.4</v>
      </c>
      <c r="S73" s="99">
        <v>126.5</v>
      </c>
      <c r="T73" s="99">
        <v>125.7</v>
      </c>
      <c r="U73" s="99">
        <v>126.6</v>
      </c>
      <c r="V73" s="99">
        <v>126.6</v>
      </c>
      <c r="W73" s="99">
        <v>126.9</v>
      </c>
      <c r="X73" s="99">
        <v>126.4</v>
      </c>
      <c r="Y73" s="99">
        <v>126.1</v>
      </c>
      <c r="Z73" s="99">
        <v>127.1</v>
      </c>
      <c r="AA73" s="70">
        <v>125.2</v>
      </c>
      <c r="AB73" s="70">
        <v>125.2</v>
      </c>
      <c r="AC73" s="70">
        <v>125.8</v>
      </c>
      <c r="AD73" s="70">
        <v>124.4</v>
      </c>
      <c r="AE73" s="70">
        <v>125.1</v>
      </c>
      <c r="AF73" s="100">
        <v>125.6</v>
      </c>
      <c r="AG73" s="101"/>
      <c r="AH73" s="52">
        <f t="shared" si="2"/>
        <v>127.1</v>
      </c>
      <c r="AI73" s="53">
        <f t="shared" si="3"/>
        <v>123.5</v>
      </c>
    </row>
    <row r="74" spans="1:35" x14ac:dyDescent="0.25">
      <c r="A74" s="98" t="s">
        <v>81</v>
      </c>
      <c r="B74" s="100">
        <v>129</v>
      </c>
      <c r="C74" s="70">
        <v>129.4</v>
      </c>
      <c r="D74" s="70">
        <v>129.19999999999999</v>
      </c>
      <c r="E74" s="70">
        <v>129.69999999999999</v>
      </c>
      <c r="F74" s="70">
        <v>128.5</v>
      </c>
      <c r="G74" s="70">
        <v>129</v>
      </c>
      <c r="H74" s="70">
        <v>129.19999999999999</v>
      </c>
      <c r="I74" s="70">
        <v>128.19999999999999</v>
      </c>
      <c r="J74" s="70">
        <v>127.5</v>
      </c>
      <c r="K74" s="70">
        <v>128.5</v>
      </c>
      <c r="L74" s="70">
        <v>128.4</v>
      </c>
      <c r="M74" s="70">
        <v>127.2</v>
      </c>
      <c r="N74" s="70">
        <v>128.4</v>
      </c>
      <c r="O74" s="70">
        <v>127.7</v>
      </c>
      <c r="P74" s="70">
        <v>126.7</v>
      </c>
      <c r="Q74" s="99">
        <v>128.19999999999999</v>
      </c>
      <c r="R74" s="99">
        <v>128.19999999999999</v>
      </c>
      <c r="S74" s="99">
        <v>129.1</v>
      </c>
      <c r="T74" s="99">
        <v>128.6</v>
      </c>
      <c r="U74" s="99">
        <v>129.4</v>
      </c>
      <c r="V74" s="99">
        <v>129.19999999999999</v>
      </c>
      <c r="W74" s="99">
        <v>129.69999999999999</v>
      </c>
      <c r="X74" s="99">
        <v>128.9</v>
      </c>
      <c r="Y74" s="99">
        <v>128.69999999999999</v>
      </c>
      <c r="Z74" s="99">
        <v>129.5</v>
      </c>
      <c r="AA74" s="70">
        <v>128.19999999999999</v>
      </c>
      <c r="AB74" s="70">
        <v>128.19999999999999</v>
      </c>
      <c r="AC74" s="70">
        <v>128.80000000000001</v>
      </c>
      <c r="AD74" s="70">
        <v>128.19999999999999</v>
      </c>
      <c r="AE74" s="70">
        <v>129.1</v>
      </c>
      <c r="AF74" s="100">
        <v>129</v>
      </c>
      <c r="AG74" s="101"/>
      <c r="AH74" s="52">
        <f t="shared" si="2"/>
        <v>129.69999999999999</v>
      </c>
      <c r="AI74" s="53">
        <f t="shared" si="3"/>
        <v>126.7</v>
      </c>
    </row>
    <row r="75" spans="1:35" x14ac:dyDescent="0.25">
      <c r="A75" s="98" t="s">
        <v>82</v>
      </c>
      <c r="B75" s="100">
        <v>128.19999999999999</v>
      </c>
      <c r="C75" s="70">
        <v>126.5</v>
      </c>
      <c r="D75" s="70">
        <v>126.9</v>
      </c>
      <c r="E75" s="70">
        <v>128.80000000000001</v>
      </c>
      <c r="F75" s="70">
        <v>130.19999999999999</v>
      </c>
      <c r="G75" s="70">
        <v>128.69999999999999</v>
      </c>
      <c r="H75" s="70">
        <v>129</v>
      </c>
      <c r="I75" s="70">
        <v>127.8</v>
      </c>
      <c r="J75" s="70">
        <v>126.4</v>
      </c>
      <c r="K75" s="70">
        <v>129.69999999999999</v>
      </c>
      <c r="L75" s="70">
        <v>129.5</v>
      </c>
      <c r="M75" s="70">
        <v>127.2</v>
      </c>
      <c r="N75" s="70">
        <v>126.1</v>
      </c>
      <c r="O75" s="70">
        <v>126.6</v>
      </c>
      <c r="P75" s="70">
        <v>122.7</v>
      </c>
      <c r="Q75" s="70">
        <v>124.4</v>
      </c>
      <c r="R75" s="70">
        <v>121.8</v>
      </c>
      <c r="S75" s="70">
        <v>125.8</v>
      </c>
      <c r="T75" s="99">
        <v>125.8</v>
      </c>
      <c r="U75" s="99">
        <v>128.6</v>
      </c>
      <c r="V75" s="99">
        <v>130.80000000000001</v>
      </c>
      <c r="W75" s="99">
        <v>128.69999999999999</v>
      </c>
      <c r="X75" s="99">
        <v>127.8</v>
      </c>
      <c r="Y75" s="99">
        <v>125.8</v>
      </c>
      <c r="Z75" s="99">
        <v>127.8</v>
      </c>
      <c r="AA75" s="70">
        <v>126.4</v>
      </c>
      <c r="AB75" s="70">
        <v>126.4</v>
      </c>
      <c r="AC75" s="70">
        <v>126.2</v>
      </c>
      <c r="AD75" s="70">
        <v>128</v>
      </c>
      <c r="AE75" s="70">
        <v>127.2</v>
      </c>
      <c r="AF75" s="70">
        <v>127.2</v>
      </c>
      <c r="AG75" s="101"/>
      <c r="AH75" s="52">
        <f t="shared" si="2"/>
        <v>130.80000000000001</v>
      </c>
      <c r="AI75" s="53">
        <f t="shared" si="3"/>
        <v>121.8</v>
      </c>
    </row>
    <row r="76" spans="1:35" x14ac:dyDescent="0.25">
      <c r="A76" s="102" t="s">
        <v>83</v>
      </c>
      <c r="B76" s="100">
        <v>131.19999999999999</v>
      </c>
      <c r="C76" s="70">
        <v>130.1</v>
      </c>
      <c r="D76" s="70">
        <v>130</v>
      </c>
      <c r="E76" s="70">
        <v>132.69999999999999</v>
      </c>
      <c r="F76" s="70">
        <v>134.19999999999999</v>
      </c>
      <c r="G76" s="70">
        <v>132.6</v>
      </c>
      <c r="H76" s="70">
        <v>132.80000000000001</v>
      </c>
      <c r="I76" s="70">
        <v>131.19999999999999</v>
      </c>
      <c r="J76" s="70">
        <v>128.6</v>
      </c>
      <c r="K76" s="70">
        <v>133.5</v>
      </c>
      <c r="L76" s="70">
        <v>133</v>
      </c>
      <c r="M76" s="70">
        <v>130.30000000000001</v>
      </c>
      <c r="N76" s="70">
        <v>129.1</v>
      </c>
      <c r="O76" s="70">
        <v>129.4</v>
      </c>
      <c r="P76" s="70">
        <v>125.9</v>
      </c>
      <c r="Q76" s="70">
        <v>127.5</v>
      </c>
      <c r="R76" s="70">
        <v>124.8</v>
      </c>
      <c r="S76" s="70">
        <v>129.4</v>
      </c>
      <c r="T76" s="99">
        <v>128.5</v>
      </c>
      <c r="U76" s="99">
        <v>131.69999999999999</v>
      </c>
      <c r="V76" s="99">
        <v>133.69999999999999</v>
      </c>
      <c r="W76" s="99">
        <v>131.9</v>
      </c>
      <c r="X76" s="99">
        <v>131.4</v>
      </c>
      <c r="Y76" s="99">
        <v>129.1</v>
      </c>
      <c r="Z76" s="99">
        <v>128.9</v>
      </c>
      <c r="AA76" s="70">
        <v>129.80000000000001</v>
      </c>
      <c r="AB76" s="70">
        <v>129.80000000000001</v>
      </c>
      <c r="AC76" s="70">
        <v>129.80000000000001</v>
      </c>
      <c r="AD76" s="70">
        <v>132.19999999999999</v>
      </c>
      <c r="AE76" s="70">
        <v>132.1</v>
      </c>
      <c r="AF76" s="70">
        <v>132.1</v>
      </c>
      <c r="AG76" s="101"/>
      <c r="AH76" s="52">
        <f t="shared" si="2"/>
        <v>134.19999999999999</v>
      </c>
      <c r="AI76" s="53">
        <f t="shared" si="3"/>
        <v>124.8</v>
      </c>
    </row>
    <row r="77" spans="1:35" x14ac:dyDescent="0.25">
      <c r="A77" s="102" t="s">
        <v>84</v>
      </c>
      <c r="B77" s="104">
        <v>132.30000000000001</v>
      </c>
      <c r="C77" s="103">
        <v>132.4</v>
      </c>
      <c r="D77" s="103">
        <v>132.19999999999999</v>
      </c>
      <c r="E77" s="103">
        <v>132.6</v>
      </c>
      <c r="F77" s="103">
        <v>133.5</v>
      </c>
      <c r="G77" s="103">
        <v>133.80000000000001</v>
      </c>
      <c r="H77" s="103">
        <v>133.4</v>
      </c>
      <c r="I77" s="103">
        <v>133.4</v>
      </c>
      <c r="J77" s="103">
        <v>134.5</v>
      </c>
      <c r="K77" s="103">
        <v>134.6</v>
      </c>
      <c r="L77" s="103">
        <v>134.1</v>
      </c>
      <c r="M77" s="103">
        <v>132.5</v>
      </c>
      <c r="N77" s="103">
        <v>134.1</v>
      </c>
      <c r="O77" s="103">
        <v>133.5</v>
      </c>
      <c r="P77" s="103">
        <v>132.6</v>
      </c>
      <c r="Q77" s="103">
        <v>132.9</v>
      </c>
      <c r="R77" s="103">
        <v>132.4</v>
      </c>
      <c r="S77" s="103">
        <v>132.1</v>
      </c>
      <c r="T77" s="99">
        <v>140.30000000000001</v>
      </c>
      <c r="U77" s="99">
        <v>142.1</v>
      </c>
      <c r="V77" s="99">
        <v>141.5</v>
      </c>
      <c r="W77" s="99">
        <v>133.80000000000001</v>
      </c>
      <c r="X77" s="99">
        <v>134</v>
      </c>
      <c r="Y77" s="99">
        <v>133.80000000000001</v>
      </c>
      <c r="Z77" s="99">
        <v>133.30000000000001</v>
      </c>
      <c r="AA77" s="103">
        <v>132.9</v>
      </c>
      <c r="AB77" s="103">
        <v>132.9</v>
      </c>
      <c r="AC77" s="103">
        <v>132.19999999999999</v>
      </c>
      <c r="AD77" s="103">
        <v>131.4</v>
      </c>
      <c r="AE77" s="103">
        <v>131.80000000000001</v>
      </c>
      <c r="AF77" s="103">
        <v>131.80000000000001</v>
      </c>
      <c r="AG77" s="105"/>
      <c r="AH77" s="52">
        <f t="shared" si="2"/>
        <v>142.1</v>
      </c>
      <c r="AI77" s="53">
        <f t="shared" si="3"/>
        <v>131.4</v>
      </c>
    </row>
    <row r="78" spans="1:35" x14ac:dyDescent="0.25">
      <c r="A78" s="98" t="s">
        <v>85</v>
      </c>
      <c r="B78" s="100">
        <v>129.6</v>
      </c>
      <c r="C78" s="70">
        <v>122.8</v>
      </c>
      <c r="D78" s="70">
        <v>124.4</v>
      </c>
      <c r="E78" s="70">
        <v>125</v>
      </c>
      <c r="F78" s="70">
        <v>127.8</v>
      </c>
      <c r="G78" s="70">
        <v>128.9</v>
      </c>
      <c r="H78" s="70">
        <v>130.1</v>
      </c>
      <c r="I78" s="70">
        <v>130</v>
      </c>
      <c r="J78" s="70">
        <v>123.9</v>
      </c>
      <c r="K78" s="70">
        <v>124.3</v>
      </c>
      <c r="L78" s="70">
        <v>128.19999999999999</v>
      </c>
      <c r="M78" s="70">
        <v>125.4</v>
      </c>
      <c r="N78" s="70">
        <v>124.6</v>
      </c>
      <c r="O78" s="70">
        <v>132.80000000000001</v>
      </c>
      <c r="P78" s="70">
        <v>128</v>
      </c>
      <c r="Q78" s="70">
        <v>131.69999999999999</v>
      </c>
      <c r="R78" s="70">
        <v>131.4</v>
      </c>
      <c r="S78" s="70">
        <v>128.30000000000001</v>
      </c>
      <c r="T78" s="99">
        <v>131.80000000000001</v>
      </c>
      <c r="U78" s="99">
        <v>130.69999999999999</v>
      </c>
      <c r="V78" s="99">
        <v>130.19999999999999</v>
      </c>
      <c r="W78" s="99">
        <v>134.1</v>
      </c>
      <c r="X78" s="99">
        <v>136.69999999999999</v>
      </c>
      <c r="Y78" s="99">
        <v>137.30000000000001</v>
      </c>
      <c r="Z78" s="99">
        <v>133.9</v>
      </c>
      <c r="AA78" s="70">
        <v>131.6</v>
      </c>
      <c r="AB78" s="70">
        <v>131.6</v>
      </c>
      <c r="AC78" s="70">
        <v>122.3</v>
      </c>
      <c r="AD78" s="70">
        <v>121.5</v>
      </c>
      <c r="AE78" s="70">
        <v>129.5</v>
      </c>
      <c r="AF78" s="70">
        <v>129.5</v>
      </c>
      <c r="AG78" s="101"/>
      <c r="AH78" s="52">
        <f>MAX(B78:AF78)</f>
        <v>137.30000000000001</v>
      </c>
      <c r="AI78" s="53">
        <f>MIN(B78:AF78)</f>
        <v>121.5</v>
      </c>
    </row>
    <row r="79" spans="1:35" ht="15.75" thickBot="1" x14ac:dyDescent="0.3">
      <c r="A79" s="98" t="s">
        <v>86</v>
      </c>
      <c r="B79" s="107">
        <v>66.099999999999994</v>
      </c>
      <c r="C79" s="106">
        <v>66.3</v>
      </c>
      <c r="D79" s="106">
        <v>66.400000000000006</v>
      </c>
      <c r="E79" s="106">
        <v>66.400000000000006</v>
      </c>
      <c r="F79" s="106">
        <v>65.8</v>
      </c>
      <c r="G79" s="106">
        <v>66</v>
      </c>
      <c r="H79" s="106">
        <v>66.099999999999994</v>
      </c>
      <c r="I79" s="106">
        <v>65.599999999999994</v>
      </c>
      <c r="J79" s="106">
        <v>65.2</v>
      </c>
      <c r="K79" s="106">
        <v>65.7</v>
      </c>
      <c r="L79" s="106">
        <v>65.599999999999994</v>
      </c>
      <c r="M79" s="106">
        <v>65.099999999999994</v>
      </c>
      <c r="N79" s="106">
        <v>65.599999999999994</v>
      </c>
      <c r="O79" s="106">
        <v>65.3</v>
      </c>
      <c r="P79" s="106">
        <v>64.900000000000006</v>
      </c>
      <c r="Q79" s="106">
        <v>65.5</v>
      </c>
      <c r="R79" s="106">
        <v>65.5</v>
      </c>
      <c r="S79" s="106">
        <v>66.099999999999994</v>
      </c>
      <c r="T79" s="106">
        <v>65.8</v>
      </c>
      <c r="U79" s="106">
        <v>66.099999999999994</v>
      </c>
      <c r="V79" s="106">
        <v>66</v>
      </c>
      <c r="W79" s="106">
        <v>66.400000000000006</v>
      </c>
      <c r="X79" s="106">
        <v>65.900000000000006</v>
      </c>
      <c r="Y79" s="106">
        <v>65.900000000000006</v>
      </c>
      <c r="Z79" s="106">
        <v>66.2</v>
      </c>
      <c r="AA79" s="106">
        <v>65.3</v>
      </c>
      <c r="AB79" s="106">
        <v>65.3</v>
      </c>
      <c r="AC79" s="106">
        <v>65.8</v>
      </c>
      <c r="AD79" s="106">
        <v>65.599999999999994</v>
      </c>
      <c r="AE79" s="106">
        <v>66.099999999999994</v>
      </c>
      <c r="AF79" s="106">
        <v>66.099999999999994</v>
      </c>
      <c r="AG79" s="108"/>
      <c r="AH79" s="52">
        <f>MAX(B79:AF79)</f>
        <v>66.400000000000006</v>
      </c>
      <c r="AI79" s="53">
        <f>MIN(B79:AF79)</f>
        <v>64.900000000000006</v>
      </c>
    </row>
    <row r="80" spans="1:35" x14ac:dyDescent="0.25">
      <c r="A80" s="109" t="s">
        <v>87</v>
      </c>
      <c r="B80" s="110">
        <f>SUMIF(B48:B57,"&gt;0")</f>
        <v>221.5</v>
      </c>
      <c r="C80" s="110">
        <f t="shared" ref="C80:AF80" si="19">SUMIF(C48:C57,"&gt;0")</f>
        <v>195.8</v>
      </c>
      <c r="D80" s="110">
        <f t="shared" si="19"/>
        <v>204</v>
      </c>
      <c r="E80" s="110">
        <f t="shared" si="19"/>
        <v>201</v>
      </c>
      <c r="F80" s="110">
        <f t="shared" si="19"/>
        <v>202.8</v>
      </c>
      <c r="G80" s="110">
        <f t="shared" si="19"/>
        <v>176.4</v>
      </c>
      <c r="H80" s="110">
        <f t="shared" si="19"/>
        <v>192.2</v>
      </c>
      <c r="I80" s="110">
        <f t="shared" si="19"/>
        <v>206</v>
      </c>
      <c r="J80" s="110">
        <f t="shared" si="19"/>
        <v>228</v>
      </c>
      <c r="K80" s="110">
        <f t="shared" si="19"/>
        <v>236</v>
      </c>
      <c r="L80" s="110">
        <f t="shared" si="19"/>
        <v>239.4</v>
      </c>
      <c r="M80" s="110">
        <f t="shared" si="19"/>
        <v>261.33</v>
      </c>
      <c r="N80" s="110">
        <f t="shared" si="19"/>
        <v>248</v>
      </c>
      <c r="O80" s="110">
        <f t="shared" si="19"/>
        <v>272.46000000000004</v>
      </c>
      <c r="P80" s="110">
        <f t="shared" si="19"/>
        <v>255.8</v>
      </c>
      <c r="Q80" s="110">
        <f t="shared" si="19"/>
        <v>252.53</v>
      </c>
      <c r="R80" s="110">
        <f t="shared" si="19"/>
        <v>254</v>
      </c>
      <c r="S80" s="110">
        <f t="shared" si="19"/>
        <v>251.57999999999998</v>
      </c>
      <c r="T80" s="110">
        <f t="shared" si="19"/>
        <v>223</v>
      </c>
      <c r="U80" s="110">
        <f t="shared" si="19"/>
        <v>241.62</v>
      </c>
      <c r="V80" s="110">
        <f t="shared" si="19"/>
        <v>216.1</v>
      </c>
      <c r="W80" s="110">
        <f t="shared" si="19"/>
        <v>220.23</v>
      </c>
      <c r="X80" s="110">
        <f t="shared" si="19"/>
        <v>204.14</v>
      </c>
      <c r="Y80" s="110">
        <f t="shared" si="19"/>
        <v>258.89999999999998</v>
      </c>
      <c r="Z80" s="110">
        <f t="shared" si="19"/>
        <v>314.89999999999998</v>
      </c>
      <c r="AA80" s="110">
        <f t="shared" si="19"/>
        <v>377</v>
      </c>
      <c r="AB80" s="110">
        <f t="shared" si="19"/>
        <v>357</v>
      </c>
      <c r="AC80" s="110">
        <f t="shared" si="19"/>
        <v>360.8</v>
      </c>
      <c r="AD80" s="110">
        <f t="shared" si="19"/>
        <v>296.39999999999998</v>
      </c>
      <c r="AE80" s="110">
        <f t="shared" si="19"/>
        <v>244</v>
      </c>
      <c r="AF80" s="110">
        <f t="shared" si="19"/>
        <v>224</v>
      </c>
      <c r="AG80" s="111"/>
      <c r="AH80" s="52">
        <f>MAX(B80:AF80)</f>
        <v>377</v>
      </c>
      <c r="AI80" s="53">
        <f>MIN(B80:AF80)</f>
        <v>176.4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133.32</v>
      </c>
      <c r="C82" s="115">
        <f t="shared" ref="C82:AF82" si="20">C11+C13+C17+C34+C36+C38+C40+C94+C108+C110+C121+C127+C130+C139+C143+C144+C147+C154+C159+C162+C163+C164+C172+C177+C83+C84+C85+C86+C99</f>
        <v>130.11999999999995</v>
      </c>
      <c r="D82" s="115">
        <f t="shared" si="20"/>
        <v>133.12</v>
      </c>
      <c r="E82" s="115">
        <f t="shared" si="20"/>
        <v>121.02</v>
      </c>
      <c r="F82" s="115">
        <f t="shared" si="20"/>
        <v>150.72</v>
      </c>
      <c r="G82" s="115">
        <f t="shared" si="20"/>
        <v>167.22000000000003</v>
      </c>
      <c r="H82" s="115">
        <f t="shared" si="20"/>
        <v>187.41999999999996</v>
      </c>
      <c r="I82" s="115">
        <f t="shared" si="20"/>
        <v>199.22</v>
      </c>
      <c r="J82" s="115">
        <f t="shared" si="20"/>
        <v>201.12000000000003</v>
      </c>
      <c r="K82" s="115">
        <f t="shared" si="20"/>
        <v>214.62</v>
      </c>
      <c r="L82" s="115">
        <f>L11+L13+L17+L34+L36+L38+L40+L94+L108+L110+L121+L127+L130+L139+L143+L144+L147+L154+L159+L162+L163+L164+L172+L177+L83+L84+L85+L86+L99</f>
        <v>251.21999999999997</v>
      </c>
      <c r="M82" s="115">
        <f t="shared" si="20"/>
        <v>255.92</v>
      </c>
      <c r="N82" s="115">
        <f t="shared" si="20"/>
        <v>240.61999999999998</v>
      </c>
      <c r="O82" s="115">
        <f t="shared" si="20"/>
        <v>231.22000000000003</v>
      </c>
      <c r="P82" s="115">
        <f t="shared" si="20"/>
        <v>222.52</v>
      </c>
      <c r="Q82" s="115">
        <f t="shared" si="20"/>
        <v>218.22</v>
      </c>
      <c r="R82" s="115">
        <f t="shared" si="20"/>
        <v>208.32000000000002</v>
      </c>
      <c r="S82" s="115">
        <f t="shared" si="20"/>
        <v>285.41999999999996</v>
      </c>
      <c r="T82" s="115">
        <f t="shared" si="20"/>
        <v>289.81999999999994</v>
      </c>
      <c r="U82" s="115">
        <f t="shared" si="20"/>
        <v>270.12</v>
      </c>
      <c r="V82" s="115">
        <f t="shared" si="20"/>
        <v>311.52000000000004</v>
      </c>
      <c r="W82" s="115">
        <f t="shared" si="20"/>
        <v>358.51999999999992</v>
      </c>
      <c r="X82" s="115">
        <f t="shared" si="20"/>
        <v>226.61999999999995</v>
      </c>
      <c r="Y82" s="115">
        <f t="shared" si="20"/>
        <v>250.42</v>
      </c>
      <c r="Z82" s="115">
        <f t="shared" si="20"/>
        <v>309.21999999999997</v>
      </c>
      <c r="AA82" s="115">
        <f t="shared" si="20"/>
        <v>254.11999999999998</v>
      </c>
      <c r="AB82" s="115">
        <f t="shared" si="20"/>
        <v>237.61999999999998</v>
      </c>
      <c r="AC82" s="115">
        <f t="shared" si="20"/>
        <v>223.42</v>
      </c>
      <c r="AD82" s="115">
        <f t="shared" si="20"/>
        <v>170.81999999999996</v>
      </c>
      <c r="AE82" s="115">
        <f t="shared" si="20"/>
        <v>145.12</v>
      </c>
      <c r="AF82" s="115">
        <f t="shared" si="20"/>
        <v>132.31999999999996</v>
      </c>
      <c r="AG82" s="116"/>
      <c r="AH82" s="52">
        <f>MAX(B82:AF82)</f>
        <v>358.51999999999992</v>
      </c>
      <c r="AI82" s="53">
        <f>MIN(B82:AF82)</f>
        <v>121.02</v>
      </c>
    </row>
    <row r="83" spans="1:37" x14ac:dyDescent="0.25">
      <c r="A83" s="117" t="s">
        <v>89</v>
      </c>
      <c r="B83" s="119">
        <v>54.6</v>
      </c>
      <c r="C83" s="118">
        <v>56.3</v>
      </c>
      <c r="D83" s="118">
        <v>60</v>
      </c>
      <c r="E83" s="118">
        <v>63.9</v>
      </c>
      <c r="F83" s="118">
        <v>70.8</v>
      </c>
      <c r="G83" s="118">
        <v>69.900000000000006</v>
      </c>
      <c r="H83" s="118">
        <v>69.900000000000006</v>
      </c>
      <c r="I83" s="118">
        <v>72.099999999999994</v>
      </c>
      <c r="J83" s="118">
        <v>79.2</v>
      </c>
      <c r="K83" s="118">
        <v>64.8</v>
      </c>
      <c r="L83" s="118">
        <v>69</v>
      </c>
      <c r="M83" s="118">
        <v>74.599999999999994</v>
      </c>
      <c r="N83" s="118">
        <v>63.5</v>
      </c>
      <c r="O83" s="118">
        <v>62.1</v>
      </c>
      <c r="P83" s="118">
        <v>78.7</v>
      </c>
      <c r="Q83" s="118">
        <v>75.7</v>
      </c>
      <c r="R83" s="118">
        <v>72.099999999999994</v>
      </c>
      <c r="S83" s="118">
        <v>73</v>
      </c>
      <c r="T83" s="118">
        <v>79.3</v>
      </c>
      <c r="U83" s="118">
        <v>67.3</v>
      </c>
      <c r="V83" s="118">
        <v>77.7</v>
      </c>
      <c r="W83" s="118">
        <v>75.3</v>
      </c>
      <c r="X83" s="118">
        <v>73.3</v>
      </c>
      <c r="Y83" s="118">
        <v>73.099999999999994</v>
      </c>
      <c r="Z83" s="118">
        <v>64.599999999999994</v>
      </c>
      <c r="AA83" s="50">
        <v>63</v>
      </c>
      <c r="AB83" s="50">
        <v>57</v>
      </c>
      <c r="AC83" s="50">
        <v>57.5</v>
      </c>
      <c r="AD83" s="50">
        <v>61.4</v>
      </c>
      <c r="AE83" s="50">
        <v>57</v>
      </c>
      <c r="AF83" s="119">
        <v>56.5</v>
      </c>
      <c r="AG83" s="120">
        <v>75</v>
      </c>
      <c r="AH83" s="52">
        <f>IF(ABS(MAX(B83:AF83))&gt;ABS(MIN(B83:AF83)),MAX(B83:AF83),MIN(B83:AF83))</f>
        <v>79.3</v>
      </c>
      <c r="AI83" s="121">
        <f>INDEX($B$9:$AF$9,1,MATCH(AH83,B83:AF83,0))</f>
        <v>0.66666666666666696</v>
      </c>
    </row>
    <row r="84" spans="1:37" x14ac:dyDescent="0.25">
      <c r="A84" s="122" t="s">
        <v>90</v>
      </c>
      <c r="B84" s="123">
        <f>-24-31.3</f>
        <v>-55.3</v>
      </c>
      <c r="C84" s="83">
        <f>-25.7-32.9</f>
        <v>-58.599999999999994</v>
      </c>
      <c r="D84" s="83">
        <v>-65</v>
      </c>
      <c r="E84" s="83">
        <v>-80.2</v>
      </c>
      <c r="F84" s="83">
        <v>-61.6</v>
      </c>
      <c r="G84" s="83">
        <v>-57.6</v>
      </c>
      <c r="H84" s="83">
        <v>-56</v>
      </c>
      <c r="I84" s="83">
        <v>-52.2</v>
      </c>
      <c r="J84" s="83">
        <v>-55.7</v>
      </c>
      <c r="K84" s="83">
        <v>-53</v>
      </c>
      <c r="L84" s="83">
        <v>-29</v>
      </c>
      <c r="M84" s="83">
        <v>-29</v>
      </c>
      <c r="N84" s="83">
        <v>-28</v>
      </c>
      <c r="O84" s="83">
        <v>-20</v>
      </c>
      <c r="P84" s="83">
        <v>-41</v>
      </c>
      <c r="Q84" s="83">
        <v>-44</v>
      </c>
      <c r="R84" s="83">
        <v>-41</v>
      </c>
      <c r="S84" s="83">
        <v>37.4</v>
      </c>
      <c r="T84" s="83">
        <v>36</v>
      </c>
      <c r="U84" s="83">
        <v>27.8</v>
      </c>
      <c r="V84" s="83">
        <v>-12.9</v>
      </c>
      <c r="W84" s="83">
        <v>24.2</v>
      </c>
      <c r="X84" s="83">
        <v>-27.3</v>
      </c>
      <c r="Y84" s="83">
        <v>-10.5</v>
      </c>
      <c r="Z84" s="83">
        <v>17.100000000000001</v>
      </c>
      <c r="AA84" s="70">
        <v>-9</v>
      </c>
      <c r="AB84" s="70">
        <v>-15</v>
      </c>
      <c r="AC84" s="70">
        <v>-26</v>
      </c>
      <c r="AD84" s="70">
        <v>-44</v>
      </c>
      <c r="AE84" s="70">
        <v>-48</v>
      </c>
      <c r="AF84" s="123">
        <v>-54</v>
      </c>
      <c r="AG84" s="120">
        <v>240</v>
      </c>
      <c r="AH84" s="52">
        <f>IF(ABS(MAX(B84:AF84))&gt;ABS(MIN(B84:AF84)),MAX(B84:AF84),MIN(B84:AF84))</f>
        <v>-80.2</v>
      </c>
      <c r="AI84" s="121">
        <f>INDEX($B$9:$AF$9,1,MATCH(AH84,B84:AF84,0))</f>
        <v>0.16666666666666699</v>
      </c>
    </row>
    <row r="85" spans="1:37" x14ac:dyDescent="0.25">
      <c r="A85" s="122" t="s">
        <v>91</v>
      </c>
      <c r="B85" s="123">
        <v>7.3</v>
      </c>
      <c r="C85" s="83">
        <v>5.7</v>
      </c>
      <c r="D85" s="83">
        <v>5.3</v>
      </c>
      <c r="E85" s="83">
        <v>1</v>
      </c>
      <c r="F85" s="83">
        <v>-2.8</v>
      </c>
      <c r="G85" s="83">
        <v>2.5</v>
      </c>
      <c r="H85" s="83">
        <v>7.1</v>
      </c>
      <c r="I85" s="83">
        <v>9.6999999999999993</v>
      </c>
      <c r="J85" s="83">
        <v>8.4</v>
      </c>
      <c r="K85" s="83">
        <v>25.8</v>
      </c>
      <c r="L85" s="83">
        <v>25</v>
      </c>
      <c r="M85" s="83">
        <v>26.1</v>
      </c>
      <c r="N85" s="83">
        <v>31.8</v>
      </c>
      <c r="O85" s="83">
        <v>23.1</v>
      </c>
      <c r="P85" s="83">
        <v>20.5</v>
      </c>
      <c r="Q85" s="83">
        <v>19.100000000000001</v>
      </c>
      <c r="R85" s="83">
        <v>19.3</v>
      </c>
      <c r="S85" s="83">
        <v>20.7</v>
      </c>
      <c r="T85" s="83">
        <v>15.6</v>
      </c>
      <c r="U85" s="83">
        <v>14.3</v>
      </c>
      <c r="V85" s="83">
        <v>6.8</v>
      </c>
      <c r="W85" s="83">
        <v>6.4</v>
      </c>
      <c r="X85" s="83">
        <v>10.7</v>
      </c>
      <c r="Y85" s="83">
        <v>12.6</v>
      </c>
      <c r="Z85" s="83">
        <v>34.700000000000003</v>
      </c>
      <c r="AA85" s="70">
        <v>17</v>
      </c>
      <c r="AB85" s="70">
        <v>21.7</v>
      </c>
      <c r="AC85" s="70">
        <v>22.5</v>
      </c>
      <c r="AD85" s="70">
        <v>12</v>
      </c>
      <c r="AE85" s="70">
        <v>6.2</v>
      </c>
      <c r="AF85" s="123">
        <v>6.5</v>
      </c>
      <c r="AG85" s="120">
        <v>60</v>
      </c>
      <c r="AH85" s="52">
        <f>IF(ABS(MAX(B85:AF85))&gt;ABS(MIN(B85:AF85)),MAX(B85:AF85),MIN(B85:AF85))</f>
        <v>34.700000000000003</v>
      </c>
      <c r="AI85" s="121">
        <f>INDEX($B$9:$AF$9,1,MATCH(AH85,B85:AF85,0))</f>
        <v>0.8125</v>
      </c>
    </row>
    <row r="86" spans="1:37" x14ac:dyDescent="0.25">
      <c r="A86" s="124" t="s">
        <v>92</v>
      </c>
      <c r="B86" s="126">
        <v>-75.5</v>
      </c>
      <c r="C86" s="85">
        <v>-76.7</v>
      </c>
      <c r="D86" s="85">
        <v>-70.599999999999994</v>
      </c>
      <c r="E86" s="85">
        <v>-66.3</v>
      </c>
      <c r="F86" s="85">
        <v>-57</v>
      </c>
      <c r="G86" s="85">
        <v>-48.4</v>
      </c>
      <c r="H86" s="85">
        <v>-37.6</v>
      </c>
      <c r="I86" s="85">
        <v>-31.8</v>
      </c>
      <c r="J86" s="85">
        <v>-31.6</v>
      </c>
      <c r="K86" s="85">
        <v>-24.1</v>
      </c>
      <c r="L86" s="85">
        <v>-19.600000000000001</v>
      </c>
      <c r="M86" s="85">
        <v>-25.3</v>
      </c>
      <c r="N86" s="85">
        <v>-36</v>
      </c>
      <c r="O86" s="85">
        <v>-42.4</v>
      </c>
      <c r="P86" s="85">
        <v>-41.5</v>
      </c>
      <c r="Q86" s="85">
        <v>-37.799999999999997</v>
      </c>
      <c r="R86" s="85">
        <v>-47.5</v>
      </c>
      <c r="S86" s="85">
        <v>-51.3</v>
      </c>
      <c r="T86" s="85">
        <v>-54</v>
      </c>
      <c r="U86" s="85">
        <v>-40</v>
      </c>
      <c r="V86" s="85">
        <v>27.1</v>
      </c>
      <c r="W86" s="85">
        <v>30.7</v>
      </c>
      <c r="X86" s="85">
        <v>-51.9</v>
      </c>
      <c r="Y86" s="85">
        <v>-46.8</v>
      </c>
      <c r="Z86" s="85">
        <v>-30.1</v>
      </c>
      <c r="AA86" s="125">
        <v>-40</v>
      </c>
      <c r="AB86" s="125">
        <v>-49.5</v>
      </c>
      <c r="AC86" s="125">
        <v>-54</v>
      </c>
      <c r="AD86" s="125">
        <v>-79</v>
      </c>
      <c r="AE86" s="125">
        <v>-89.6</v>
      </c>
      <c r="AF86" s="126">
        <v>-95.8</v>
      </c>
      <c r="AG86" s="127">
        <v>120</v>
      </c>
      <c r="AH86" s="52">
        <f>IF(ABS(MAX(B86:AF86))&gt;ABS(MIN(B86:AF86)),MAX(B86:AF86),MIN(B86:AF86))</f>
        <v>-95.8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126">
        <v>31</v>
      </c>
      <c r="C87" s="85">
        <v>23.3</v>
      </c>
      <c r="D87" s="85">
        <v>13</v>
      </c>
      <c r="E87" s="85">
        <v>-18</v>
      </c>
      <c r="F87" s="85">
        <v>-23.9</v>
      </c>
      <c r="G87" s="85">
        <v>-20</v>
      </c>
      <c r="H87" s="85">
        <v>-9.5</v>
      </c>
      <c r="I87" s="85">
        <v>27</v>
      </c>
      <c r="J87" s="85">
        <v>18.600000000000001</v>
      </c>
      <c r="K87" s="85">
        <v>20.5</v>
      </c>
      <c r="L87" s="85">
        <v>12.4</v>
      </c>
      <c r="M87" s="85">
        <v>25.4</v>
      </c>
      <c r="N87" s="85">
        <v>24.9</v>
      </c>
      <c r="O87" s="85">
        <v>42.8</v>
      </c>
      <c r="P87" s="85">
        <v>21.1</v>
      </c>
      <c r="Q87" s="85">
        <v>21</v>
      </c>
      <c r="R87" s="85">
        <v>21.9</v>
      </c>
      <c r="S87" s="85">
        <v>21.2</v>
      </c>
      <c r="T87" s="85">
        <v>18.5</v>
      </c>
      <c r="U87" s="85">
        <v>31.3</v>
      </c>
      <c r="V87" s="85">
        <v>28.9</v>
      </c>
      <c r="W87" s="85">
        <v>33.200000000000003</v>
      </c>
      <c r="X87" s="85">
        <v>31</v>
      </c>
      <c r="Y87" s="85">
        <v>33.200000000000003</v>
      </c>
      <c r="Z87" s="85">
        <v>33</v>
      </c>
      <c r="AA87" s="125">
        <v>57</v>
      </c>
      <c r="AB87" s="125">
        <v>52</v>
      </c>
      <c r="AC87" s="125">
        <v>42</v>
      </c>
      <c r="AD87" s="125">
        <v>40</v>
      </c>
      <c r="AE87" s="125">
        <v>41</v>
      </c>
      <c r="AF87" s="126">
        <v>35</v>
      </c>
      <c r="AG87" s="127"/>
      <c r="AH87" s="52">
        <f>IF(ABS(MAX(B87:AF87))&gt;ABS(MIN(B87:AF87)),MAX(B87:AF87),MIN(B87:AF87))</f>
        <v>57</v>
      </c>
      <c r="AI87" s="121">
        <f>INDEX($B$9:$AF$9,1,MATCH(AH87,B87:AF87,0))</f>
        <v>0.83333333333333337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1174.8400000000001</v>
      </c>
      <c r="C188" s="164">
        <f>INDEX(F9:M9,1,MATCH(MAX(F65:M65),F65:M65,0))</f>
        <v>0.3125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27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27)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27)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1144.3400000000001</v>
      </c>
      <c r="U193" s="173">
        <f t="shared" si="37"/>
        <v>1120.1399999999999</v>
      </c>
      <c r="V193" s="173">
        <f t="shared" si="37"/>
        <v>1123.94</v>
      </c>
      <c r="W193" s="173">
        <f t="shared" si="37"/>
        <v>1106.24</v>
      </c>
      <c r="X193" s="173">
        <f t="shared" si="37"/>
        <v>1087.8399999999999</v>
      </c>
      <c r="Y193" s="173">
        <f t="shared" si="37"/>
        <v>1053.5390000000002</v>
      </c>
      <c r="Z193" s="173">
        <f t="shared" si="37"/>
        <v>1073.74</v>
      </c>
      <c r="AA193" s="173">
        <f t="shared" si="37"/>
        <v>1114.24</v>
      </c>
      <c r="AB193" s="173">
        <f t="shared" si="37"/>
        <v>1135.54</v>
      </c>
      <c r="AC193" s="173">
        <f t="shared" si="37"/>
        <v>1174.8400000000001</v>
      </c>
      <c r="AD193" s="173">
        <f t="shared" si="37"/>
        <v>1159.5400000000002</v>
      </c>
      <c r="AE193" s="173">
        <f t="shared" si="37"/>
        <v>1163.3699999999999</v>
      </c>
      <c r="AF193" s="173">
        <f t="shared" si="37"/>
        <v>1150.24</v>
      </c>
      <c r="AG193" s="173">
        <f t="shared" si="37"/>
        <v>1145.3000000000002</v>
      </c>
      <c r="AH193" s="173">
        <f t="shared" si="37"/>
        <v>1136.8400000000001</v>
      </c>
      <c r="AI193" s="173">
        <f t="shared" si="37"/>
        <v>1137.17</v>
      </c>
      <c r="AJ193" s="173">
        <f t="shared" si="37"/>
        <v>1135.44</v>
      </c>
      <c r="AK193" s="173">
        <f t="shared" si="37"/>
        <v>1129.1199999999999</v>
      </c>
      <c r="AL193" s="173">
        <f t="shared" si="37"/>
        <v>1106.2400000000002</v>
      </c>
      <c r="AM193" s="173">
        <f t="shared" si="37"/>
        <v>1084.76</v>
      </c>
      <c r="AN193" s="173">
        <f t="shared" si="37"/>
        <v>1087.94</v>
      </c>
      <c r="AO193" s="173">
        <f t="shared" si="37"/>
        <v>1060.5700000000002</v>
      </c>
      <c r="AP193" s="173">
        <f t="shared" si="37"/>
        <v>1044.3800000000001</v>
      </c>
      <c r="AQ193" s="173">
        <f t="shared" si="37"/>
        <v>1095.04</v>
      </c>
      <c r="AR193" s="173">
        <f t="shared" si="37"/>
        <v>1242.74</v>
      </c>
      <c r="AS193" s="173">
        <f t="shared" si="37"/>
        <v>1274.8400000000001</v>
      </c>
      <c r="AT193" s="173">
        <f t="shared" si="37"/>
        <v>1282.6400000000001</v>
      </c>
      <c r="AU193" s="173">
        <f t="shared" si="37"/>
        <v>1287.44</v>
      </c>
      <c r="AV193" s="173">
        <f t="shared" si="37"/>
        <v>1220.3399999999999</v>
      </c>
      <c r="AW193" s="173">
        <f t="shared" si="37"/>
        <v>1144.1400000000001</v>
      </c>
      <c r="AX193" s="173">
        <f t="shared" si="37"/>
        <v>1162.94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174" priority="159">
      <formula>S$9&gt;=20/24</formula>
    </cfRule>
    <cfRule type="expression" dxfId="1173" priority="160">
      <formula>AND(S$9&gt;=14/24,S$9&lt;20/24)</formula>
    </cfRule>
    <cfRule type="expression" dxfId="1172" priority="161">
      <formula>AND(S$9&gt;=8/24,S$9&lt;14/24)</formula>
    </cfRule>
    <cfRule type="expression" dxfId="1171" priority="162">
      <formula>S$9&lt;8/24</formula>
    </cfRule>
  </conditionalFormatting>
  <conditionalFormatting sqref="B8:AF10 AA70:AF70 C70:Q70 L32:Z33 L31:Q31 C47:AF47 C71:AF71 C72:Q72 C173:AF179 M36 N35:Q36 L29:Q29 M37:Q39 L34:Q34 L50:T50 V35:W35 S34:W34 C73:Z79 AA48:AF50 R11:T11 C59:AF69 C48:K52 L39 L51:Q58 L49:Z49 X34:Z35 U11:AA12 AA32:AC35 L44:AF46 AD34:AF35 AA72:AF79">
    <cfRule type="expression" dxfId="1170" priority="155">
      <formula>B$9&gt;=20/24</formula>
    </cfRule>
    <cfRule type="expression" dxfId="1169" priority="156">
      <formula>AND(B$9&gt;=14/24,B$9&lt;20/24)</formula>
    </cfRule>
    <cfRule type="expression" dxfId="1168" priority="157">
      <formula>AND(B$9&gt;=8/24,B$9&lt;14/24)</formula>
    </cfRule>
    <cfRule type="expression" dxfId="1167" priority="158">
      <formula>B$9&lt;8/24</formula>
    </cfRule>
  </conditionalFormatting>
  <conditionalFormatting sqref="B171:AF171">
    <cfRule type="expression" dxfId="1166" priority="151">
      <formula>B$9&gt;=20/24</formula>
    </cfRule>
    <cfRule type="expression" dxfId="1165" priority="152">
      <formula>AND(B$9&gt;=14/24,B$9&lt;20/24)</formula>
    </cfRule>
    <cfRule type="expression" dxfId="1164" priority="153">
      <formula>AND(B$9&gt;=8/24,B$9&lt;14/24)</formula>
    </cfRule>
    <cfRule type="expression" dxfId="1163" priority="154">
      <formula>B$9&lt;8/24</formula>
    </cfRule>
  </conditionalFormatting>
  <conditionalFormatting sqref="AL4:AL6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162" priority="146">
      <formula>L$9&gt;=20/24</formula>
    </cfRule>
    <cfRule type="expression" dxfId="1161" priority="147">
      <formula>AND(L$9&gt;=14/24,L$9&lt;20/24)</formula>
    </cfRule>
    <cfRule type="expression" dxfId="1160" priority="148">
      <formula>AND(L$9&gt;=8/24,L$9&lt;14/24)</formula>
    </cfRule>
    <cfRule type="expression" dxfId="1159" priority="149">
      <formula>L$9&lt;8/24</formula>
    </cfRule>
  </conditionalFormatting>
  <conditionalFormatting sqref="L35:M35">
    <cfRule type="expression" dxfId="1158" priority="142">
      <formula>L$9&gt;=20/24</formula>
    </cfRule>
    <cfRule type="expression" dxfId="1157" priority="143">
      <formula>AND(L$9&gt;=14/24,L$9&lt;20/24)</formula>
    </cfRule>
    <cfRule type="expression" dxfId="1156" priority="144">
      <formula>AND(L$9&gt;=8/24,L$9&lt;14/24)</formula>
    </cfRule>
    <cfRule type="expression" dxfId="1155" priority="145">
      <formula>L$9&lt;8/24</formula>
    </cfRule>
  </conditionalFormatting>
  <conditionalFormatting sqref="U13:AA13">
    <cfRule type="expression" dxfId="1154" priority="138">
      <formula>U$9&gt;=20/24</formula>
    </cfRule>
    <cfRule type="expression" dxfId="1153" priority="139">
      <formula>AND(U$9&gt;=14/24,U$9&lt;20/24)</formula>
    </cfRule>
    <cfRule type="expression" dxfId="1152" priority="140">
      <formula>AND(U$9&gt;=8/24,U$9&lt;14/24)</formula>
    </cfRule>
    <cfRule type="expression" dxfId="1151" priority="141">
      <formula>U$9&lt;8/24</formula>
    </cfRule>
  </conditionalFormatting>
  <conditionalFormatting sqref="R31:AA31">
    <cfRule type="expression" dxfId="1150" priority="134">
      <formula>R$9&gt;=20/24</formula>
    </cfRule>
    <cfRule type="expression" dxfId="1149" priority="135">
      <formula>AND(R$9&gt;=14/24,R$9&lt;20/24)</formula>
    </cfRule>
    <cfRule type="expression" dxfId="1148" priority="136">
      <formula>AND(R$9&gt;=8/24,R$9&lt;14/24)</formula>
    </cfRule>
    <cfRule type="expression" dxfId="1147" priority="137">
      <formula>R$9&lt;8/24</formula>
    </cfRule>
  </conditionalFormatting>
  <conditionalFormatting sqref="R48:Z48">
    <cfRule type="expression" dxfId="1146" priority="130">
      <formula>R$9&gt;=20/24</formula>
    </cfRule>
    <cfRule type="expression" dxfId="1145" priority="131">
      <formula>AND(R$9&gt;=14/24,R$9&lt;20/24)</formula>
    </cfRule>
    <cfRule type="expression" dxfId="1144" priority="132">
      <formula>AND(R$9&gt;=8/24,R$9&lt;14/24)</formula>
    </cfRule>
    <cfRule type="expression" dxfId="1143" priority="133">
      <formula>R$9&lt;8/24</formula>
    </cfRule>
  </conditionalFormatting>
  <conditionalFormatting sqref="R70:Z70">
    <cfRule type="expression" dxfId="1142" priority="126">
      <formula>R$9&gt;=20/24</formula>
    </cfRule>
    <cfRule type="expression" dxfId="1141" priority="127">
      <formula>AND(R$9&gt;=14/24,R$9&lt;20/24)</formula>
    </cfRule>
    <cfRule type="expression" dxfId="1140" priority="128">
      <formula>AND(R$9&gt;=8/24,R$9&lt;14/24)</formula>
    </cfRule>
    <cfRule type="expression" dxfId="1139" priority="129">
      <formula>R$9&lt;8/24</formula>
    </cfRule>
  </conditionalFormatting>
  <conditionalFormatting sqref="R72:Z72">
    <cfRule type="expression" dxfId="1138" priority="122">
      <formula>R$9&gt;=20/24</formula>
    </cfRule>
    <cfRule type="expression" dxfId="1137" priority="123">
      <formula>AND(R$9&gt;=14/24,R$9&lt;20/24)</formula>
    </cfRule>
    <cfRule type="expression" dxfId="1136" priority="124">
      <formula>AND(R$9&gt;=8/24,R$9&lt;14/24)</formula>
    </cfRule>
    <cfRule type="expression" dxfId="1135" priority="125">
      <formula>R$9&lt;8/24</formula>
    </cfRule>
  </conditionalFormatting>
  <conditionalFormatting sqref="L11:Q13 L15:Q19 R22:AF23 R25:AF26">
    <cfRule type="expression" dxfId="1134" priority="118">
      <formula>L$9&gt;=20/24</formula>
    </cfRule>
    <cfRule type="expression" dxfId="1133" priority="119">
      <formula>AND(L$9&gt;=14/24,L$9&lt;20/24)</formula>
    </cfRule>
    <cfRule type="expression" dxfId="1132" priority="120">
      <formula>AND(L$9&gt;=8/24,L$9&lt;14/24)</formula>
    </cfRule>
    <cfRule type="expression" dxfId="1131" priority="121">
      <formula>L$9&lt;8/24</formula>
    </cfRule>
  </conditionalFormatting>
  <conditionalFormatting sqref="L40:Q40">
    <cfRule type="expression" dxfId="1130" priority="114">
      <formula>L$9&gt;=20/24</formula>
    </cfRule>
    <cfRule type="expression" dxfId="1129" priority="115">
      <formula>AND(L$9&gt;=14/24,L$9&lt;20/24)</formula>
    </cfRule>
    <cfRule type="expression" dxfId="1128" priority="116">
      <formula>AND(L$9&gt;=8/24,L$9&lt;14/24)</formula>
    </cfRule>
    <cfRule type="expression" dxfId="1127" priority="117">
      <formula>L$9&lt;8/24</formula>
    </cfRule>
  </conditionalFormatting>
  <conditionalFormatting sqref="L41:Q41">
    <cfRule type="expression" dxfId="1126" priority="110">
      <formula>L$9&gt;=20/24</formula>
    </cfRule>
    <cfRule type="expression" dxfId="1125" priority="111">
      <formula>AND(L$9&gt;=14/24,L$9&lt;20/24)</formula>
    </cfRule>
    <cfRule type="expression" dxfId="1124" priority="112">
      <formula>AND(L$9&gt;=8/24,L$9&lt;14/24)</formula>
    </cfRule>
    <cfRule type="expression" dxfId="1123" priority="113">
      <formula>L$9&lt;8/24</formula>
    </cfRule>
  </conditionalFormatting>
  <conditionalFormatting sqref="L36:L38">
    <cfRule type="expression" dxfId="1122" priority="106">
      <formula>L$9&gt;=20/24</formula>
    </cfRule>
    <cfRule type="expression" dxfId="1121" priority="107">
      <formula>AND(L$9&gt;=14/24,L$9&lt;20/24)</formula>
    </cfRule>
    <cfRule type="expression" dxfId="1120" priority="108">
      <formula>AND(L$9&gt;=8/24,L$9&lt;14/24)</formula>
    </cfRule>
    <cfRule type="expression" dxfId="1119" priority="109">
      <formula>L$9&lt;8/24</formula>
    </cfRule>
  </conditionalFormatting>
  <conditionalFormatting sqref="R29:AD29">
    <cfRule type="expression" dxfId="1118" priority="102">
      <formula>R$9&gt;=20/24</formula>
    </cfRule>
    <cfRule type="expression" dxfId="1117" priority="103">
      <formula>AND(R$9&gt;=14/24,R$9&lt;20/24)</formula>
    </cfRule>
    <cfRule type="expression" dxfId="1116" priority="104">
      <formula>AND(R$9&gt;=8/24,R$9&lt;14/24)</formula>
    </cfRule>
    <cfRule type="expression" dxfId="1115" priority="105">
      <formula>R$9&lt;8/24</formula>
    </cfRule>
  </conditionalFormatting>
  <conditionalFormatting sqref="R12:T23 T14:Z14 T18:Z18 S21:Z23 U14:AA23 T20:AB20 AB14:AF14 AB16:AF23 R25:AF27">
    <cfRule type="expression" dxfId="1114" priority="98">
      <formula>R$9&gt;=20/24</formula>
    </cfRule>
    <cfRule type="expression" dxfId="1113" priority="99">
      <formula>AND(R$9&gt;=14/24,R$9&lt;20/24)</formula>
    </cfRule>
    <cfRule type="expression" dxfId="1112" priority="100">
      <formula>AND(R$9&gt;=8/24,R$9&lt;14/24)</formula>
    </cfRule>
    <cfRule type="expression" dxfId="1111" priority="101">
      <formula>R$9&lt;8/24</formula>
    </cfRule>
  </conditionalFormatting>
  <conditionalFormatting sqref="R34:R39 S35:U39 S39:Z39 T37:Z38 V36:AF39">
    <cfRule type="expression" dxfId="1110" priority="94">
      <formula>R$9&gt;=20/24</formula>
    </cfRule>
    <cfRule type="expression" dxfId="1109" priority="95">
      <formula>AND(R$9&gt;=14/24,R$9&lt;20/24)</formula>
    </cfRule>
    <cfRule type="expression" dxfId="1108" priority="96">
      <formula>AND(R$9&gt;=8/24,R$9&lt;14/24)</formula>
    </cfRule>
    <cfRule type="expression" dxfId="1107" priority="97">
      <formula>R$9&lt;8/24</formula>
    </cfRule>
  </conditionalFormatting>
  <conditionalFormatting sqref="R40:AF40">
    <cfRule type="expression" dxfId="1106" priority="90">
      <formula>R$9&gt;=20/24</formula>
    </cfRule>
    <cfRule type="expression" dxfId="1105" priority="91">
      <formula>AND(R$9&gt;=14/24,R$9&lt;20/24)</formula>
    </cfRule>
    <cfRule type="expression" dxfId="1104" priority="92">
      <formula>AND(R$9&gt;=8/24,R$9&lt;14/24)</formula>
    </cfRule>
    <cfRule type="expression" dxfId="1103" priority="93">
      <formula>R$9&lt;8/24</formula>
    </cfRule>
  </conditionalFormatting>
  <conditionalFormatting sqref="R41:AF41">
    <cfRule type="expression" dxfId="1102" priority="86">
      <formula>R$9&gt;=20/24</formula>
    </cfRule>
    <cfRule type="expression" dxfId="1101" priority="87">
      <formula>AND(R$9&gt;=14/24,R$9&lt;20/24)</formula>
    </cfRule>
    <cfRule type="expression" dxfId="1100" priority="88">
      <formula>AND(R$9&gt;=8/24,R$9&lt;14/24)</formula>
    </cfRule>
    <cfRule type="expression" dxfId="1099" priority="89">
      <formula>R$9&lt;8/24</formula>
    </cfRule>
  </conditionalFormatting>
  <conditionalFormatting sqref="R51:AF58">
    <cfRule type="expression" dxfId="1098" priority="82">
      <formula>R$9&gt;=20/24</formula>
    </cfRule>
    <cfRule type="expression" dxfId="1097" priority="83">
      <formula>AND(R$9&gt;=14/24,R$9&lt;20/24)</formula>
    </cfRule>
    <cfRule type="expression" dxfId="1096" priority="84">
      <formula>AND(R$9&gt;=8/24,R$9&lt;14/24)</formula>
    </cfRule>
    <cfRule type="expression" dxfId="1095" priority="85">
      <formula>R$9&lt;8/24</formula>
    </cfRule>
  </conditionalFormatting>
  <conditionalFormatting sqref="AA83:AF86">
    <cfRule type="expression" dxfId="1094" priority="78">
      <formula>AA$9&gt;=20/24</formula>
    </cfRule>
    <cfRule type="expression" dxfId="1093" priority="79">
      <formula>AND(AA$9&gt;=14/24,AA$9&lt;20/24)</formula>
    </cfRule>
    <cfRule type="expression" dxfId="1092" priority="80">
      <formula>AND(AA$9&gt;=8/24,AA$9&lt;14/24)</formula>
    </cfRule>
    <cfRule type="expression" dxfId="1091" priority="81">
      <formula>AA$9&lt;8/24</formula>
    </cfRule>
  </conditionalFormatting>
  <conditionalFormatting sqref="C53:K58">
    <cfRule type="expression" dxfId="1090" priority="74">
      <formula>C$9&gt;=20/24</formula>
    </cfRule>
    <cfRule type="expression" dxfId="1089" priority="75">
      <formula>AND(C$9&gt;=14/24,C$9&lt;20/24)</formula>
    </cfRule>
    <cfRule type="expression" dxfId="1088" priority="76">
      <formula>AND(C$9&gt;=8/24,C$9&lt;14/24)</formula>
    </cfRule>
    <cfRule type="expression" dxfId="1087" priority="77">
      <formula>C$9&lt;8/24</formula>
    </cfRule>
  </conditionalFormatting>
  <conditionalFormatting sqref="C83:K86">
    <cfRule type="expression" dxfId="1086" priority="70">
      <formula>C$9&gt;=20/24</formula>
    </cfRule>
    <cfRule type="expression" dxfId="1085" priority="71">
      <formula>AND(C$9&gt;=14/24,C$9&lt;20/24)</formula>
    </cfRule>
    <cfRule type="expression" dxfId="1084" priority="72">
      <formula>AND(C$9&gt;=8/24,C$9&lt;14/24)</formula>
    </cfRule>
    <cfRule type="expression" dxfId="1083" priority="73">
      <formula>C$9&lt;8/24</formula>
    </cfRule>
  </conditionalFormatting>
  <conditionalFormatting sqref="L83:Q86">
    <cfRule type="expression" dxfId="1082" priority="66">
      <formula>L$9&gt;=20/24</formula>
    </cfRule>
    <cfRule type="expression" dxfId="1081" priority="67">
      <formula>AND(L$9&gt;=14/24,L$9&lt;20/24)</formula>
    </cfRule>
    <cfRule type="expression" dxfId="1080" priority="68">
      <formula>AND(L$9&gt;=8/24,L$9&lt;14/24)</formula>
    </cfRule>
    <cfRule type="expression" dxfId="1079" priority="69">
      <formula>L$9&lt;8/24</formula>
    </cfRule>
  </conditionalFormatting>
  <conditionalFormatting sqref="R83:Z86">
    <cfRule type="expression" dxfId="1078" priority="62">
      <formula>R$9&gt;=20/24</formula>
    </cfRule>
    <cfRule type="expression" dxfId="1077" priority="63">
      <formula>AND(R$9&gt;=14/24,R$9&lt;20/24)</formula>
    </cfRule>
    <cfRule type="expression" dxfId="1076" priority="64">
      <formula>AND(R$9&gt;=8/24,R$9&lt;14/24)</formula>
    </cfRule>
    <cfRule type="expression" dxfId="1075" priority="65">
      <formula>R$9&lt;8/24</formula>
    </cfRule>
  </conditionalFormatting>
  <conditionalFormatting sqref="AG42 F11:Z13 F19:Z19 R14:Z14 B18:Z18 R20:Z23 L39:Z39 F15:Z17 C30:AF30 C28:Z29 C40:Z41 C31:Z38 C42:AF47 AA11:AF23 AA31:AF41 AA25:AF29 R25:Z27">
    <cfRule type="expression" dxfId="1074" priority="61">
      <formula>B11&gt;$AG11</formula>
    </cfRule>
  </conditionalFormatting>
  <conditionalFormatting sqref="T192:AX192">
    <cfRule type="expression" dxfId="1073" priority="57">
      <formula>T$9&gt;=20/24</formula>
    </cfRule>
    <cfRule type="expression" dxfId="1072" priority="58">
      <formula>AND(T$9&gt;=14/24,T$9&lt;20/24)</formula>
    </cfRule>
    <cfRule type="expression" dxfId="1071" priority="59">
      <formula>AND(T$9&gt;=8/24,T$9&lt;14/24)</formula>
    </cfRule>
    <cfRule type="expression" dxfId="1070" priority="60">
      <formula>T$9&lt;8/24</formula>
    </cfRule>
  </conditionalFormatting>
  <conditionalFormatting sqref="A11:A86 A88:A180">
    <cfRule type="expression" dxfId="1069" priority="56">
      <formula>$AH11=0</formula>
    </cfRule>
  </conditionalFormatting>
  <conditionalFormatting sqref="AA87:AF87">
    <cfRule type="expression" dxfId="1068" priority="52">
      <formula>AA$9&gt;=20/24</formula>
    </cfRule>
    <cfRule type="expression" dxfId="1067" priority="53">
      <formula>AND(AA$9&gt;=14/24,AA$9&lt;20/24)</formula>
    </cfRule>
    <cfRule type="expression" dxfId="1066" priority="54">
      <formula>AND(AA$9&gt;=8/24,AA$9&lt;14/24)</formula>
    </cfRule>
    <cfRule type="expression" dxfId="1065" priority="55">
      <formula>AA$9&lt;8/24</formula>
    </cfRule>
  </conditionalFormatting>
  <conditionalFormatting sqref="C87:K87">
    <cfRule type="expression" dxfId="1064" priority="48">
      <formula>C$9&gt;=20/24</formula>
    </cfRule>
    <cfRule type="expression" dxfId="1063" priority="49">
      <formula>AND(C$9&gt;=14/24,C$9&lt;20/24)</formula>
    </cfRule>
    <cfRule type="expression" dxfId="1062" priority="50">
      <formula>AND(C$9&gt;=8/24,C$9&lt;14/24)</formula>
    </cfRule>
    <cfRule type="expression" dxfId="1061" priority="51">
      <formula>C$9&lt;8/24</formula>
    </cfRule>
  </conditionalFormatting>
  <conditionalFormatting sqref="L87:Q87">
    <cfRule type="expression" dxfId="1060" priority="44">
      <formula>L$9&gt;=20/24</formula>
    </cfRule>
    <cfRule type="expression" dxfId="1059" priority="45">
      <formula>AND(L$9&gt;=14/24,L$9&lt;20/24)</formula>
    </cfRule>
    <cfRule type="expression" dxfId="1058" priority="46">
      <formula>AND(L$9&gt;=8/24,L$9&lt;14/24)</formula>
    </cfRule>
    <cfRule type="expression" dxfId="1057" priority="47">
      <formula>L$9&lt;8/24</formula>
    </cfRule>
  </conditionalFormatting>
  <conditionalFormatting sqref="R87:Z87">
    <cfRule type="expression" dxfId="1056" priority="40">
      <formula>R$9&gt;=20/24</formula>
    </cfRule>
    <cfRule type="expression" dxfId="1055" priority="41">
      <formula>AND(R$9&gt;=14/24,R$9&lt;20/24)</formula>
    </cfRule>
    <cfRule type="expression" dxfId="1054" priority="42">
      <formula>AND(R$9&gt;=8/24,R$9&lt;14/24)</formula>
    </cfRule>
    <cfRule type="expression" dxfId="1053" priority="43">
      <formula>R$9&lt;8/24</formula>
    </cfRule>
  </conditionalFormatting>
  <conditionalFormatting sqref="A87">
    <cfRule type="expression" dxfId="1052" priority="39">
      <formula>$AH87=0</formula>
    </cfRule>
  </conditionalFormatting>
  <conditionalFormatting sqref="C28:AF28">
    <cfRule type="expression" dxfId="1051" priority="35">
      <formula>C$9&gt;=20/24</formula>
    </cfRule>
    <cfRule type="expression" dxfId="1050" priority="36">
      <formula>AND(C$9&gt;=14/24,C$9&lt;20/24)</formula>
    </cfRule>
    <cfRule type="expression" dxfId="1049" priority="37">
      <formula>AND(C$9&gt;=8/24,C$9&lt;14/24)</formula>
    </cfRule>
    <cfRule type="expression" dxfId="1048" priority="38">
      <formula>C$9&lt;8/24</formula>
    </cfRule>
  </conditionalFormatting>
  <conditionalFormatting sqref="R28:AA28">
    <cfRule type="expression" dxfId="1047" priority="31">
      <formula>R$9&gt;=20/24</formula>
    </cfRule>
    <cfRule type="expression" dxfId="1046" priority="32">
      <formula>AND(R$9&gt;=14/24,R$9&lt;20/24)</formula>
    </cfRule>
    <cfRule type="expression" dxfId="1045" priority="33">
      <formula>AND(R$9&gt;=8/24,R$9&lt;14/24)</formula>
    </cfRule>
    <cfRule type="expression" dxfId="1044" priority="34">
      <formula>R$9&lt;8/24</formula>
    </cfRule>
  </conditionalFormatting>
  <conditionalFormatting sqref="B59:B79 B44:B51">
    <cfRule type="expression" dxfId="1043" priority="27">
      <formula>B$9&gt;=20/24</formula>
    </cfRule>
    <cfRule type="expression" dxfId="1042" priority="28">
      <formula>AND(B$9&gt;=14/24,B$9&lt;20/24)</formula>
    </cfRule>
    <cfRule type="expression" dxfId="1041" priority="29">
      <formula>AND(B$9&gt;=8/24,B$9&lt;14/24)</formula>
    </cfRule>
    <cfRule type="expression" dxfId="1040" priority="30">
      <formula>B$9&lt;8/24</formula>
    </cfRule>
  </conditionalFormatting>
  <conditionalFormatting sqref="B16:E17 B19:E19 B20:Q23 B25:Q27 B24:AF24">
    <cfRule type="expression" dxfId="1039" priority="23">
      <formula>B$9&gt;=20/24</formula>
    </cfRule>
    <cfRule type="expression" dxfId="1038" priority="24">
      <formula>AND(B$9&gt;=14/24,B$9&lt;20/24)</formula>
    </cfRule>
    <cfRule type="expression" dxfId="1037" priority="25">
      <formula>AND(B$9&gt;=8/24,B$9&lt;14/24)</formula>
    </cfRule>
    <cfRule type="expression" dxfId="1036" priority="26">
      <formula>B$9&lt;8/24</formula>
    </cfRule>
  </conditionalFormatting>
  <conditionalFormatting sqref="B52:B58">
    <cfRule type="expression" dxfId="1035" priority="19">
      <formula>B$9&gt;=20/24</formula>
    </cfRule>
    <cfRule type="expression" dxfId="1034" priority="20">
      <formula>AND(B$9&gt;=14/24,B$9&lt;20/24)</formula>
    </cfRule>
    <cfRule type="expression" dxfId="1033" priority="21">
      <formula>AND(B$9&gt;=8/24,B$9&lt;14/24)</formula>
    </cfRule>
    <cfRule type="expression" dxfId="1032" priority="22">
      <formula>B$9&lt;8/24</formula>
    </cfRule>
  </conditionalFormatting>
  <conditionalFormatting sqref="B83:B86">
    <cfRule type="expression" dxfId="1031" priority="15">
      <formula>B$9&gt;=20/24</formula>
    </cfRule>
    <cfRule type="expression" dxfId="1030" priority="16">
      <formula>AND(B$9&gt;=14/24,B$9&lt;20/24)</formula>
    </cfRule>
    <cfRule type="expression" dxfId="1029" priority="17">
      <formula>AND(B$9&gt;=8/24,B$9&lt;14/24)</formula>
    </cfRule>
    <cfRule type="expression" dxfId="1028" priority="18">
      <formula>B$9&lt;8/24</formula>
    </cfRule>
  </conditionalFormatting>
  <conditionalFormatting sqref="B11:B17 C11:E13 C39:K39 C21:Q23 C15:E17 C14:K14 B19:E19 B21:B47 B20:Q20 C25:Q27 C24:AF24">
    <cfRule type="expression" dxfId="1027" priority="14">
      <formula>B11&gt;$AG11</formula>
    </cfRule>
  </conditionalFormatting>
  <conditionalFormatting sqref="B87">
    <cfRule type="expression" dxfId="1026" priority="10">
      <formula>B$9&gt;=20/24</formula>
    </cfRule>
    <cfRule type="expression" dxfId="1025" priority="11">
      <formula>AND(B$9&gt;=14/24,B$9&lt;20/24)</formula>
    </cfRule>
    <cfRule type="expression" dxfId="1024" priority="12">
      <formula>AND(B$9&gt;=8/24,B$9&lt;14/24)</formula>
    </cfRule>
    <cfRule type="expression" dxfId="1023" priority="13">
      <formula>B$9&lt;8/24</formula>
    </cfRule>
  </conditionalFormatting>
  <conditionalFormatting sqref="B28">
    <cfRule type="expression" dxfId="1022" priority="6">
      <formula>B$9&gt;=20/24</formula>
    </cfRule>
    <cfRule type="expression" dxfId="1021" priority="7">
      <formula>AND(B$9&gt;=14/24,B$9&lt;20/24)</formula>
    </cfRule>
    <cfRule type="expression" dxfId="1020" priority="8">
      <formula>AND(B$9&gt;=8/24,B$9&lt;14/24)</formula>
    </cfRule>
    <cfRule type="expression" dxfId="1019" priority="9">
      <formula>B$9&lt;8/24</formula>
    </cfRule>
  </conditionalFormatting>
  <conditionalFormatting sqref="L14:Q14">
    <cfRule type="expression" dxfId="1018" priority="2">
      <formula>L$9&gt;=20/24</formula>
    </cfRule>
    <cfRule type="expression" dxfId="1017" priority="3">
      <formula>AND(L$9&gt;=14/24,L$9&lt;20/24)</formula>
    </cfRule>
    <cfRule type="expression" dxfId="1016" priority="4">
      <formula>AND(L$9&gt;=8/24,L$9&lt;14/24)</formula>
    </cfRule>
    <cfRule type="expression" dxfId="1015" priority="5">
      <formula>L$9&lt;8/24</formula>
    </cfRule>
  </conditionalFormatting>
  <conditionalFormatting sqref="L14:Q14">
    <cfRule type="expression" dxfId="1014" priority="1">
      <formula>L14&gt;$AG14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6"/>
  <sheetViews>
    <sheetView zoomScale="90" zoomScaleNormal="90" workbookViewId="0">
      <pane xSplit="1" ySplit="10" topLeftCell="B59" activePane="bottomRight" state="frozen"/>
      <selection activeCell="AF88" sqref="AF88"/>
      <selection pane="topRight" activeCell="AF88" sqref="AF88"/>
      <selection pane="bottomLeft" activeCell="AF88" sqref="AF88"/>
      <selection pane="bottomRight" activeCell="M82" sqref="M82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28</v>
      </c>
      <c r="D4" s="324">
        <f ca="1">IFERROR(DATE(2021,5,14)+C4,"")</f>
        <v>44358</v>
      </c>
      <c r="E4" s="324"/>
      <c r="F4" s="324"/>
      <c r="G4" s="324"/>
      <c r="H4" s="324"/>
      <c r="I4" s="324"/>
      <c r="J4" s="29"/>
      <c r="K4" t="str">
        <f>"Total Peak Supply(Inclusive of Export) ("&amp;ROUND(B197,0)&amp;" MW)"&amp;"    IPP   = "&amp;ROUND(B192,0)&amp;" MW     NEA RoR = "&amp;ROUND(B193,0)&amp;" MWImport   = "&amp;ROUND(B195,0)&amp;" MW      KL1+KL2+K3 = "&amp;ROUND(B194,0) &amp;" MW    EXPORT = "&amp;ROUND(B196,0)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211</v>
      </c>
      <c r="C5" s="32">
        <f t="shared" ref="C5:AF5" si="0">C59</f>
        <v>196</v>
      </c>
      <c r="D5" s="32">
        <f t="shared" si="0"/>
        <v>186</v>
      </c>
      <c r="E5" s="32">
        <f t="shared" si="0"/>
        <v>182.97</v>
      </c>
      <c r="F5" s="32">
        <f t="shared" si="0"/>
        <v>147.19999999999999</v>
      </c>
      <c r="G5" s="32">
        <f t="shared" si="0"/>
        <v>146.4</v>
      </c>
      <c r="H5" s="32">
        <f t="shared" si="0"/>
        <v>151</v>
      </c>
      <c r="I5" s="32">
        <f t="shared" si="0"/>
        <v>190</v>
      </c>
      <c r="J5" s="32">
        <f t="shared" si="0"/>
        <v>174</v>
      </c>
      <c r="K5" s="32">
        <f t="shared" si="0"/>
        <v>244.4</v>
      </c>
      <c r="L5" s="32">
        <f t="shared" si="0"/>
        <v>265.70999999999998</v>
      </c>
      <c r="M5" s="32">
        <f t="shared" si="0"/>
        <v>285.39999999999998</v>
      </c>
      <c r="N5" s="32">
        <f t="shared" si="0"/>
        <v>302.5</v>
      </c>
      <c r="O5" s="32">
        <f t="shared" si="0"/>
        <v>316</v>
      </c>
      <c r="P5" s="32">
        <f t="shared" si="0"/>
        <v>303.3</v>
      </c>
      <c r="Q5" s="32">
        <f t="shared" si="0"/>
        <v>217.7</v>
      </c>
      <c r="R5" s="32">
        <f t="shared" si="0"/>
        <v>220.9</v>
      </c>
      <c r="S5" s="32">
        <f t="shared" si="0"/>
        <v>251.5</v>
      </c>
      <c r="T5" s="32">
        <f t="shared" si="0"/>
        <v>169</v>
      </c>
      <c r="U5" s="32">
        <f t="shared" si="0"/>
        <v>138</v>
      </c>
      <c r="V5" s="32">
        <f t="shared" si="0"/>
        <v>118.2</v>
      </c>
      <c r="W5" s="32">
        <f t="shared" si="0"/>
        <v>104.15</v>
      </c>
      <c r="X5" s="32">
        <f t="shared" si="0"/>
        <v>119.63</v>
      </c>
      <c r="Y5" s="32">
        <f t="shared" si="0"/>
        <v>171.9</v>
      </c>
      <c r="Z5" s="32">
        <f t="shared" si="0"/>
        <v>229.98</v>
      </c>
      <c r="AA5" s="32">
        <f t="shared" si="0"/>
        <v>316.14</v>
      </c>
      <c r="AB5" s="32">
        <f t="shared" si="0"/>
        <v>310</v>
      </c>
      <c r="AC5" s="32">
        <f t="shared" si="0"/>
        <v>305</v>
      </c>
      <c r="AD5" s="32">
        <f t="shared" si="0"/>
        <v>240</v>
      </c>
      <c r="AE5" s="32">
        <f t="shared" si="0"/>
        <v>156</v>
      </c>
      <c r="AF5" s="32">
        <f t="shared" si="0"/>
        <v>128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8"/>
      <c r="E6" s="188"/>
      <c r="F6" s="188"/>
      <c r="G6" s="188"/>
      <c r="H6" s="188"/>
      <c r="I6" s="188"/>
      <c r="J6" s="29"/>
      <c r="K6" t="str">
        <f>"Evening Peak "&amp;ROUND(B197,0)&amp;"MW at "&amp;TRUNC(B198*24,0)&amp;":"&amp;ROUND((B198*24-TRUNC(B198*24,0))*60,0)&amp;"hr at "&amp;ROUND(B199,1)&amp;"Hz     "&amp;A189&amp;" "&amp;ROUND(B189,0)&amp;"MW at "&amp;TRUNC(C189*24,0)&amp;":"&amp;ROUND((C189*24-TRUNC(C189*24,0))*6,0)&amp;"0hr"</f>
        <v>Evening Peak 0MW at 0:0hr at 0Hz     Morning Peak 1164MW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Load=901</v>
      </c>
      <c r="B7" s="36">
        <f t="shared" ref="B7:AF7" si="1">B65</f>
        <v>1125.6400000000001</v>
      </c>
      <c r="C7" s="36">
        <f t="shared" si="1"/>
        <v>1140.24</v>
      </c>
      <c r="D7" s="36">
        <f t="shared" si="1"/>
        <v>1119.54</v>
      </c>
      <c r="E7" s="36">
        <f t="shared" si="1"/>
        <v>1107.1100000000001</v>
      </c>
      <c r="F7" s="36">
        <f t="shared" si="1"/>
        <v>1092.04</v>
      </c>
      <c r="G7" s="36">
        <f t="shared" si="1"/>
        <v>1072.2400000000002</v>
      </c>
      <c r="H7" s="36">
        <f t="shared" si="1"/>
        <v>1091.54</v>
      </c>
      <c r="I7" s="36">
        <f t="shared" si="1"/>
        <v>1126.44</v>
      </c>
      <c r="J7" s="36">
        <f t="shared" si="1"/>
        <v>1121.94</v>
      </c>
      <c r="K7" s="36">
        <f t="shared" si="1"/>
        <v>1149.5400000000002</v>
      </c>
      <c r="L7" s="36">
        <f>L65</f>
        <v>1158.0610000000001</v>
      </c>
      <c r="M7" s="36">
        <f t="shared" si="1"/>
        <v>1164.451</v>
      </c>
      <c r="N7" s="36">
        <f t="shared" si="1"/>
        <v>1168.1400000000001</v>
      </c>
      <c r="O7" s="36">
        <f t="shared" si="1"/>
        <v>1171.54</v>
      </c>
      <c r="P7" s="36">
        <f t="shared" si="1"/>
        <v>1170.54</v>
      </c>
      <c r="Q7" s="36">
        <f t="shared" si="1"/>
        <v>1104.3400000000001</v>
      </c>
      <c r="R7" s="36">
        <f t="shared" si="1"/>
        <v>1054.54</v>
      </c>
      <c r="S7" s="36">
        <f t="shared" si="1"/>
        <v>1035.44</v>
      </c>
      <c r="T7" s="36">
        <f t="shared" si="1"/>
        <v>952.54000000000008</v>
      </c>
      <c r="U7" s="36">
        <f t="shared" si="1"/>
        <v>926.04000000000008</v>
      </c>
      <c r="V7" s="36">
        <f t="shared" si="1"/>
        <v>909.24</v>
      </c>
      <c r="W7" s="36">
        <f t="shared" si="1"/>
        <v>901.3900000000001</v>
      </c>
      <c r="X7" s="36">
        <f t="shared" si="1"/>
        <v>918.77</v>
      </c>
      <c r="Y7" s="36">
        <f t="shared" si="1"/>
        <v>971.6400000000001</v>
      </c>
      <c r="Z7" s="36">
        <f t="shared" si="1"/>
        <v>1061.02</v>
      </c>
      <c r="AA7" s="36">
        <f t="shared" si="1"/>
        <v>1177.78</v>
      </c>
      <c r="AB7" s="36">
        <f t="shared" si="1"/>
        <v>1179.1400000000001</v>
      </c>
      <c r="AC7" s="36">
        <f t="shared" si="1"/>
        <v>1168.44</v>
      </c>
      <c r="AD7" s="36">
        <f t="shared" si="1"/>
        <v>1107.6400000000001</v>
      </c>
      <c r="AE7" s="36">
        <f t="shared" si="1"/>
        <v>1039.74</v>
      </c>
      <c r="AF7" s="36">
        <f t="shared" si="1"/>
        <v>1029.6400000000001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55.4</v>
      </c>
      <c r="C11" s="48">
        <v>55.2</v>
      </c>
      <c r="D11" s="48">
        <v>56.1</v>
      </c>
      <c r="E11" s="48">
        <v>55.6</v>
      </c>
      <c r="F11" s="48">
        <v>56.9</v>
      </c>
      <c r="G11" s="48">
        <v>58</v>
      </c>
      <c r="H11" s="48">
        <v>58</v>
      </c>
      <c r="I11" s="48">
        <v>58</v>
      </c>
      <c r="J11" s="48">
        <v>60.4</v>
      </c>
      <c r="K11" s="48">
        <v>60.4</v>
      </c>
      <c r="L11" s="49">
        <v>60</v>
      </c>
      <c r="M11" s="49">
        <v>60</v>
      </c>
      <c r="N11" s="49">
        <v>53.4</v>
      </c>
      <c r="O11" s="49">
        <v>53</v>
      </c>
      <c r="P11" s="49">
        <v>49</v>
      </c>
      <c r="Q11" s="49">
        <v>49</v>
      </c>
      <c r="R11" s="49">
        <v>49</v>
      </c>
      <c r="S11" s="50">
        <v>47</v>
      </c>
      <c r="T11" s="50">
        <v>48.5</v>
      </c>
      <c r="U11" s="50">
        <v>47.4</v>
      </c>
      <c r="V11" s="50">
        <v>48.5</v>
      </c>
      <c r="W11" s="50">
        <v>48</v>
      </c>
      <c r="X11" s="50">
        <v>47.2</v>
      </c>
      <c r="Y11" s="50">
        <v>47.1</v>
      </c>
      <c r="Z11" s="203">
        <v>51.5</v>
      </c>
      <c r="AA11" s="50">
        <v>54.3</v>
      </c>
      <c r="AB11" s="48">
        <v>60.1</v>
      </c>
      <c r="AC11" s="48">
        <v>55</v>
      </c>
      <c r="AD11" s="48">
        <v>55</v>
      </c>
      <c r="AE11" s="48">
        <v>52</v>
      </c>
      <c r="AF11" s="48">
        <v>54</v>
      </c>
      <c r="AG11" s="51">
        <v>60</v>
      </c>
      <c r="AH11" s="52">
        <f>MAX(B11:AF11)</f>
        <v>60.4</v>
      </c>
      <c r="AI11" s="53">
        <f>MIN(B11:AF11)</f>
        <v>47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>
        <v>50.6</v>
      </c>
      <c r="C12" s="56">
        <v>50.3</v>
      </c>
      <c r="D12" s="56">
        <v>50.6</v>
      </c>
      <c r="E12" s="56">
        <v>50.4</v>
      </c>
      <c r="F12" s="56">
        <v>50.6</v>
      </c>
      <c r="G12" s="56">
        <v>50.4</v>
      </c>
      <c r="H12" s="56">
        <v>50.8</v>
      </c>
      <c r="I12" s="56">
        <v>50.8</v>
      </c>
      <c r="J12" s="56">
        <v>50.5</v>
      </c>
      <c r="K12" s="56">
        <v>50.5</v>
      </c>
      <c r="L12" s="49">
        <v>50.4</v>
      </c>
      <c r="M12" s="49">
        <v>50.4</v>
      </c>
      <c r="N12" s="49">
        <v>50.2</v>
      </c>
      <c r="O12" s="49">
        <v>50.5</v>
      </c>
      <c r="P12" s="49">
        <v>50.5</v>
      </c>
      <c r="Q12" s="49">
        <v>50.4</v>
      </c>
      <c r="R12" s="49">
        <v>50.4</v>
      </c>
      <c r="S12" s="49">
        <v>50.3</v>
      </c>
      <c r="T12" s="49">
        <v>50.6</v>
      </c>
      <c r="U12" s="49">
        <v>50.3</v>
      </c>
      <c r="V12" s="49">
        <v>50.4</v>
      </c>
      <c r="W12" s="49">
        <v>50.5</v>
      </c>
      <c r="X12" s="49">
        <v>50.4</v>
      </c>
      <c r="Y12" s="49">
        <v>50.5</v>
      </c>
      <c r="Z12" s="201">
        <v>50.5</v>
      </c>
      <c r="AA12" s="49">
        <v>50.5</v>
      </c>
      <c r="AB12" s="56">
        <v>50.4</v>
      </c>
      <c r="AC12" s="56">
        <v>50.4</v>
      </c>
      <c r="AD12" s="224">
        <v>50.4</v>
      </c>
      <c r="AE12" s="56">
        <v>50.5</v>
      </c>
      <c r="AF12" s="224">
        <v>50.5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50.2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>
        <v>45.9</v>
      </c>
      <c r="C13" s="56">
        <v>45.6</v>
      </c>
      <c r="D13" s="56">
        <v>45.3</v>
      </c>
      <c r="E13" s="56">
        <v>45.3</v>
      </c>
      <c r="F13" s="56">
        <v>45.5</v>
      </c>
      <c r="G13" s="56">
        <v>45.2</v>
      </c>
      <c r="H13" s="56">
        <v>45.3</v>
      </c>
      <c r="I13" s="56">
        <v>45.3</v>
      </c>
      <c r="J13" s="56">
        <v>45.3</v>
      </c>
      <c r="K13" s="56">
        <v>45.3</v>
      </c>
      <c r="L13" s="49">
        <v>45.9</v>
      </c>
      <c r="M13" s="49">
        <v>45.9</v>
      </c>
      <c r="N13" s="49">
        <v>45</v>
      </c>
      <c r="O13" s="49">
        <v>43.4</v>
      </c>
      <c r="P13" s="49">
        <v>43.5</v>
      </c>
      <c r="Q13" s="49">
        <v>44.2</v>
      </c>
      <c r="R13" s="49">
        <v>43.5</v>
      </c>
      <c r="S13" s="49">
        <v>43.4</v>
      </c>
      <c r="T13" s="49">
        <v>43.4</v>
      </c>
      <c r="U13" s="49">
        <v>43.5</v>
      </c>
      <c r="V13" s="49">
        <v>43.6</v>
      </c>
      <c r="W13" s="49">
        <v>43.4</v>
      </c>
      <c r="X13" s="49">
        <v>43.5</v>
      </c>
      <c r="Y13" s="49">
        <v>43.5</v>
      </c>
      <c r="Z13" s="201">
        <v>43.5</v>
      </c>
      <c r="AA13" s="49">
        <v>43.3</v>
      </c>
      <c r="AB13" s="56">
        <v>43.3</v>
      </c>
      <c r="AC13" s="224">
        <v>43.3</v>
      </c>
      <c r="AD13" s="224">
        <v>45</v>
      </c>
      <c r="AE13" s="224">
        <v>45</v>
      </c>
      <c r="AF13" s="224">
        <v>43.3</v>
      </c>
      <c r="AG13" s="59">
        <v>45</v>
      </c>
      <c r="AH13" s="52">
        <f t="shared" si="2"/>
        <v>45.9</v>
      </c>
      <c r="AI13" s="53">
        <f t="shared" si="3"/>
        <v>43.3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>
        <v>25</v>
      </c>
      <c r="C14" s="56">
        <v>25</v>
      </c>
      <c r="D14" s="56">
        <v>25</v>
      </c>
      <c r="E14" s="56">
        <v>25</v>
      </c>
      <c r="F14" s="56">
        <v>25</v>
      </c>
      <c r="G14" s="56">
        <v>25</v>
      </c>
      <c r="H14" s="56">
        <v>25</v>
      </c>
      <c r="I14" s="56">
        <v>25</v>
      </c>
      <c r="J14" s="56">
        <v>25</v>
      </c>
      <c r="K14" s="56">
        <v>25</v>
      </c>
      <c r="L14" s="49">
        <v>25</v>
      </c>
      <c r="M14" s="49">
        <v>25</v>
      </c>
      <c r="N14" s="49">
        <v>25</v>
      </c>
      <c r="O14" s="49">
        <v>25</v>
      </c>
      <c r="P14" s="49">
        <v>25</v>
      </c>
      <c r="Q14" s="49">
        <v>25</v>
      </c>
      <c r="R14" s="49">
        <v>25</v>
      </c>
      <c r="S14" s="49">
        <v>0</v>
      </c>
      <c r="T14" s="49">
        <v>25</v>
      </c>
      <c r="U14" s="49">
        <v>25</v>
      </c>
      <c r="V14" s="49">
        <v>25</v>
      </c>
      <c r="W14" s="49">
        <v>25</v>
      </c>
      <c r="X14" s="49">
        <v>25</v>
      </c>
      <c r="Y14" s="49">
        <v>25</v>
      </c>
      <c r="Z14" s="201">
        <v>25</v>
      </c>
      <c r="AA14" s="49">
        <v>25</v>
      </c>
      <c r="AB14" s="49">
        <v>25</v>
      </c>
      <c r="AC14" s="218">
        <v>25</v>
      </c>
      <c r="AD14" s="218">
        <v>25</v>
      </c>
      <c r="AE14" s="218">
        <v>25</v>
      </c>
      <c r="AF14" s="218">
        <v>25</v>
      </c>
      <c r="AG14" s="59">
        <v>25</v>
      </c>
      <c r="AH14" s="52">
        <f t="shared" si="2"/>
        <v>25</v>
      </c>
      <c r="AI14" s="53">
        <f t="shared" si="3"/>
        <v>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>
        <v>23.4</v>
      </c>
      <c r="C15" s="56">
        <v>23.5</v>
      </c>
      <c r="D15" s="56">
        <v>24.2</v>
      </c>
      <c r="E15" s="56">
        <v>24.1</v>
      </c>
      <c r="F15" s="56">
        <v>25.4</v>
      </c>
      <c r="G15" s="56">
        <v>25</v>
      </c>
      <c r="H15" s="56">
        <v>25</v>
      </c>
      <c r="I15" s="56">
        <v>24.8</v>
      </c>
      <c r="J15" s="56">
        <v>23.9</v>
      </c>
      <c r="K15" s="56">
        <v>22.9</v>
      </c>
      <c r="L15" s="49">
        <v>20.8</v>
      </c>
      <c r="M15" s="49">
        <v>20.8</v>
      </c>
      <c r="N15" s="49">
        <v>23.1</v>
      </c>
      <c r="O15" s="49">
        <v>23.1</v>
      </c>
      <c r="P15" s="49">
        <v>22.9</v>
      </c>
      <c r="Q15" s="49">
        <v>23.8</v>
      </c>
      <c r="R15" s="49">
        <v>23</v>
      </c>
      <c r="S15" s="49">
        <v>22.9</v>
      </c>
      <c r="T15" s="49">
        <v>23</v>
      </c>
      <c r="U15" s="49">
        <v>24.5</v>
      </c>
      <c r="V15" s="49">
        <v>24.4</v>
      </c>
      <c r="W15" s="49">
        <v>24.4</v>
      </c>
      <c r="X15" s="49">
        <v>22.6</v>
      </c>
      <c r="Y15" s="49">
        <v>22.9</v>
      </c>
      <c r="Z15" s="201">
        <v>25.2</v>
      </c>
      <c r="AA15" s="49">
        <v>25</v>
      </c>
      <c r="AB15" s="56">
        <v>25</v>
      </c>
      <c r="AC15" s="56">
        <v>25</v>
      </c>
      <c r="AD15" s="56">
        <v>25</v>
      </c>
      <c r="AE15" s="56">
        <v>25</v>
      </c>
      <c r="AF15" s="56">
        <v>25</v>
      </c>
      <c r="AG15" s="59">
        <v>25</v>
      </c>
      <c r="AH15" s="52">
        <f t="shared" si="2"/>
        <v>25.4</v>
      </c>
      <c r="AI15" s="53">
        <f t="shared" si="3"/>
        <v>20.8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49">
        <v>6.3</v>
      </c>
      <c r="C16" s="49">
        <v>6.2</v>
      </c>
      <c r="D16" s="49">
        <v>6.2</v>
      </c>
      <c r="E16" s="49">
        <v>6.2</v>
      </c>
      <c r="F16" s="56">
        <v>6.2</v>
      </c>
      <c r="G16" s="56">
        <v>6.2</v>
      </c>
      <c r="H16" s="56">
        <v>6.2</v>
      </c>
      <c r="I16" s="56">
        <v>6.2</v>
      </c>
      <c r="J16" s="56">
        <v>6.3</v>
      </c>
      <c r="K16" s="56">
        <v>6.3</v>
      </c>
      <c r="L16" s="49">
        <v>6.3</v>
      </c>
      <c r="M16" s="49">
        <v>6.3</v>
      </c>
      <c r="N16" s="49">
        <v>6.3</v>
      </c>
      <c r="O16" s="49">
        <v>6.3</v>
      </c>
      <c r="P16" s="49">
        <v>6.3</v>
      </c>
      <c r="Q16" s="49">
        <v>6.3</v>
      </c>
      <c r="R16" s="49">
        <v>6.3</v>
      </c>
      <c r="S16" s="49">
        <v>6.3</v>
      </c>
      <c r="T16" s="49">
        <v>6.3</v>
      </c>
      <c r="U16" s="49">
        <v>6.3</v>
      </c>
      <c r="V16" s="49">
        <v>6.3</v>
      </c>
      <c r="W16" s="49">
        <v>6.3</v>
      </c>
      <c r="X16" s="49">
        <v>6.3</v>
      </c>
      <c r="Y16" s="49">
        <v>6.3</v>
      </c>
      <c r="Z16" s="201">
        <v>6.3</v>
      </c>
      <c r="AA16" s="49">
        <v>6.3</v>
      </c>
      <c r="AB16" s="49">
        <v>6.3</v>
      </c>
      <c r="AC16" s="218">
        <v>6.3</v>
      </c>
      <c r="AD16" s="218">
        <v>6.3</v>
      </c>
      <c r="AE16" s="218">
        <v>6.3</v>
      </c>
      <c r="AF16" s="218">
        <v>6.3</v>
      </c>
      <c r="AG16" s="59">
        <v>23.5</v>
      </c>
      <c r="AH16" s="52">
        <f t="shared" si="2"/>
        <v>6.3</v>
      </c>
      <c r="AI16" s="53">
        <f t="shared" si="3"/>
        <v>6.2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49">
        <v>23.7</v>
      </c>
      <c r="C17" s="49">
        <v>23.4</v>
      </c>
      <c r="D17" s="49">
        <v>23.4</v>
      </c>
      <c r="E17" s="49">
        <v>23.4</v>
      </c>
      <c r="F17" s="56">
        <v>23</v>
      </c>
      <c r="G17" s="56">
        <v>22.9</v>
      </c>
      <c r="H17" s="56">
        <v>23</v>
      </c>
      <c r="I17" s="56">
        <v>22.9</v>
      </c>
      <c r="J17" s="56">
        <v>22.8</v>
      </c>
      <c r="K17" s="56">
        <v>22.9</v>
      </c>
      <c r="L17" s="49">
        <v>22.3</v>
      </c>
      <c r="M17" s="49">
        <v>22.3</v>
      </c>
      <c r="N17" s="49">
        <v>22.4</v>
      </c>
      <c r="O17" s="49">
        <v>22.5</v>
      </c>
      <c r="P17" s="49">
        <v>23</v>
      </c>
      <c r="Q17" s="49">
        <v>22.8</v>
      </c>
      <c r="R17" s="49">
        <v>22.1</v>
      </c>
      <c r="S17" s="49">
        <v>22.1</v>
      </c>
      <c r="T17" s="49">
        <v>22.1</v>
      </c>
      <c r="U17" s="49">
        <v>22.8</v>
      </c>
      <c r="V17" s="49">
        <v>22.9</v>
      </c>
      <c r="W17" s="49">
        <v>23.2</v>
      </c>
      <c r="X17" s="49">
        <v>23</v>
      </c>
      <c r="Y17" s="49">
        <v>22.9</v>
      </c>
      <c r="Z17" s="201">
        <v>22.8</v>
      </c>
      <c r="AA17" s="49">
        <v>22.8</v>
      </c>
      <c r="AB17" s="49">
        <v>22.8</v>
      </c>
      <c r="AC17" s="218">
        <v>22.8</v>
      </c>
      <c r="AD17" s="218">
        <v>22.8</v>
      </c>
      <c r="AE17" s="218">
        <v>22.8</v>
      </c>
      <c r="AF17" s="218">
        <v>22.8</v>
      </c>
      <c r="AG17" s="59">
        <v>22.1</v>
      </c>
      <c r="AH17" s="52">
        <f t="shared" si="2"/>
        <v>23.7</v>
      </c>
      <c r="AI17" s="53">
        <f t="shared" si="3"/>
        <v>22.1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>
        <v>8</v>
      </c>
      <c r="C18" s="56">
        <v>8</v>
      </c>
      <c r="D18" s="56">
        <v>8</v>
      </c>
      <c r="E18" s="56">
        <v>8</v>
      </c>
      <c r="F18" s="56">
        <v>8</v>
      </c>
      <c r="G18" s="56">
        <v>8</v>
      </c>
      <c r="H18" s="56">
        <v>8</v>
      </c>
      <c r="I18" s="56">
        <v>8</v>
      </c>
      <c r="J18" s="56">
        <v>8</v>
      </c>
      <c r="K18" s="56">
        <v>8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49">
        <v>8</v>
      </c>
      <c r="S18" s="49">
        <v>0</v>
      </c>
      <c r="T18" s="49">
        <v>8</v>
      </c>
      <c r="U18" s="49">
        <v>8</v>
      </c>
      <c r="V18" s="49">
        <v>8</v>
      </c>
      <c r="W18" s="49">
        <v>8</v>
      </c>
      <c r="X18" s="49">
        <v>8</v>
      </c>
      <c r="Y18" s="49">
        <v>8</v>
      </c>
      <c r="Z18" s="201">
        <v>8</v>
      </c>
      <c r="AA18" s="49">
        <v>8</v>
      </c>
      <c r="AB18" s="49">
        <v>8</v>
      </c>
      <c r="AC18" s="218">
        <v>8</v>
      </c>
      <c r="AD18" s="218">
        <v>8</v>
      </c>
      <c r="AE18" s="218">
        <v>8</v>
      </c>
      <c r="AF18" s="218">
        <v>8</v>
      </c>
      <c r="AG18" s="59">
        <v>22.1</v>
      </c>
      <c r="AH18" s="52">
        <f t="shared" si="2"/>
        <v>8</v>
      </c>
      <c r="AI18" s="53">
        <f t="shared" si="3"/>
        <v>0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49">
        <v>23.3</v>
      </c>
      <c r="C19" s="49">
        <v>23.2</v>
      </c>
      <c r="D19" s="49">
        <v>23.3</v>
      </c>
      <c r="E19" s="49">
        <v>23.3</v>
      </c>
      <c r="F19" s="56">
        <v>23.3</v>
      </c>
      <c r="G19" s="56">
        <v>22.4</v>
      </c>
      <c r="H19" s="56">
        <v>21.2</v>
      </c>
      <c r="I19" s="56">
        <v>20.100000000000001</v>
      </c>
      <c r="J19" s="56">
        <v>19</v>
      </c>
      <c r="K19" s="56">
        <v>17.8</v>
      </c>
      <c r="L19" s="49">
        <v>17.411000000000001</v>
      </c>
      <c r="M19" s="49">
        <v>17.411000000000001</v>
      </c>
      <c r="N19" s="49">
        <v>13.7</v>
      </c>
      <c r="O19" s="49">
        <v>13.7</v>
      </c>
      <c r="P19" s="49">
        <v>12.8</v>
      </c>
      <c r="Q19" s="49">
        <v>12.8</v>
      </c>
      <c r="R19" s="49">
        <v>12.8</v>
      </c>
      <c r="S19" s="49">
        <v>12.9</v>
      </c>
      <c r="T19" s="49">
        <v>12.9</v>
      </c>
      <c r="U19" s="49">
        <v>15</v>
      </c>
      <c r="V19" s="49">
        <v>14.9</v>
      </c>
      <c r="W19" s="49">
        <v>14.7</v>
      </c>
      <c r="X19" s="49">
        <v>23.5</v>
      </c>
      <c r="Y19" s="49">
        <v>23.5</v>
      </c>
      <c r="Z19" s="201">
        <v>23.6</v>
      </c>
      <c r="AA19" s="49">
        <v>23.5</v>
      </c>
      <c r="AB19" s="49">
        <v>25.4</v>
      </c>
      <c r="AC19" s="218">
        <v>25.4</v>
      </c>
      <c r="AD19" s="218">
        <v>25.4</v>
      </c>
      <c r="AE19" s="218">
        <v>25.4</v>
      </c>
      <c r="AF19" s="218">
        <v>25.4</v>
      </c>
      <c r="AG19" s="59">
        <v>22</v>
      </c>
      <c r="AH19" s="52">
        <f t="shared" si="2"/>
        <v>25.4</v>
      </c>
      <c r="AI19" s="53">
        <f t="shared" si="3"/>
        <v>12.8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5.75" x14ac:dyDescent="0.25">
      <c r="A20" s="58" t="s">
        <v>27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49">
        <v>11</v>
      </c>
      <c r="M20" s="49">
        <v>11</v>
      </c>
      <c r="N20" s="49">
        <v>11</v>
      </c>
      <c r="O20" s="49">
        <v>11</v>
      </c>
      <c r="P20" s="49">
        <v>11</v>
      </c>
      <c r="Q20" s="49">
        <v>11</v>
      </c>
      <c r="R20" s="49">
        <v>11</v>
      </c>
      <c r="S20" s="49">
        <v>0</v>
      </c>
      <c r="T20" s="49">
        <v>11</v>
      </c>
      <c r="U20" s="49">
        <v>11</v>
      </c>
      <c r="V20" s="49">
        <v>11</v>
      </c>
      <c r="W20" s="49">
        <v>11</v>
      </c>
      <c r="X20" s="49">
        <v>11</v>
      </c>
      <c r="Y20" s="49">
        <v>11</v>
      </c>
      <c r="Z20" s="200">
        <v>21</v>
      </c>
      <c r="AA20" s="49">
        <v>21</v>
      </c>
      <c r="AB20" s="49">
        <v>21</v>
      </c>
      <c r="AC20" s="218">
        <v>21</v>
      </c>
      <c r="AD20" s="218">
        <v>21</v>
      </c>
      <c r="AE20" s="218">
        <v>21</v>
      </c>
      <c r="AF20" s="218">
        <v>21</v>
      </c>
      <c r="AG20" s="59">
        <v>22</v>
      </c>
      <c r="AH20" s="52">
        <f t="shared" si="2"/>
        <v>21</v>
      </c>
      <c r="AI20" s="53">
        <f t="shared" si="3"/>
        <v>0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49">
        <v>7</v>
      </c>
      <c r="C21" s="49">
        <v>7</v>
      </c>
      <c r="D21" s="49">
        <v>7</v>
      </c>
      <c r="E21" s="49">
        <v>7</v>
      </c>
      <c r="F21" s="49">
        <v>7</v>
      </c>
      <c r="G21" s="49">
        <v>7</v>
      </c>
      <c r="H21" s="49">
        <v>7</v>
      </c>
      <c r="I21" s="49">
        <v>7</v>
      </c>
      <c r="J21" s="49">
        <v>7</v>
      </c>
      <c r="K21" s="49">
        <v>7</v>
      </c>
      <c r="L21" s="49">
        <v>7</v>
      </c>
      <c r="M21" s="49">
        <v>7</v>
      </c>
      <c r="N21" s="49">
        <v>7</v>
      </c>
      <c r="O21" s="49">
        <v>7</v>
      </c>
      <c r="P21" s="49">
        <v>7</v>
      </c>
      <c r="Q21" s="49">
        <v>7</v>
      </c>
      <c r="R21" s="49">
        <v>7</v>
      </c>
      <c r="S21" s="49">
        <v>0</v>
      </c>
      <c r="T21" s="49">
        <v>7</v>
      </c>
      <c r="U21" s="49">
        <v>7</v>
      </c>
      <c r="V21" s="49">
        <v>7</v>
      </c>
      <c r="W21" s="49">
        <v>7</v>
      </c>
      <c r="X21" s="49">
        <v>7</v>
      </c>
      <c r="Y21" s="49">
        <v>7</v>
      </c>
      <c r="Z21" s="201">
        <v>7</v>
      </c>
      <c r="AA21" s="49">
        <v>7</v>
      </c>
      <c r="AB21" s="49">
        <v>7</v>
      </c>
      <c r="AC21" s="218">
        <v>7</v>
      </c>
      <c r="AD21" s="218">
        <v>7</v>
      </c>
      <c r="AE21" s="218">
        <v>7</v>
      </c>
      <c r="AF21" s="218">
        <v>7</v>
      </c>
      <c r="AG21" s="59">
        <v>14.9</v>
      </c>
      <c r="AH21" s="52">
        <f t="shared" si="2"/>
        <v>7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49">
        <v>10</v>
      </c>
      <c r="C22" s="49">
        <v>10</v>
      </c>
      <c r="D22" s="49">
        <v>10</v>
      </c>
      <c r="E22" s="49">
        <v>10</v>
      </c>
      <c r="F22" s="49">
        <v>10</v>
      </c>
      <c r="G22" s="49">
        <v>10</v>
      </c>
      <c r="H22" s="49">
        <v>10</v>
      </c>
      <c r="I22" s="49">
        <v>10</v>
      </c>
      <c r="J22" s="49">
        <v>10</v>
      </c>
      <c r="K22" s="49">
        <v>10</v>
      </c>
      <c r="L22" s="49">
        <v>10</v>
      </c>
      <c r="M22" s="49">
        <v>10</v>
      </c>
      <c r="N22" s="49">
        <v>10</v>
      </c>
      <c r="O22" s="49">
        <v>10</v>
      </c>
      <c r="P22" s="49">
        <v>10</v>
      </c>
      <c r="Q22" s="49">
        <v>10</v>
      </c>
      <c r="R22" s="49">
        <v>10</v>
      </c>
      <c r="S22" s="49">
        <v>10</v>
      </c>
      <c r="T22" s="49">
        <v>10</v>
      </c>
      <c r="U22" s="49">
        <v>10</v>
      </c>
      <c r="V22" s="49">
        <v>10</v>
      </c>
      <c r="W22" s="49">
        <v>10</v>
      </c>
      <c r="X22" s="49">
        <v>10</v>
      </c>
      <c r="Y22" s="49">
        <v>10</v>
      </c>
      <c r="Z22" s="201">
        <v>10</v>
      </c>
      <c r="AA22" s="49">
        <v>10</v>
      </c>
      <c r="AB22" s="49">
        <v>10</v>
      </c>
      <c r="AC22" s="218">
        <v>10</v>
      </c>
      <c r="AD22" s="218">
        <v>10</v>
      </c>
      <c r="AE22" s="218">
        <v>10</v>
      </c>
      <c r="AF22" s="218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49">
        <v>8.5</v>
      </c>
      <c r="C23" s="49">
        <v>10.6</v>
      </c>
      <c r="D23" s="49">
        <v>10.6</v>
      </c>
      <c r="E23" s="49">
        <v>10.6</v>
      </c>
      <c r="F23" s="49">
        <v>10.6</v>
      </c>
      <c r="G23" s="49">
        <v>10.6</v>
      </c>
      <c r="H23" s="49">
        <v>10.6</v>
      </c>
      <c r="I23" s="49">
        <v>10.6</v>
      </c>
      <c r="J23" s="49">
        <v>10.6</v>
      </c>
      <c r="K23" s="49">
        <v>10.6</v>
      </c>
      <c r="L23" s="49">
        <v>10.6</v>
      </c>
      <c r="M23" s="49">
        <v>10.6</v>
      </c>
      <c r="N23" s="49">
        <v>10.6</v>
      </c>
      <c r="O23" s="49">
        <v>10.6</v>
      </c>
      <c r="P23" s="49">
        <v>10.6</v>
      </c>
      <c r="Q23" s="49">
        <v>10.6</v>
      </c>
      <c r="R23" s="49">
        <v>10.6</v>
      </c>
      <c r="S23" s="49">
        <v>10.6</v>
      </c>
      <c r="T23" s="49">
        <v>10.6</v>
      </c>
      <c r="U23" s="49">
        <v>10.6</v>
      </c>
      <c r="V23" s="49">
        <v>10.6</v>
      </c>
      <c r="W23" s="49">
        <v>10.6</v>
      </c>
      <c r="X23" s="49">
        <v>10.6</v>
      </c>
      <c r="Y23" s="49">
        <v>10.6</v>
      </c>
      <c r="Z23" s="201">
        <v>10.6</v>
      </c>
      <c r="AA23" s="49">
        <v>10.6</v>
      </c>
      <c r="AB23" s="49">
        <v>10.6</v>
      </c>
      <c r="AC23" s="218">
        <v>10.6</v>
      </c>
      <c r="AD23" s="218">
        <v>10.6</v>
      </c>
      <c r="AE23" s="218">
        <v>10.6</v>
      </c>
      <c r="AF23" s="218">
        <v>10.6</v>
      </c>
      <c r="AG23" s="59">
        <v>13</v>
      </c>
      <c r="AH23" s="52">
        <f t="shared" si="2"/>
        <v>10.6</v>
      </c>
      <c r="AI23" s="53">
        <f t="shared" si="3"/>
        <v>8.5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49">
        <v>12</v>
      </c>
      <c r="C24" s="218">
        <v>12</v>
      </c>
      <c r="D24" s="218">
        <v>12</v>
      </c>
      <c r="E24" s="218">
        <v>12</v>
      </c>
      <c r="F24" s="218">
        <v>12</v>
      </c>
      <c r="G24" s="218">
        <v>12</v>
      </c>
      <c r="H24" s="218">
        <v>12</v>
      </c>
      <c r="I24" s="218">
        <v>12</v>
      </c>
      <c r="J24" s="218">
        <v>12</v>
      </c>
      <c r="K24" s="218">
        <v>12</v>
      </c>
      <c r="L24" s="218">
        <v>12</v>
      </c>
      <c r="M24" s="218">
        <v>12</v>
      </c>
      <c r="N24" s="218">
        <v>12</v>
      </c>
      <c r="O24" s="218">
        <v>12</v>
      </c>
      <c r="P24" s="218">
        <v>12</v>
      </c>
      <c r="Q24" s="218">
        <v>12</v>
      </c>
      <c r="R24" s="218">
        <v>12</v>
      </c>
      <c r="S24" s="218">
        <v>12</v>
      </c>
      <c r="T24" s="218">
        <v>12</v>
      </c>
      <c r="U24" s="218">
        <v>12</v>
      </c>
      <c r="V24" s="218">
        <v>12</v>
      </c>
      <c r="W24" s="218">
        <v>12</v>
      </c>
      <c r="X24" s="218">
        <v>12</v>
      </c>
      <c r="Y24" s="218">
        <v>12</v>
      </c>
      <c r="Z24" s="218">
        <v>12</v>
      </c>
      <c r="AA24" s="218">
        <v>12</v>
      </c>
      <c r="AB24" s="218">
        <v>12</v>
      </c>
      <c r="AC24" s="218">
        <v>12</v>
      </c>
      <c r="AD24" s="218">
        <v>12</v>
      </c>
      <c r="AE24" s="218">
        <v>12</v>
      </c>
      <c r="AF24" s="218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49">
        <v>2.2000000000000002</v>
      </c>
      <c r="C25" s="49">
        <v>2.2000000000000002</v>
      </c>
      <c r="D25" s="49">
        <v>2.2000000000000002</v>
      </c>
      <c r="E25" s="49">
        <v>2.2000000000000002</v>
      </c>
      <c r="F25" s="49">
        <v>2.2000000000000002</v>
      </c>
      <c r="G25" s="49">
        <v>2.2000000000000002</v>
      </c>
      <c r="H25" s="49">
        <v>2.2000000000000002</v>
      </c>
      <c r="I25" s="49">
        <v>2.2000000000000002</v>
      </c>
      <c r="J25" s="49">
        <v>2.2000000000000002</v>
      </c>
      <c r="K25" s="49">
        <v>2.2000000000000002</v>
      </c>
      <c r="L25" s="49">
        <v>2.2000000000000002</v>
      </c>
      <c r="M25" s="49">
        <v>2.2000000000000002</v>
      </c>
      <c r="N25" s="49">
        <v>2.2000000000000002</v>
      </c>
      <c r="O25" s="49">
        <v>2.2000000000000002</v>
      </c>
      <c r="P25" s="49">
        <v>2.2000000000000002</v>
      </c>
      <c r="Q25" s="49">
        <v>2.2000000000000002</v>
      </c>
      <c r="R25" s="49">
        <v>2.2000000000000002</v>
      </c>
      <c r="S25" s="49">
        <v>0</v>
      </c>
      <c r="T25" s="49">
        <v>2.2000000000000002</v>
      </c>
      <c r="U25" s="49">
        <v>2.2000000000000002</v>
      </c>
      <c r="V25" s="49">
        <v>2.2000000000000002</v>
      </c>
      <c r="W25" s="49">
        <v>2.2000000000000002</v>
      </c>
      <c r="X25" s="49">
        <v>2.2000000000000002</v>
      </c>
      <c r="Y25" s="49">
        <v>2.2000000000000002</v>
      </c>
      <c r="Z25" s="201">
        <v>2.2000000000000002</v>
      </c>
      <c r="AA25" s="49">
        <v>2.2000000000000002</v>
      </c>
      <c r="AB25" s="49">
        <v>2.2000000000000002</v>
      </c>
      <c r="AC25" s="218">
        <v>2.2000000000000002</v>
      </c>
      <c r="AD25" s="218">
        <v>2.2000000000000002</v>
      </c>
      <c r="AE25" s="218">
        <v>2.2000000000000002</v>
      </c>
      <c r="AF25" s="218">
        <v>2.2000000000000002</v>
      </c>
      <c r="AG25" s="59">
        <v>12</v>
      </c>
      <c r="AH25" s="52">
        <f>MAX(B25:AF25)</f>
        <v>2.2000000000000002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49">
        <v>8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49">
        <v>10</v>
      </c>
      <c r="M26" s="49">
        <v>10</v>
      </c>
      <c r="N26" s="49">
        <v>10</v>
      </c>
      <c r="O26" s="49">
        <v>10</v>
      </c>
      <c r="P26" s="49">
        <v>10</v>
      </c>
      <c r="Q26" s="49">
        <v>10</v>
      </c>
      <c r="R26" s="49">
        <v>10</v>
      </c>
      <c r="S26" s="49">
        <v>10</v>
      </c>
      <c r="T26" s="49">
        <v>10</v>
      </c>
      <c r="U26" s="49">
        <v>10</v>
      </c>
      <c r="V26" s="49">
        <v>10</v>
      </c>
      <c r="W26" s="49">
        <v>10</v>
      </c>
      <c r="X26" s="49">
        <v>10</v>
      </c>
      <c r="Y26" s="49">
        <v>10</v>
      </c>
      <c r="Z26" s="201">
        <v>10</v>
      </c>
      <c r="AA26" s="49">
        <v>10</v>
      </c>
      <c r="AB26" s="49">
        <v>10</v>
      </c>
      <c r="AC26" s="218">
        <v>10</v>
      </c>
      <c r="AD26" s="218">
        <v>10</v>
      </c>
      <c r="AE26" s="218">
        <v>10</v>
      </c>
      <c r="AF26" s="218">
        <v>0</v>
      </c>
      <c r="AG26" s="59">
        <v>12</v>
      </c>
      <c r="AH26" s="52">
        <f>MAX(B26:AF26)</f>
        <v>10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49">
        <v>8</v>
      </c>
      <c r="C27" s="49">
        <v>8</v>
      </c>
      <c r="D27" s="49">
        <v>8</v>
      </c>
      <c r="E27" s="49">
        <v>8</v>
      </c>
      <c r="F27" s="49">
        <v>8</v>
      </c>
      <c r="G27" s="49">
        <v>8</v>
      </c>
      <c r="H27" s="49">
        <v>8</v>
      </c>
      <c r="I27" s="49">
        <v>8</v>
      </c>
      <c r="J27" s="49">
        <v>8</v>
      </c>
      <c r="K27" s="49">
        <v>8</v>
      </c>
      <c r="L27" s="49">
        <v>8</v>
      </c>
      <c r="M27" s="49">
        <v>8</v>
      </c>
      <c r="N27" s="49">
        <v>8</v>
      </c>
      <c r="O27" s="49">
        <v>8</v>
      </c>
      <c r="P27" s="49">
        <v>8</v>
      </c>
      <c r="Q27" s="49">
        <v>8</v>
      </c>
      <c r="R27" s="49">
        <v>8</v>
      </c>
      <c r="S27" s="49">
        <v>8</v>
      </c>
      <c r="T27" s="49">
        <v>8</v>
      </c>
      <c r="U27" s="49">
        <v>8</v>
      </c>
      <c r="V27" s="49">
        <v>8</v>
      </c>
      <c r="W27" s="49">
        <v>8</v>
      </c>
      <c r="X27" s="49">
        <v>8</v>
      </c>
      <c r="Y27" s="49">
        <v>8</v>
      </c>
      <c r="Z27" s="201">
        <v>8</v>
      </c>
      <c r="AA27" s="49">
        <v>8</v>
      </c>
      <c r="AB27" s="49">
        <v>8</v>
      </c>
      <c r="AC27" s="218">
        <v>8</v>
      </c>
      <c r="AD27" s="218">
        <v>8</v>
      </c>
      <c r="AE27" s="218">
        <v>8</v>
      </c>
      <c r="AF27" s="218">
        <v>8</v>
      </c>
      <c r="AG27" s="59">
        <v>10</v>
      </c>
      <c r="AH27" s="52">
        <f t="shared" si="2"/>
        <v>8</v>
      </c>
      <c r="AI27" s="53">
        <f t="shared" si="3"/>
        <v>8</v>
      </c>
      <c r="AK27" s="54"/>
    </row>
    <row r="28" spans="1:88" x14ac:dyDescent="0.25">
      <c r="A28" s="65" t="s">
        <v>35</v>
      </c>
      <c r="B28" s="56">
        <v>150</v>
      </c>
      <c r="C28" s="56">
        <v>170</v>
      </c>
      <c r="D28" s="56">
        <v>170</v>
      </c>
      <c r="E28" s="56">
        <v>170</v>
      </c>
      <c r="F28" s="56">
        <v>170</v>
      </c>
      <c r="G28" s="56">
        <v>170</v>
      </c>
      <c r="H28" s="56">
        <v>170</v>
      </c>
      <c r="I28" s="56">
        <v>170</v>
      </c>
      <c r="J28" s="56">
        <v>170</v>
      </c>
      <c r="K28" s="56">
        <v>130</v>
      </c>
      <c r="L28" s="56">
        <v>130</v>
      </c>
      <c r="M28" s="56">
        <v>130</v>
      </c>
      <c r="N28" s="56">
        <v>130</v>
      </c>
      <c r="O28" s="56">
        <v>130</v>
      </c>
      <c r="P28" s="56">
        <v>130</v>
      </c>
      <c r="Q28" s="56">
        <v>130</v>
      </c>
      <c r="R28" s="56">
        <v>130</v>
      </c>
      <c r="S28" s="56">
        <v>130</v>
      </c>
      <c r="T28" s="56">
        <v>130</v>
      </c>
      <c r="U28" s="56">
        <v>130</v>
      </c>
      <c r="V28" s="56">
        <v>130</v>
      </c>
      <c r="W28" s="56">
        <v>130</v>
      </c>
      <c r="X28" s="56">
        <v>130</v>
      </c>
      <c r="Y28" s="56">
        <v>130</v>
      </c>
      <c r="Z28" s="202">
        <v>130</v>
      </c>
      <c r="AA28" s="56">
        <v>130</v>
      </c>
      <c r="AB28" s="56">
        <v>130</v>
      </c>
      <c r="AC28" s="56">
        <v>130</v>
      </c>
      <c r="AD28" s="56">
        <v>130</v>
      </c>
      <c r="AE28" s="56">
        <v>130</v>
      </c>
      <c r="AF28" s="56">
        <v>130</v>
      </c>
      <c r="AG28" s="59">
        <v>85</v>
      </c>
      <c r="AH28" s="52">
        <f t="shared" si="2"/>
        <v>170</v>
      </c>
      <c r="AI28" s="53">
        <f t="shared" si="3"/>
        <v>130</v>
      </c>
      <c r="AK28" s="54"/>
    </row>
    <row r="29" spans="1:88" ht="15.75" thickBot="1" x14ac:dyDescent="0.3">
      <c r="A29" s="66" t="s">
        <v>36</v>
      </c>
      <c r="B29" s="56">
        <v>98</v>
      </c>
      <c r="C29" s="56">
        <v>110.3</v>
      </c>
      <c r="D29" s="56">
        <v>106</v>
      </c>
      <c r="E29" s="56">
        <v>104.9</v>
      </c>
      <c r="F29" s="56">
        <v>99.7</v>
      </c>
      <c r="G29" s="56">
        <v>98.7</v>
      </c>
      <c r="H29" s="56">
        <v>94.8</v>
      </c>
      <c r="I29" s="56">
        <v>100</v>
      </c>
      <c r="J29" s="56">
        <v>101.4</v>
      </c>
      <c r="K29" s="56">
        <v>62</v>
      </c>
      <c r="L29" s="67">
        <v>92.1</v>
      </c>
      <c r="M29" s="67">
        <v>94.4</v>
      </c>
      <c r="N29" s="67">
        <v>85</v>
      </c>
      <c r="O29" s="67">
        <v>94</v>
      </c>
      <c r="P29" s="67">
        <v>90.8</v>
      </c>
      <c r="Q29" s="67">
        <v>88.2</v>
      </c>
      <c r="R29" s="67">
        <v>88.2</v>
      </c>
      <c r="S29" s="67">
        <v>0.4</v>
      </c>
      <c r="T29" s="67">
        <v>92.6</v>
      </c>
      <c r="U29" s="67">
        <v>106.4</v>
      </c>
      <c r="V29" s="67">
        <v>116.5</v>
      </c>
      <c r="W29" s="67">
        <v>118.3</v>
      </c>
      <c r="X29" s="67">
        <v>118.6</v>
      </c>
      <c r="Y29" s="67">
        <v>125.6</v>
      </c>
      <c r="Z29" s="204">
        <v>121.1</v>
      </c>
      <c r="AA29" s="67">
        <v>110</v>
      </c>
      <c r="AB29" s="67">
        <v>107</v>
      </c>
      <c r="AC29" s="67">
        <v>108</v>
      </c>
      <c r="AD29" s="67">
        <v>105</v>
      </c>
      <c r="AE29" s="56">
        <v>106</v>
      </c>
      <c r="AF29" s="56">
        <v>106.6</v>
      </c>
      <c r="AG29" s="59">
        <v>240</v>
      </c>
      <c r="AH29" s="52">
        <f t="shared" si="2"/>
        <v>125.6</v>
      </c>
      <c r="AI29" s="53">
        <f t="shared" si="3"/>
        <v>0.4</v>
      </c>
      <c r="AK29" s="54"/>
    </row>
    <row r="30" spans="1:88" ht="15.75" thickBot="1" x14ac:dyDescent="0.3">
      <c r="A30" s="68" t="s">
        <v>37</v>
      </c>
      <c r="B30" s="69">
        <f>SUM(B11:B28)</f>
        <v>478.3</v>
      </c>
      <c r="C30" s="69">
        <f t="shared" ref="C30:AF30" si="4">SUM(C11:C28)</f>
        <v>501.2</v>
      </c>
      <c r="D30" s="69">
        <f t="shared" si="4"/>
        <v>502.9</v>
      </c>
      <c r="E30" s="69">
        <f t="shared" si="4"/>
        <v>502.1</v>
      </c>
      <c r="F30" s="69">
        <f t="shared" si="4"/>
        <v>504.7</v>
      </c>
      <c r="G30" s="69">
        <f t="shared" si="4"/>
        <v>503.90000000000003</v>
      </c>
      <c r="H30" s="69">
        <f t="shared" si="4"/>
        <v>503.3</v>
      </c>
      <c r="I30" s="69">
        <f t="shared" si="4"/>
        <v>501.90000000000003</v>
      </c>
      <c r="J30" s="69">
        <f t="shared" si="4"/>
        <v>502.00000000000006</v>
      </c>
      <c r="K30" s="69">
        <f t="shared" si="4"/>
        <v>459.90000000000003</v>
      </c>
      <c r="L30" s="69">
        <f t="shared" si="4"/>
        <v>456.91100000000006</v>
      </c>
      <c r="M30" s="69">
        <f t="shared" si="4"/>
        <v>456.91100000000006</v>
      </c>
      <c r="N30" s="69">
        <f t="shared" si="4"/>
        <v>447.90000000000003</v>
      </c>
      <c r="O30" s="69">
        <f t="shared" si="4"/>
        <v>446.3</v>
      </c>
      <c r="P30" s="69">
        <f t="shared" si="4"/>
        <v>441.8</v>
      </c>
      <c r="Q30" s="69">
        <f t="shared" si="4"/>
        <v>443.10000000000008</v>
      </c>
      <c r="R30" s="69">
        <f t="shared" si="4"/>
        <v>440.90000000000003</v>
      </c>
      <c r="S30" s="69">
        <f t="shared" si="4"/>
        <v>385.5</v>
      </c>
      <c r="T30" s="69">
        <f t="shared" si="4"/>
        <v>440.6</v>
      </c>
      <c r="U30" s="69">
        <f t="shared" si="4"/>
        <v>443.6</v>
      </c>
      <c r="V30" s="69">
        <f>SUM(V11:V28)</f>
        <v>444.8</v>
      </c>
      <c r="W30" s="69">
        <f t="shared" si="4"/>
        <v>444.3</v>
      </c>
      <c r="X30" s="69">
        <f t="shared" si="4"/>
        <v>450.3</v>
      </c>
      <c r="Y30" s="69">
        <f t="shared" si="4"/>
        <v>450.50000000000006</v>
      </c>
      <c r="Z30" s="69">
        <f t="shared" si="4"/>
        <v>467.20000000000005</v>
      </c>
      <c r="AA30" s="69">
        <f t="shared" si="4"/>
        <v>469.50000000000006</v>
      </c>
      <c r="AB30" s="69">
        <f t="shared" si="4"/>
        <v>477.1</v>
      </c>
      <c r="AC30" s="69">
        <f t="shared" si="4"/>
        <v>472</v>
      </c>
      <c r="AD30" s="69">
        <f t="shared" si="4"/>
        <v>473.70000000000005</v>
      </c>
      <c r="AE30" s="69">
        <f t="shared" si="4"/>
        <v>470.8</v>
      </c>
      <c r="AF30" s="69">
        <f t="shared" si="4"/>
        <v>461.1</v>
      </c>
      <c r="AG30" s="59">
        <f>SUM(AG11:AG29)</f>
        <v>729.2</v>
      </c>
      <c r="AH30" s="52">
        <f t="shared" si="2"/>
        <v>504.7</v>
      </c>
      <c r="AI30" s="53">
        <f t="shared" si="3"/>
        <v>385.5</v>
      </c>
      <c r="AK30" s="54"/>
    </row>
    <row r="31" spans="1:88" ht="15.75" x14ac:dyDescent="0.25">
      <c r="A31" s="55" t="s">
        <v>38</v>
      </c>
      <c r="B31" s="48">
        <v>143.19999999999999</v>
      </c>
      <c r="C31" s="56">
        <v>143.6</v>
      </c>
      <c r="D31" s="56">
        <v>142.5</v>
      </c>
      <c r="E31" s="56">
        <v>142.5</v>
      </c>
      <c r="F31" s="56">
        <v>142.80000000000001</v>
      </c>
      <c r="G31" s="56">
        <v>142.80000000000001</v>
      </c>
      <c r="H31" s="56">
        <v>142.80000000000001</v>
      </c>
      <c r="I31" s="56">
        <v>142.9</v>
      </c>
      <c r="J31" s="56">
        <v>144.1</v>
      </c>
      <c r="K31" s="56">
        <v>143.4</v>
      </c>
      <c r="L31" s="49">
        <v>143.4</v>
      </c>
      <c r="M31" s="49">
        <v>143.4</v>
      </c>
      <c r="N31" s="49">
        <v>143.9</v>
      </c>
      <c r="O31" s="49">
        <v>144.19999999999999</v>
      </c>
      <c r="P31" s="49">
        <v>144.19999999999999</v>
      </c>
      <c r="Q31" s="49">
        <v>144</v>
      </c>
      <c r="R31" s="49">
        <v>143.9</v>
      </c>
      <c r="S31" s="49">
        <v>143.9</v>
      </c>
      <c r="T31" s="49">
        <v>126.4</v>
      </c>
      <c r="U31" s="49">
        <v>126.2</v>
      </c>
      <c r="V31" s="49">
        <v>126.5</v>
      </c>
      <c r="W31" s="49">
        <v>126.3</v>
      </c>
      <c r="X31" s="49">
        <v>121.5</v>
      </c>
      <c r="Y31" s="49">
        <v>120.6</v>
      </c>
      <c r="Z31" s="206">
        <v>128.80000000000001</v>
      </c>
      <c r="AA31" s="49">
        <v>143.19999999999999</v>
      </c>
      <c r="AB31" s="48">
        <v>143.30000000000001</v>
      </c>
      <c r="AC31" s="48">
        <v>143</v>
      </c>
      <c r="AD31" s="48">
        <v>143</v>
      </c>
      <c r="AE31" s="48">
        <v>142.5</v>
      </c>
      <c r="AF31" s="48">
        <v>142</v>
      </c>
      <c r="AG31" s="57">
        <v>144</v>
      </c>
      <c r="AH31" s="52">
        <f t="shared" si="2"/>
        <v>144.19999999999999</v>
      </c>
      <c r="AI31" s="53">
        <f t="shared" si="3"/>
        <v>120.6</v>
      </c>
      <c r="AK31" s="54"/>
    </row>
    <row r="32" spans="1:88" ht="15.75" x14ac:dyDescent="0.25">
      <c r="A32" s="58" t="s">
        <v>39</v>
      </c>
      <c r="B32" s="56">
        <v>71</v>
      </c>
      <c r="C32" s="56">
        <v>70.8</v>
      </c>
      <c r="D32" s="56">
        <v>70.900000000000006</v>
      </c>
      <c r="E32" s="56">
        <v>70.8</v>
      </c>
      <c r="F32" s="56">
        <v>71.099999999999994</v>
      </c>
      <c r="G32" s="56">
        <v>72.400000000000006</v>
      </c>
      <c r="H32" s="56">
        <v>70.3</v>
      </c>
      <c r="I32" s="56">
        <v>70</v>
      </c>
      <c r="J32" s="56">
        <v>70.900000000000006</v>
      </c>
      <c r="K32" s="56">
        <v>70.900000000000006</v>
      </c>
      <c r="L32" s="70">
        <v>69</v>
      </c>
      <c r="M32" s="70">
        <v>69</v>
      </c>
      <c r="N32" s="70">
        <v>69</v>
      </c>
      <c r="O32" s="70">
        <v>69.2</v>
      </c>
      <c r="P32" s="70">
        <v>69.3</v>
      </c>
      <c r="Q32" s="70">
        <v>71.400000000000006</v>
      </c>
      <c r="R32" s="70">
        <v>71</v>
      </c>
      <c r="S32" s="70">
        <v>71.099999999999994</v>
      </c>
      <c r="T32" s="70">
        <v>55.2</v>
      </c>
      <c r="U32" s="70">
        <v>56.4</v>
      </c>
      <c r="V32" s="70">
        <v>57.5</v>
      </c>
      <c r="W32" s="70">
        <v>55.5</v>
      </c>
      <c r="X32" s="70">
        <v>55.9</v>
      </c>
      <c r="Y32" s="70">
        <v>55.6</v>
      </c>
      <c r="Z32" s="206">
        <v>56.3</v>
      </c>
      <c r="AA32" s="70">
        <v>70.2</v>
      </c>
      <c r="AB32" s="70">
        <v>69.8</v>
      </c>
      <c r="AC32" s="70">
        <v>70</v>
      </c>
      <c r="AD32" s="56">
        <v>70.599999999999994</v>
      </c>
      <c r="AE32" s="56">
        <v>70.400000000000006</v>
      </c>
      <c r="AF32" s="56">
        <v>70</v>
      </c>
      <c r="AG32" s="59">
        <v>70</v>
      </c>
      <c r="AH32" s="52">
        <f t="shared" si="2"/>
        <v>72.400000000000006</v>
      </c>
      <c r="AI32" s="53">
        <f t="shared" si="3"/>
        <v>55.2</v>
      </c>
      <c r="AK32" s="54"/>
    </row>
    <row r="33" spans="1:41" ht="15.75" x14ac:dyDescent="0.25">
      <c r="A33" s="58" t="s">
        <v>40</v>
      </c>
      <c r="B33" s="56">
        <v>62.2</v>
      </c>
      <c r="C33" s="56">
        <v>62.4</v>
      </c>
      <c r="D33" s="56">
        <v>62.9</v>
      </c>
      <c r="E33" s="56">
        <v>62.4</v>
      </c>
      <c r="F33" s="56">
        <v>62.6</v>
      </c>
      <c r="G33" s="56">
        <v>62.5</v>
      </c>
      <c r="H33" s="56">
        <v>62.8</v>
      </c>
      <c r="I33" s="56">
        <v>62</v>
      </c>
      <c r="J33" s="56">
        <v>62.5</v>
      </c>
      <c r="K33" s="56">
        <v>62.9</v>
      </c>
      <c r="L33" s="70">
        <v>62.4</v>
      </c>
      <c r="M33" s="70">
        <v>62.4</v>
      </c>
      <c r="N33" s="70">
        <v>62.4</v>
      </c>
      <c r="O33" s="70">
        <v>61.4</v>
      </c>
      <c r="P33" s="70">
        <v>62.1</v>
      </c>
      <c r="Q33" s="70">
        <v>63.5</v>
      </c>
      <c r="R33" s="70">
        <v>63.2</v>
      </c>
      <c r="S33" s="70">
        <v>43.7</v>
      </c>
      <c r="T33" s="70">
        <v>44.8</v>
      </c>
      <c r="U33" s="70">
        <v>46.1</v>
      </c>
      <c r="V33" s="70">
        <v>46.2</v>
      </c>
      <c r="W33" s="70">
        <v>55</v>
      </c>
      <c r="X33" s="70">
        <v>55.4</v>
      </c>
      <c r="Y33" s="70">
        <v>56.7</v>
      </c>
      <c r="Z33" s="206">
        <v>62.5</v>
      </c>
      <c r="AA33" s="70">
        <v>62.6</v>
      </c>
      <c r="AB33" s="70">
        <v>62.2</v>
      </c>
      <c r="AC33" s="70">
        <v>62.4</v>
      </c>
      <c r="AD33" s="56">
        <v>64.3</v>
      </c>
      <c r="AE33" s="56">
        <v>61.6</v>
      </c>
      <c r="AF33" s="56">
        <v>62</v>
      </c>
      <c r="AG33" s="59">
        <v>69</v>
      </c>
      <c r="AH33" s="52">
        <f t="shared" si="2"/>
        <v>64.3</v>
      </c>
      <c r="AI33" s="53">
        <f t="shared" si="3"/>
        <v>43.7</v>
      </c>
      <c r="AK33" s="54"/>
    </row>
    <row r="34" spans="1:41" ht="15.75" x14ac:dyDescent="0.25">
      <c r="A34" s="58" t="s">
        <v>41</v>
      </c>
      <c r="B34" s="56">
        <v>28.5</v>
      </c>
      <c r="C34" s="56">
        <v>28.7</v>
      </c>
      <c r="D34" s="56">
        <v>28.5</v>
      </c>
      <c r="E34" s="56">
        <v>28.5</v>
      </c>
      <c r="F34" s="56">
        <v>28.7</v>
      </c>
      <c r="G34" s="56">
        <v>28.5</v>
      </c>
      <c r="H34" s="56">
        <v>28.2</v>
      </c>
      <c r="I34" s="56">
        <v>28.5</v>
      </c>
      <c r="J34" s="56">
        <v>28.5</v>
      </c>
      <c r="K34" s="56">
        <v>28.5</v>
      </c>
      <c r="L34" s="70">
        <v>28.5</v>
      </c>
      <c r="M34" s="70">
        <v>28.5</v>
      </c>
      <c r="N34" s="70">
        <v>28.5</v>
      </c>
      <c r="O34" s="70">
        <v>28.2</v>
      </c>
      <c r="P34" s="70">
        <v>28.2</v>
      </c>
      <c r="Q34" s="70">
        <v>28.7</v>
      </c>
      <c r="R34" s="70">
        <v>28.7</v>
      </c>
      <c r="S34" s="70">
        <v>28.5</v>
      </c>
      <c r="T34" s="70">
        <v>25.8</v>
      </c>
      <c r="U34" s="70">
        <v>28.5</v>
      </c>
      <c r="V34" s="70">
        <v>28.7</v>
      </c>
      <c r="W34" s="70">
        <v>28.5</v>
      </c>
      <c r="X34" s="70">
        <v>28.5</v>
      </c>
      <c r="Y34" s="70">
        <v>28.5</v>
      </c>
      <c r="Z34" s="206">
        <v>28.5</v>
      </c>
      <c r="AA34" s="70">
        <v>28.5</v>
      </c>
      <c r="AB34" s="219">
        <v>28.5</v>
      </c>
      <c r="AC34" s="219">
        <v>28.5</v>
      </c>
      <c r="AD34" s="219">
        <v>28.5</v>
      </c>
      <c r="AE34" s="219">
        <v>28.5</v>
      </c>
      <c r="AF34" s="219">
        <v>28.5</v>
      </c>
      <c r="AG34" s="59">
        <v>60</v>
      </c>
      <c r="AH34" s="52">
        <f t="shared" si="2"/>
        <v>28.7</v>
      </c>
      <c r="AI34" s="53">
        <f t="shared" si="3"/>
        <v>25.8</v>
      </c>
      <c r="AK34" s="54"/>
    </row>
    <row r="35" spans="1:41" ht="15.75" x14ac:dyDescent="0.25">
      <c r="A35" s="58" t="s">
        <v>42</v>
      </c>
      <c r="B35" s="56">
        <v>25</v>
      </c>
      <c r="C35" s="56">
        <v>25</v>
      </c>
      <c r="D35" s="56">
        <v>29.8</v>
      </c>
      <c r="E35" s="56">
        <v>23.8</v>
      </c>
      <c r="F35" s="56">
        <v>21.4</v>
      </c>
      <c r="G35" s="56">
        <v>21.3</v>
      </c>
      <c r="H35" s="56">
        <v>20.399999999999999</v>
      </c>
      <c r="I35" s="56">
        <v>26.3</v>
      </c>
      <c r="J35" s="56">
        <v>26.4</v>
      </c>
      <c r="K35" s="56">
        <v>26</v>
      </c>
      <c r="L35" s="49">
        <v>26.5</v>
      </c>
      <c r="M35" s="49">
        <v>26.5</v>
      </c>
      <c r="N35" s="49">
        <v>30</v>
      </c>
      <c r="O35" s="49">
        <v>30</v>
      </c>
      <c r="P35" s="49">
        <v>30</v>
      </c>
      <c r="Q35" s="49">
        <v>30</v>
      </c>
      <c r="R35" s="49">
        <v>30</v>
      </c>
      <c r="S35" s="49">
        <v>29.8</v>
      </c>
      <c r="T35" s="49">
        <v>29.7</v>
      </c>
      <c r="U35" s="49">
        <v>29.5</v>
      </c>
      <c r="V35" s="70">
        <v>29.5</v>
      </c>
      <c r="W35" s="70">
        <v>29.4</v>
      </c>
      <c r="X35" s="70">
        <v>29.4</v>
      </c>
      <c r="Y35" s="70">
        <v>29.6</v>
      </c>
      <c r="Z35" s="205">
        <v>29.5</v>
      </c>
      <c r="AA35" s="70">
        <v>29.4</v>
      </c>
      <c r="AB35" s="70">
        <v>30</v>
      </c>
      <c r="AC35" s="70">
        <v>29.3</v>
      </c>
      <c r="AD35" s="70">
        <v>29.3</v>
      </c>
      <c r="AE35" s="56">
        <v>29.3</v>
      </c>
      <c r="AF35" s="224">
        <v>29.3</v>
      </c>
      <c r="AG35" s="59">
        <v>30</v>
      </c>
      <c r="AH35" s="52">
        <f t="shared" si="2"/>
        <v>30</v>
      </c>
      <c r="AI35" s="53">
        <f t="shared" si="3"/>
        <v>20.399999999999999</v>
      </c>
      <c r="AK35" s="54"/>
    </row>
    <row r="36" spans="1:41" ht="15.75" x14ac:dyDescent="0.25">
      <c r="A36" s="58" t="s">
        <v>43</v>
      </c>
      <c r="B36" s="56">
        <v>16.5</v>
      </c>
      <c r="C36" s="71">
        <v>17</v>
      </c>
      <c r="D36" s="71">
        <v>16.5</v>
      </c>
      <c r="E36" s="71">
        <v>16.399999999999999</v>
      </c>
      <c r="F36" s="71">
        <v>16.5</v>
      </c>
      <c r="G36" s="71">
        <v>16.5</v>
      </c>
      <c r="H36" s="71">
        <v>16.5</v>
      </c>
      <c r="I36" s="71">
        <v>16.399999999999999</v>
      </c>
      <c r="J36" s="71">
        <v>16.5</v>
      </c>
      <c r="K36" s="71">
        <v>16.5</v>
      </c>
      <c r="L36" s="49">
        <v>16.5</v>
      </c>
      <c r="M36" s="49">
        <v>16.5</v>
      </c>
      <c r="N36" s="49">
        <v>16.5</v>
      </c>
      <c r="O36" s="49">
        <v>16.5</v>
      </c>
      <c r="P36" s="49">
        <v>16.5</v>
      </c>
      <c r="Q36" s="49">
        <v>16.5</v>
      </c>
      <c r="R36" s="49">
        <v>16.5</v>
      </c>
      <c r="S36" s="49">
        <v>16.5</v>
      </c>
      <c r="T36" s="49">
        <v>16.399999999999999</v>
      </c>
      <c r="U36" s="49">
        <v>16.5</v>
      </c>
      <c r="V36" s="49">
        <v>16.399999999999999</v>
      </c>
      <c r="W36" s="49">
        <v>16.399999999999999</v>
      </c>
      <c r="X36" s="49">
        <v>16.399999999999999</v>
      </c>
      <c r="Y36" s="49">
        <v>16.5</v>
      </c>
      <c r="Z36" s="205">
        <v>16.5</v>
      </c>
      <c r="AA36" s="214">
        <v>16.5</v>
      </c>
      <c r="AB36" s="214">
        <v>16.5</v>
      </c>
      <c r="AC36" s="214">
        <v>16.5</v>
      </c>
      <c r="AD36" s="214">
        <v>16.5</v>
      </c>
      <c r="AE36" s="214">
        <v>16.5</v>
      </c>
      <c r="AF36" s="214">
        <v>16.5</v>
      </c>
      <c r="AG36" s="59">
        <v>24</v>
      </c>
      <c r="AH36" s="52">
        <f t="shared" si="2"/>
        <v>17</v>
      </c>
      <c r="AI36" s="53">
        <f t="shared" si="3"/>
        <v>16.399999999999999</v>
      </c>
      <c r="AK36" s="54"/>
    </row>
    <row r="37" spans="1:41" ht="15.75" x14ac:dyDescent="0.25">
      <c r="A37" s="58" t="s">
        <v>44</v>
      </c>
      <c r="B37" s="56">
        <v>2.1</v>
      </c>
      <c r="C37" s="56">
        <v>2.1</v>
      </c>
      <c r="D37" s="56">
        <v>2.1</v>
      </c>
      <c r="E37" s="56">
        <v>2.1</v>
      </c>
      <c r="F37" s="56">
        <v>2.1</v>
      </c>
      <c r="G37" s="56">
        <v>2.1</v>
      </c>
      <c r="H37" s="56">
        <v>2.4</v>
      </c>
      <c r="I37" s="56">
        <v>2.5</v>
      </c>
      <c r="J37" s="56">
        <v>2.6</v>
      </c>
      <c r="K37" s="56">
        <v>2.6</v>
      </c>
      <c r="L37" s="49">
        <v>2.1</v>
      </c>
      <c r="M37" s="49">
        <v>2.1</v>
      </c>
      <c r="N37" s="49">
        <v>2.1</v>
      </c>
      <c r="O37" s="49">
        <v>2.1</v>
      </c>
      <c r="P37" s="49">
        <v>0</v>
      </c>
      <c r="Q37" s="49">
        <v>0</v>
      </c>
      <c r="R37" s="49">
        <v>0</v>
      </c>
      <c r="S37" s="49">
        <v>2.1</v>
      </c>
      <c r="T37" s="49">
        <v>2.1</v>
      </c>
      <c r="U37" s="49">
        <v>2.1</v>
      </c>
      <c r="V37" s="49">
        <v>2.1</v>
      </c>
      <c r="W37" s="49">
        <v>2.1</v>
      </c>
      <c r="X37" s="49">
        <v>2.1</v>
      </c>
      <c r="Y37" s="49">
        <v>2.1</v>
      </c>
      <c r="Z37" s="205">
        <v>2.1</v>
      </c>
      <c r="AA37" s="214">
        <v>2.1</v>
      </c>
      <c r="AB37" s="214">
        <v>2.1</v>
      </c>
      <c r="AC37" s="214">
        <v>2.1</v>
      </c>
      <c r="AD37" s="214">
        <v>2.1</v>
      </c>
      <c r="AE37" s="214">
        <v>2.1</v>
      </c>
      <c r="AF37" s="214">
        <v>2.1</v>
      </c>
      <c r="AG37" s="59">
        <v>15</v>
      </c>
      <c r="AH37" s="52">
        <f t="shared" si="2"/>
        <v>2.6</v>
      </c>
      <c r="AI37" s="53">
        <f t="shared" si="3"/>
        <v>0</v>
      </c>
      <c r="AK37" s="54"/>
    </row>
    <row r="38" spans="1:41" ht="15.75" x14ac:dyDescent="0.25">
      <c r="A38" s="58" t="s">
        <v>45</v>
      </c>
      <c r="B38" s="56">
        <v>12</v>
      </c>
      <c r="C38" s="56">
        <v>13</v>
      </c>
      <c r="D38" s="56">
        <v>13</v>
      </c>
      <c r="E38" s="56">
        <v>13</v>
      </c>
      <c r="F38" s="56">
        <v>13</v>
      </c>
      <c r="G38" s="56">
        <v>13</v>
      </c>
      <c r="H38" s="56">
        <v>13</v>
      </c>
      <c r="I38" s="56">
        <v>13</v>
      </c>
      <c r="J38" s="56">
        <v>13</v>
      </c>
      <c r="K38" s="56">
        <v>13</v>
      </c>
      <c r="L38" s="56">
        <v>13</v>
      </c>
      <c r="M38" s="56">
        <v>13</v>
      </c>
      <c r="N38" s="56">
        <v>13</v>
      </c>
      <c r="O38" s="56">
        <v>13</v>
      </c>
      <c r="P38" s="56">
        <v>13</v>
      </c>
      <c r="Q38" s="56">
        <v>13</v>
      </c>
      <c r="R38" s="56">
        <v>13</v>
      </c>
      <c r="S38" s="56">
        <v>13</v>
      </c>
      <c r="T38" s="56">
        <v>13</v>
      </c>
      <c r="U38" s="49">
        <v>10</v>
      </c>
      <c r="V38" s="49">
        <v>10</v>
      </c>
      <c r="W38" s="49">
        <v>10</v>
      </c>
      <c r="X38" s="49">
        <v>10</v>
      </c>
      <c r="Y38" s="49">
        <v>10</v>
      </c>
      <c r="Z38" s="205">
        <v>10</v>
      </c>
      <c r="AA38" s="214">
        <v>10</v>
      </c>
      <c r="AB38" s="214">
        <v>10</v>
      </c>
      <c r="AC38" s="214">
        <v>10</v>
      </c>
      <c r="AD38" s="214">
        <v>10</v>
      </c>
      <c r="AE38" s="214">
        <v>10</v>
      </c>
      <c r="AF38" s="214">
        <v>10</v>
      </c>
      <c r="AG38" s="59">
        <v>14.1</v>
      </c>
      <c r="AH38" s="52">
        <f t="shared" si="2"/>
        <v>13</v>
      </c>
      <c r="AI38" s="53">
        <f t="shared" si="3"/>
        <v>10</v>
      </c>
      <c r="AK38" s="54"/>
      <c r="AL38" s="64"/>
      <c r="AO38" s="64"/>
    </row>
    <row r="39" spans="1:41" s="64" customFormat="1" ht="15.75" x14ac:dyDescent="0.25">
      <c r="A39" s="72" t="s">
        <v>46</v>
      </c>
      <c r="B39" s="56">
        <v>8</v>
      </c>
      <c r="C39" s="56">
        <v>12</v>
      </c>
      <c r="D39" s="56">
        <v>12</v>
      </c>
      <c r="E39" s="56">
        <v>12</v>
      </c>
      <c r="F39" s="56">
        <v>12</v>
      </c>
      <c r="G39" s="56">
        <v>12</v>
      </c>
      <c r="H39" s="56">
        <v>12</v>
      </c>
      <c r="I39" s="56">
        <v>12</v>
      </c>
      <c r="J39" s="56">
        <v>12</v>
      </c>
      <c r="K39" s="56">
        <v>12</v>
      </c>
      <c r="L39" s="49">
        <v>12</v>
      </c>
      <c r="M39" s="49">
        <v>12</v>
      </c>
      <c r="N39" s="49">
        <v>12</v>
      </c>
      <c r="O39" s="49">
        <v>12</v>
      </c>
      <c r="P39" s="49">
        <v>12</v>
      </c>
      <c r="Q39" s="49">
        <v>12</v>
      </c>
      <c r="R39" s="49">
        <v>12</v>
      </c>
      <c r="S39" s="49">
        <v>12</v>
      </c>
      <c r="T39" s="49">
        <v>12</v>
      </c>
      <c r="U39" s="49">
        <v>12</v>
      </c>
      <c r="V39" s="49">
        <v>12</v>
      </c>
      <c r="W39" s="49">
        <v>12</v>
      </c>
      <c r="X39" s="49">
        <v>12</v>
      </c>
      <c r="Y39" s="49">
        <v>12</v>
      </c>
      <c r="Z39" s="205">
        <v>12</v>
      </c>
      <c r="AA39" s="214">
        <v>12</v>
      </c>
      <c r="AB39" s="214">
        <v>12</v>
      </c>
      <c r="AC39" s="214">
        <v>12</v>
      </c>
      <c r="AD39" s="214">
        <v>12</v>
      </c>
      <c r="AE39" s="214">
        <v>12</v>
      </c>
      <c r="AF39" s="214">
        <v>12</v>
      </c>
      <c r="AG39" s="59">
        <v>14</v>
      </c>
      <c r="AH39" s="52">
        <f t="shared" si="2"/>
        <v>12</v>
      </c>
      <c r="AI39" s="53">
        <f t="shared" si="3"/>
        <v>8</v>
      </c>
      <c r="AJ39" s="1"/>
      <c r="AK39" s="54"/>
      <c r="AL39"/>
      <c r="AM39"/>
      <c r="AN39"/>
      <c r="AO39"/>
    </row>
    <row r="40" spans="1:41" ht="15.75" x14ac:dyDescent="0.25">
      <c r="A40" s="58" t="s">
        <v>47</v>
      </c>
      <c r="B40" s="56">
        <v>8.6999999999999993</v>
      </c>
      <c r="C40" s="56">
        <v>9.3000000000000007</v>
      </c>
      <c r="D40" s="56">
        <v>9.3000000000000007</v>
      </c>
      <c r="E40" s="56">
        <v>9.3000000000000007</v>
      </c>
      <c r="F40" s="56">
        <v>9.3000000000000007</v>
      </c>
      <c r="G40" s="56">
        <v>9.3000000000000007</v>
      </c>
      <c r="H40" s="56">
        <v>9.3000000000000007</v>
      </c>
      <c r="I40" s="56">
        <v>9.3000000000000007</v>
      </c>
      <c r="J40" s="56">
        <v>9.3000000000000007</v>
      </c>
      <c r="K40" s="56">
        <v>9.3000000000000007</v>
      </c>
      <c r="L40" s="56">
        <v>9.1999999999999993</v>
      </c>
      <c r="M40" s="56">
        <v>9.1999999999999993</v>
      </c>
      <c r="N40" s="56">
        <v>9.1999999999999993</v>
      </c>
      <c r="O40" s="56">
        <v>7.1</v>
      </c>
      <c r="P40" s="56">
        <v>7.7</v>
      </c>
      <c r="Q40" s="56">
        <v>5.9</v>
      </c>
      <c r="R40" s="56">
        <v>5.9</v>
      </c>
      <c r="S40" s="49">
        <v>9.3000000000000007</v>
      </c>
      <c r="T40" s="49">
        <v>9</v>
      </c>
      <c r="U40" s="49">
        <v>8.6</v>
      </c>
      <c r="V40" s="49">
        <v>8.8000000000000007</v>
      </c>
      <c r="W40" s="49">
        <v>9.1999999999999993</v>
      </c>
      <c r="X40" s="49">
        <v>9.1</v>
      </c>
      <c r="Y40" s="49">
        <v>9.1</v>
      </c>
      <c r="Z40" s="205">
        <v>9.1</v>
      </c>
      <c r="AA40" s="214">
        <v>9.1</v>
      </c>
      <c r="AB40" s="214">
        <v>9.1</v>
      </c>
      <c r="AC40" s="214">
        <v>9.1</v>
      </c>
      <c r="AD40" s="214">
        <v>9.1</v>
      </c>
      <c r="AE40" s="214">
        <v>9.1</v>
      </c>
      <c r="AF40" s="214">
        <v>9.1</v>
      </c>
      <c r="AG40" s="59">
        <v>10.050000000000001</v>
      </c>
      <c r="AH40" s="52">
        <f t="shared" si="2"/>
        <v>9.3000000000000007</v>
      </c>
      <c r="AI40" s="53">
        <f t="shared" si="3"/>
        <v>5.9</v>
      </c>
      <c r="AK40" s="54"/>
    </row>
    <row r="41" spans="1:41" x14ac:dyDescent="0.25">
      <c r="A41" s="58" t="s">
        <v>48</v>
      </c>
      <c r="B41" s="56">
        <v>5</v>
      </c>
      <c r="C41" s="56">
        <v>5</v>
      </c>
      <c r="D41" s="56">
        <v>5</v>
      </c>
      <c r="E41" s="56">
        <v>5</v>
      </c>
      <c r="F41" s="56">
        <v>5</v>
      </c>
      <c r="G41" s="56">
        <v>5</v>
      </c>
      <c r="H41" s="56">
        <v>5</v>
      </c>
      <c r="I41" s="56">
        <v>5</v>
      </c>
      <c r="J41" s="56">
        <v>5</v>
      </c>
      <c r="K41" s="56">
        <v>5</v>
      </c>
      <c r="L41" s="56">
        <v>5</v>
      </c>
      <c r="M41" s="56">
        <v>5</v>
      </c>
      <c r="N41" s="56">
        <v>5</v>
      </c>
      <c r="O41" s="56">
        <v>5</v>
      </c>
      <c r="P41" s="56">
        <v>5</v>
      </c>
      <c r="Q41" s="56">
        <v>5</v>
      </c>
      <c r="R41" s="56">
        <v>5</v>
      </c>
      <c r="S41" s="49">
        <v>5</v>
      </c>
      <c r="T41" s="49">
        <v>5</v>
      </c>
      <c r="U41" s="49">
        <v>5</v>
      </c>
      <c r="V41" s="49">
        <v>5</v>
      </c>
      <c r="W41" s="49">
        <v>5</v>
      </c>
      <c r="X41" s="49">
        <v>5</v>
      </c>
      <c r="Y41" s="49">
        <v>5</v>
      </c>
      <c r="Z41" s="207">
        <v>5</v>
      </c>
      <c r="AA41" s="218">
        <v>5</v>
      </c>
      <c r="AB41" s="218">
        <v>5</v>
      </c>
      <c r="AC41" s="218">
        <v>5</v>
      </c>
      <c r="AD41" s="218">
        <v>5</v>
      </c>
      <c r="AE41" s="218">
        <v>5</v>
      </c>
      <c r="AF41" s="218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73">
        <f>B180</f>
        <v>3.54</v>
      </c>
      <c r="C42" s="73">
        <f t="shared" ref="C42:AF42" si="5">C180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209"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AG180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>SUM(B31:B42)</f>
        <v>385.74</v>
      </c>
      <c r="C43" s="69">
        <f t="shared" ref="C43:AF43" si="6">SUM(C31:C42)</f>
        <v>392.44</v>
      </c>
      <c r="D43" s="69">
        <f t="shared" si="6"/>
        <v>396.04000000000008</v>
      </c>
      <c r="E43" s="69">
        <f t="shared" si="6"/>
        <v>389.34000000000003</v>
      </c>
      <c r="F43" s="69">
        <f t="shared" si="6"/>
        <v>388.04</v>
      </c>
      <c r="G43" s="69">
        <f t="shared" si="6"/>
        <v>388.94000000000011</v>
      </c>
      <c r="H43" s="69">
        <f t="shared" si="6"/>
        <v>386.24</v>
      </c>
      <c r="I43" s="69">
        <f t="shared" si="6"/>
        <v>391.44</v>
      </c>
      <c r="J43" s="69">
        <f t="shared" si="6"/>
        <v>394.34000000000003</v>
      </c>
      <c r="K43" s="69">
        <f t="shared" si="6"/>
        <v>393.64000000000004</v>
      </c>
      <c r="L43" s="69">
        <f t="shared" si="6"/>
        <v>391.14000000000004</v>
      </c>
      <c r="M43" s="69">
        <f t="shared" si="6"/>
        <v>391.14000000000004</v>
      </c>
      <c r="N43" s="69">
        <f t="shared" si="6"/>
        <v>395.14000000000004</v>
      </c>
      <c r="O43" s="69">
        <f t="shared" si="6"/>
        <v>392.24</v>
      </c>
      <c r="P43" s="69">
        <f t="shared" si="6"/>
        <v>391.54</v>
      </c>
      <c r="Q43" s="69">
        <f t="shared" si="6"/>
        <v>393.53999999999996</v>
      </c>
      <c r="R43" s="69">
        <f t="shared" si="6"/>
        <v>392.74</v>
      </c>
      <c r="S43" s="69">
        <f t="shared" si="6"/>
        <v>378.44000000000005</v>
      </c>
      <c r="T43" s="69">
        <f t="shared" si="6"/>
        <v>342.94000000000005</v>
      </c>
      <c r="U43" s="69">
        <f t="shared" si="6"/>
        <v>344.44000000000005</v>
      </c>
      <c r="V43" s="69">
        <f t="shared" si="6"/>
        <v>346.24</v>
      </c>
      <c r="W43" s="69">
        <f t="shared" si="6"/>
        <v>352.94</v>
      </c>
      <c r="X43" s="69">
        <f t="shared" si="6"/>
        <v>348.84000000000003</v>
      </c>
      <c r="Y43" s="69">
        <f t="shared" si="6"/>
        <v>349.24000000000007</v>
      </c>
      <c r="Z43" s="69">
        <f t="shared" si="6"/>
        <v>363.84000000000009</v>
      </c>
      <c r="AA43" s="69">
        <f t="shared" si="6"/>
        <v>392.14000000000004</v>
      </c>
      <c r="AB43" s="69">
        <f t="shared" si="6"/>
        <v>392.04000000000008</v>
      </c>
      <c r="AC43" s="69">
        <f t="shared" si="6"/>
        <v>391.44000000000005</v>
      </c>
      <c r="AD43" s="69">
        <f t="shared" si="6"/>
        <v>393.94000000000005</v>
      </c>
      <c r="AE43" s="69">
        <f t="shared" si="6"/>
        <v>390.54000000000008</v>
      </c>
      <c r="AF43" s="69">
        <f t="shared" si="6"/>
        <v>390.04000000000008</v>
      </c>
      <c r="AG43" s="74">
        <f>SUM(AG31:AG42)</f>
        <v>464.91</v>
      </c>
      <c r="AH43" s="52">
        <f t="shared" si="2"/>
        <v>396.04000000000008</v>
      </c>
      <c r="AI43" s="53">
        <f t="shared" si="3"/>
        <v>342.94000000000005</v>
      </c>
      <c r="AK43" s="54"/>
    </row>
    <row r="44" spans="1:41" x14ac:dyDescent="0.25">
      <c r="A44" s="55" t="s">
        <v>51</v>
      </c>
      <c r="B44" s="49">
        <v>30</v>
      </c>
      <c r="C44" s="49">
        <v>30</v>
      </c>
      <c r="D44" s="56">
        <v>20</v>
      </c>
      <c r="E44" s="56">
        <v>20</v>
      </c>
      <c r="F44" s="56">
        <v>30</v>
      </c>
      <c r="G44" s="56">
        <v>20</v>
      </c>
      <c r="H44" s="56">
        <v>30</v>
      </c>
      <c r="I44" s="56">
        <v>30</v>
      </c>
      <c r="J44" s="56">
        <v>30</v>
      </c>
      <c r="K44" s="56">
        <v>30</v>
      </c>
      <c r="L44" s="75">
        <v>29.8</v>
      </c>
      <c r="M44" s="75">
        <v>14</v>
      </c>
      <c r="N44" s="75">
        <v>14</v>
      </c>
      <c r="O44" s="75">
        <v>10</v>
      </c>
      <c r="P44" s="49">
        <v>20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207">
        <v>0</v>
      </c>
      <c r="AA44" s="49">
        <v>0</v>
      </c>
      <c r="AB44" s="218">
        <v>0</v>
      </c>
      <c r="AC44" s="218">
        <v>0</v>
      </c>
      <c r="AD44" s="218">
        <v>0</v>
      </c>
      <c r="AE44" s="218">
        <v>14</v>
      </c>
      <c r="AF44" s="218">
        <v>30</v>
      </c>
      <c r="AG44" s="57">
        <v>60</v>
      </c>
      <c r="AH44" s="52">
        <f t="shared" si="2"/>
        <v>30</v>
      </c>
      <c r="AI44" s="53">
        <f t="shared" si="3"/>
        <v>0</v>
      </c>
      <c r="AK44" s="54"/>
    </row>
    <row r="45" spans="1:41" x14ac:dyDescent="0.25">
      <c r="A45" s="58" t="s">
        <v>52</v>
      </c>
      <c r="B45" s="70">
        <v>15</v>
      </c>
      <c r="C45" s="70">
        <v>15</v>
      </c>
      <c r="D45" s="56">
        <v>10.7</v>
      </c>
      <c r="E45" s="56">
        <v>9.3000000000000007</v>
      </c>
      <c r="F45" s="56">
        <v>15.1</v>
      </c>
      <c r="G45" s="56">
        <v>9.5</v>
      </c>
      <c r="H45" s="56">
        <v>15.4</v>
      </c>
      <c r="I45" s="56">
        <v>9.6</v>
      </c>
      <c r="J45" s="56">
        <v>15.8</v>
      </c>
      <c r="K45" s="56">
        <v>15.8</v>
      </c>
      <c r="L45" s="75">
        <v>10.6</v>
      </c>
      <c r="M45" s="75">
        <v>12</v>
      </c>
      <c r="N45" s="75">
        <v>6.3</v>
      </c>
      <c r="O45" s="75">
        <v>5.0999999999999996</v>
      </c>
      <c r="P45" s="70">
        <v>10.199999999999999</v>
      </c>
      <c r="Q45" s="49">
        <v>0</v>
      </c>
      <c r="R45" s="49">
        <v>0</v>
      </c>
      <c r="S45" s="49">
        <v>0</v>
      </c>
      <c r="T45" s="49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208">
        <v>0</v>
      </c>
      <c r="AA45" s="70">
        <v>0</v>
      </c>
      <c r="AB45" s="219">
        <v>0</v>
      </c>
      <c r="AC45" s="219">
        <v>0</v>
      </c>
      <c r="AD45" s="219">
        <v>0</v>
      </c>
      <c r="AE45" s="219">
        <v>6</v>
      </c>
      <c r="AF45" s="219">
        <v>15</v>
      </c>
      <c r="AG45" s="59">
        <v>32</v>
      </c>
      <c r="AH45" s="52">
        <f t="shared" si="2"/>
        <v>15.8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7">
        <v>5.6</v>
      </c>
      <c r="C46" s="77">
        <v>5.6</v>
      </c>
      <c r="D46" s="71">
        <v>3.9</v>
      </c>
      <c r="E46" s="71">
        <v>3.4</v>
      </c>
      <c r="F46" s="71">
        <v>7</v>
      </c>
      <c r="G46" s="71">
        <v>3.5</v>
      </c>
      <c r="H46" s="71">
        <v>5.6</v>
      </c>
      <c r="I46" s="71">
        <v>3.5</v>
      </c>
      <c r="J46" s="71">
        <v>5.8</v>
      </c>
      <c r="K46" s="71">
        <v>5.8</v>
      </c>
      <c r="L46" s="76">
        <v>3.9</v>
      </c>
      <c r="M46" s="76">
        <v>5</v>
      </c>
      <c r="N46" s="76">
        <v>2.2999999999999998</v>
      </c>
      <c r="O46" s="76">
        <v>1.9</v>
      </c>
      <c r="P46" s="77">
        <v>3.7</v>
      </c>
      <c r="Q46" s="49">
        <v>0</v>
      </c>
      <c r="R46" s="49">
        <v>0</v>
      </c>
      <c r="S46" s="49">
        <v>0</v>
      </c>
      <c r="T46" s="49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210">
        <v>0</v>
      </c>
      <c r="AA46" s="77">
        <v>0</v>
      </c>
      <c r="AB46" s="230">
        <v>0</v>
      </c>
      <c r="AC46" s="230">
        <v>0</v>
      </c>
      <c r="AD46" s="230">
        <v>0</v>
      </c>
      <c r="AE46" s="230">
        <v>2.4</v>
      </c>
      <c r="AF46" s="230">
        <v>5.5</v>
      </c>
      <c r="AG46" s="78">
        <v>14</v>
      </c>
      <c r="AH46" s="52">
        <f t="shared" si="2"/>
        <v>7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50.6</v>
      </c>
      <c r="C47" s="69">
        <f t="shared" ref="C47:AF47" si="7">SUM(C44:C46)</f>
        <v>50.6</v>
      </c>
      <c r="D47" s="69">
        <f t="shared" si="7"/>
        <v>34.6</v>
      </c>
      <c r="E47" s="69">
        <f t="shared" si="7"/>
        <v>32.700000000000003</v>
      </c>
      <c r="F47" s="69">
        <f t="shared" si="7"/>
        <v>52.1</v>
      </c>
      <c r="G47" s="69">
        <f t="shared" si="7"/>
        <v>33</v>
      </c>
      <c r="H47" s="69">
        <f t="shared" si="7"/>
        <v>51</v>
      </c>
      <c r="I47" s="69">
        <f t="shared" si="7"/>
        <v>43.1</v>
      </c>
      <c r="J47" s="69">
        <f t="shared" si="7"/>
        <v>51.599999999999994</v>
      </c>
      <c r="K47" s="69">
        <f t="shared" si="7"/>
        <v>51.599999999999994</v>
      </c>
      <c r="L47" s="69">
        <f t="shared" si="7"/>
        <v>44.3</v>
      </c>
      <c r="M47" s="69">
        <f t="shared" si="7"/>
        <v>31</v>
      </c>
      <c r="N47" s="69">
        <f t="shared" si="7"/>
        <v>22.6</v>
      </c>
      <c r="O47" s="69">
        <f t="shared" si="7"/>
        <v>17</v>
      </c>
      <c r="P47" s="69">
        <f t="shared" si="7"/>
        <v>33.9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0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22.4</v>
      </c>
      <c r="AF47" s="69">
        <f t="shared" si="7"/>
        <v>50.5</v>
      </c>
      <c r="AG47" s="74">
        <f>SUM(AG44:AG46)</f>
        <v>106</v>
      </c>
      <c r="AH47" s="52">
        <f t="shared" si="2"/>
        <v>52.1</v>
      </c>
      <c r="AI47" s="53">
        <f t="shared" si="3"/>
        <v>0</v>
      </c>
      <c r="AK47" s="54"/>
    </row>
    <row r="48" spans="1:41" x14ac:dyDescent="0.25">
      <c r="A48" s="55" t="s">
        <v>55</v>
      </c>
      <c r="B48" s="49">
        <v>38</v>
      </c>
      <c r="C48" s="49">
        <v>37</v>
      </c>
      <c r="D48" s="49">
        <v>46</v>
      </c>
      <c r="E48" s="49">
        <v>46.97</v>
      </c>
      <c r="F48" s="49">
        <v>47.2</v>
      </c>
      <c r="G48" s="49">
        <v>42.4</v>
      </c>
      <c r="H48" s="49">
        <v>41</v>
      </c>
      <c r="I48" s="49">
        <v>40</v>
      </c>
      <c r="J48" s="49">
        <v>38</v>
      </c>
      <c r="K48" s="49">
        <v>44</v>
      </c>
      <c r="L48" s="49">
        <v>53.71</v>
      </c>
      <c r="M48" s="49">
        <v>67.400000000000006</v>
      </c>
      <c r="N48" s="49">
        <v>61.5</v>
      </c>
      <c r="O48" s="49">
        <v>62</v>
      </c>
      <c r="P48" s="49">
        <v>52</v>
      </c>
      <c r="Q48" s="49">
        <v>47.7</v>
      </c>
      <c r="R48" s="49">
        <v>60.9</v>
      </c>
      <c r="S48" s="49">
        <v>41.5</v>
      </c>
      <c r="T48" s="49">
        <v>45</v>
      </c>
      <c r="U48" s="49">
        <v>54</v>
      </c>
      <c r="V48" s="49">
        <v>46.2</v>
      </c>
      <c r="W48" s="49">
        <v>43.05</v>
      </c>
      <c r="X48" s="49">
        <v>39.630000000000003</v>
      </c>
      <c r="Y48" s="49">
        <v>41.5</v>
      </c>
      <c r="Z48" s="218">
        <v>42.48</v>
      </c>
      <c r="AA48" s="49">
        <v>62.14</v>
      </c>
      <c r="AB48" s="49">
        <v>70</v>
      </c>
      <c r="AC48" s="49">
        <v>63</v>
      </c>
      <c r="AD48" s="49">
        <v>58</v>
      </c>
      <c r="AE48" s="49">
        <v>56</v>
      </c>
      <c r="AF48" s="49">
        <v>53</v>
      </c>
      <c r="AG48" s="57"/>
      <c r="AH48" s="52">
        <f t="shared" si="2"/>
        <v>70</v>
      </c>
      <c r="AI48" s="53">
        <f t="shared" si="3"/>
        <v>37</v>
      </c>
      <c r="AK48" s="54"/>
    </row>
    <row r="49" spans="1:37" x14ac:dyDescent="0.25">
      <c r="A49" s="58" t="s">
        <v>56</v>
      </c>
      <c r="B49" s="70">
        <f>48+5</f>
        <v>53</v>
      </c>
      <c r="C49" s="70">
        <f>47+2</f>
        <v>49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78.400000000000006</v>
      </c>
      <c r="L49" s="49">
        <v>0</v>
      </c>
      <c r="M49" s="49">
        <v>0</v>
      </c>
      <c r="N49" s="49">
        <v>0</v>
      </c>
      <c r="O49" s="49">
        <v>41</v>
      </c>
      <c r="P49" s="49">
        <v>40.299999999999997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218">
        <v>0</v>
      </c>
      <c r="AA49" s="70">
        <v>0</v>
      </c>
      <c r="AB49" s="70">
        <v>0</v>
      </c>
      <c r="AC49" s="219">
        <v>0</v>
      </c>
      <c r="AD49" s="219">
        <v>0</v>
      </c>
      <c r="AE49" s="219">
        <v>0</v>
      </c>
      <c r="AF49" s="219">
        <v>70</v>
      </c>
      <c r="AG49" s="59"/>
      <c r="AH49" s="52">
        <f t="shared" si="2"/>
        <v>78.400000000000006</v>
      </c>
      <c r="AI49" s="53">
        <f t="shared" si="3"/>
        <v>0</v>
      </c>
      <c r="AK49" s="54"/>
    </row>
    <row r="50" spans="1:37" x14ac:dyDescent="0.25">
      <c r="A50" s="58" t="s">
        <v>57</v>
      </c>
      <c r="B50" s="70">
        <v>120</v>
      </c>
      <c r="C50" s="70">
        <v>110</v>
      </c>
      <c r="D50" s="70">
        <v>140</v>
      </c>
      <c r="E50" s="70">
        <v>136</v>
      </c>
      <c r="F50" s="70">
        <v>100</v>
      </c>
      <c r="G50" s="49">
        <v>104</v>
      </c>
      <c r="H50" s="49">
        <v>110</v>
      </c>
      <c r="I50" s="49">
        <v>150</v>
      </c>
      <c r="J50" s="49">
        <v>136</v>
      </c>
      <c r="K50" s="49">
        <v>122</v>
      </c>
      <c r="L50" s="70">
        <v>212</v>
      </c>
      <c r="M50" s="70">
        <v>218</v>
      </c>
      <c r="N50" s="70">
        <v>241</v>
      </c>
      <c r="O50" s="70">
        <v>213</v>
      </c>
      <c r="P50" s="70">
        <v>211</v>
      </c>
      <c r="Q50" s="70">
        <v>170</v>
      </c>
      <c r="R50" s="70">
        <v>160</v>
      </c>
      <c r="S50" s="70">
        <v>210</v>
      </c>
      <c r="T50" s="70">
        <v>118</v>
      </c>
      <c r="U50" s="80">
        <v>84</v>
      </c>
      <c r="V50" s="80">
        <v>72</v>
      </c>
      <c r="W50" s="80">
        <v>61.1</v>
      </c>
      <c r="X50" s="80">
        <v>80</v>
      </c>
      <c r="Y50" s="80">
        <v>130.4</v>
      </c>
      <c r="Z50" s="231">
        <v>187.5</v>
      </c>
      <c r="AA50" s="70">
        <v>254</v>
      </c>
      <c r="AB50" s="70">
        <v>240</v>
      </c>
      <c r="AC50" s="70">
        <v>242</v>
      </c>
      <c r="AD50" s="70">
        <v>182</v>
      </c>
      <c r="AE50" s="70">
        <v>100</v>
      </c>
      <c r="AF50" s="70">
        <v>5</v>
      </c>
      <c r="AG50" s="81"/>
      <c r="AH50" s="52">
        <f t="shared" si="2"/>
        <v>254</v>
      </c>
      <c r="AI50" s="53">
        <f t="shared" si="3"/>
        <v>5</v>
      </c>
      <c r="AK50" s="54"/>
    </row>
    <row r="51" spans="1:37" x14ac:dyDescent="0.25">
      <c r="A51" s="58" t="s">
        <v>58</v>
      </c>
      <c r="B51" s="82">
        <v>0</v>
      </c>
      <c r="C51" s="82">
        <v>0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219">
        <v>0</v>
      </c>
      <c r="AC51" s="219">
        <v>0</v>
      </c>
      <c r="AD51" s="219">
        <v>0</v>
      </c>
      <c r="AE51" s="219">
        <v>0</v>
      </c>
      <c r="AF51" s="219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49">
        <v>0</v>
      </c>
      <c r="C52" s="82">
        <v>0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70">
        <v>0</v>
      </c>
      <c r="M52" s="70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219">
        <v>0</v>
      </c>
      <c r="AB52" s="219">
        <v>0</v>
      </c>
      <c r="AC52" s="219">
        <v>0</v>
      </c>
      <c r="AD52" s="219">
        <v>0</v>
      </c>
      <c r="AE52" s="219">
        <v>0</v>
      </c>
      <c r="AF52" s="219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3">
        <v>0</v>
      </c>
      <c r="C53" s="70">
        <v>0</v>
      </c>
      <c r="D53" s="70">
        <v>0</v>
      </c>
      <c r="E53" s="70">
        <v>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219">
        <v>0</v>
      </c>
      <c r="AB53" s="219">
        <v>0</v>
      </c>
      <c r="AC53" s="219">
        <v>0</v>
      </c>
      <c r="AD53" s="219">
        <v>0</v>
      </c>
      <c r="AE53" s="219">
        <v>0</v>
      </c>
      <c r="AF53" s="219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3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49">
        <v>0</v>
      </c>
      <c r="I54" s="49">
        <v>0</v>
      </c>
      <c r="J54" s="49">
        <v>0</v>
      </c>
      <c r="K54" s="49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219">
        <v>0</v>
      </c>
      <c r="AB54" s="219">
        <v>0</v>
      </c>
      <c r="AC54" s="219">
        <v>0</v>
      </c>
      <c r="AD54" s="219">
        <v>0</v>
      </c>
      <c r="AE54" s="219">
        <v>0</v>
      </c>
      <c r="AF54" s="219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>
        <v>0</v>
      </c>
      <c r="C55" s="82">
        <v>0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82">
        <v>6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82">
        <v>0</v>
      </c>
      <c r="AA55" s="219">
        <v>0</v>
      </c>
      <c r="AB55" s="219">
        <v>0</v>
      </c>
      <c r="AC55" s="219">
        <v>0</v>
      </c>
      <c r="AD55" s="219">
        <v>0</v>
      </c>
      <c r="AE55" s="219">
        <v>0</v>
      </c>
      <c r="AF55" s="219">
        <v>0</v>
      </c>
      <c r="AG55" s="81"/>
      <c r="AH55" s="52">
        <f t="shared" si="2"/>
        <v>6</v>
      </c>
      <c r="AI55" s="53">
        <f t="shared" si="3"/>
        <v>0</v>
      </c>
      <c r="AK55" s="54"/>
    </row>
    <row r="56" spans="1:37" x14ac:dyDescent="0.25">
      <c r="A56" s="58" t="s">
        <v>63</v>
      </c>
      <c r="B56" s="82">
        <v>0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82">
        <v>0</v>
      </c>
      <c r="AA56" s="219">
        <v>0</v>
      </c>
      <c r="AB56" s="219">
        <v>0</v>
      </c>
      <c r="AC56" s="219">
        <v>0</v>
      </c>
      <c r="AD56" s="219">
        <v>0</v>
      </c>
      <c r="AE56" s="219">
        <v>0</v>
      </c>
      <c r="AF56" s="219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5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219">
        <v>0</v>
      </c>
      <c r="AB57" s="219">
        <v>0</v>
      </c>
      <c r="AC57" s="219">
        <v>0</v>
      </c>
      <c r="AD57" s="219">
        <v>0</v>
      </c>
      <c r="AE57" s="219">
        <v>0</v>
      </c>
      <c r="AF57" s="219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5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85">
        <v>0</v>
      </c>
      <c r="U58" s="85">
        <v>0</v>
      </c>
      <c r="V58" s="85">
        <v>0</v>
      </c>
      <c r="W58" s="85">
        <v>0</v>
      </c>
      <c r="X58" s="85">
        <v>0</v>
      </c>
      <c r="Y58" s="85">
        <v>0</v>
      </c>
      <c r="Z58" s="85">
        <v>0</v>
      </c>
      <c r="AA58" s="219">
        <v>0</v>
      </c>
      <c r="AB58" s="219">
        <v>0</v>
      </c>
      <c r="AC58" s="219">
        <v>0</v>
      </c>
      <c r="AD58" s="219">
        <v>0</v>
      </c>
      <c r="AE58" s="219">
        <v>0</v>
      </c>
      <c r="AF58" s="219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211</v>
      </c>
      <c r="C59" s="69">
        <f t="shared" ref="C59:AF59" si="8">SUM(C48:C58)</f>
        <v>196</v>
      </c>
      <c r="D59" s="69">
        <f t="shared" si="8"/>
        <v>186</v>
      </c>
      <c r="E59" s="69">
        <f t="shared" si="8"/>
        <v>182.97</v>
      </c>
      <c r="F59" s="69">
        <f t="shared" si="8"/>
        <v>147.19999999999999</v>
      </c>
      <c r="G59" s="69">
        <f t="shared" si="8"/>
        <v>146.4</v>
      </c>
      <c r="H59" s="69">
        <f t="shared" si="8"/>
        <v>151</v>
      </c>
      <c r="I59" s="69">
        <f t="shared" si="8"/>
        <v>190</v>
      </c>
      <c r="J59" s="69">
        <f t="shared" si="8"/>
        <v>174</v>
      </c>
      <c r="K59" s="69">
        <f t="shared" si="8"/>
        <v>244.4</v>
      </c>
      <c r="L59" s="69">
        <f t="shared" si="8"/>
        <v>265.70999999999998</v>
      </c>
      <c r="M59" s="69">
        <f t="shared" si="8"/>
        <v>285.39999999999998</v>
      </c>
      <c r="N59" s="69">
        <f t="shared" si="8"/>
        <v>302.5</v>
      </c>
      <c r="O59" s="69">
        <f t="shared" si="8"/>
        <v>316</v>
      </c>
      <c r="P59" s="69">
        <f t="shared" si="8"/>
        <v>303.3</v>
      </c>
      <c r="Q59" s="69">
        <f t="shared" si="8"/>
        <v>217.7</v>
      </c>
      <c r="R59" s="69">
        <f t="shared" si="8"/>
        <v>220.9</v>
      </c>
      <c r="S59" s="69">
        <f t="shared" si="8"/>
        <v>251.5</v>
      </c>
      <c r="T59" s="69">
        <f t="shared" si="8"/>
        <v>169</v>
      </c>
      <c r="U59" s="69">
        <f t="shared" si="8"/>
        <v>138</v>
      </c>
      <c r="V59" s="69">
        <f t="shared" si="8"/>
        <v>118.2</v>
      </c>
      <c r="W59" s="69">
        <f t="shared" si="8"/>
        <v>104.15</v>
      </c>
      <c r="X59" s="69">
        <f t="shared" si="8"/>
        <v>119.63</v>
      </c>
      <c r="Y59" s="69">
        <f t="shared" si="8"/>
        <v>171.9</v>
      </c>
      <c r="Z59" s="69">
        <f t="shared" si="8"/>
        <v>229.98</v>
      </c>
      <c r="AA59" s="69">
        <f t="shared" si="8"/>
        <v>316.14</v>
      </c>
      <c r="AB59" s="69">
        <f t="shared" si="8"/>
        <v>310</v>
      </c>
      <c r="AC59" s="69">
        <f t="shared" si="8"/>
        <v>305</v>
      </c>
      <c r="AD59" s="69">
        <f t="shared" si="8"/>
        <v>240</v>
      </c>
      <c r="AE59" s="69">
        <f t="shared" si="8"/>
        <v>156</v>
      </c>
      <c r="AF59" s="69">
        <f t="shared" si="8"/>
        <v>128</v>
      </c>
      <c r="AG59" s="74">
        <f>SUM(AG48:AG58)</f>
        <v>0</v>
      </c>
      <c r="AH59" s="52">
        <f t="shared" si="2"/>
        <v>316.14</v>
      </c>
      <c r="AI59" s="53">
        <f t="shared" si="3"/>
        <v>104.15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5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>
        <v>50</v>
      </c>
      <c r="R64" s="89"/>
      <c r="S64" s="89">
        <v>20</v>
      </c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50</v>
      </c>
      <c r="AI64" s="53">
        <f t="shared" si="3"/>
        <v>20</v>
      </c>
    </row>
    <row r="65" spans="1:35" ht="15.75" thickBot="1" x14ac:dyDescent="0.3">
      <c r="A65" s="90" t="s">
        <v>72</v>
      </c>
      <c r="B65" s="91">
        <f>B63+B59+B47+B43+B30+B64</f>
        <v>1125.6400000000001</v>
      </c>
      <c r="C65" s="91">
        <f t="shared" ref="C65:AF65" si="10">C63+C59+C47+C43+C30+C64</f>
        <v>1140.24</v>
      </c>
      <c r="D65" s="91">
        <f t="shared" si="10"/>
        <v>1119.54</v>
      </c>
      <c r="E65" s="91">
        <f t="shared" si="10"/>
        <v>1107.1100000000001</v>
      </c>
      <c r="F65" s="91">
        <f t="shared" si="10"/>
        <v>1092.04</v>
      </c>
      <c r="G65" s="91">
        <f t="shared" si="10"/>
        <v>1072.2400000000002</v>
      </c>
      <c r="H65" s="91">
        <f t="shared" si="10"/>
        <v>1091.54</v>
      </c>
      <c r="I65" s="91">
        <f t="shared" si="10"/>
        <v>1126.44</v>
      </c>
      <c r="J65" s="91">
        <f t="shared" si="10"/>
        <v>1121.94</v>
      </c>
      <c r="K65" s="91">
        <f t="shared" si="10"/>
        <v>1149.5400000000002</v>
      </c>
      <c r="L65" s="91">
        <f t="shared" si="10"/>
        <v>1158.0610000000001</v>
      </c>
      <c r="M65" s="91">
        <f t="shared" si="10"/>
        <v>1164.451</v>
      </c>
      <c r="N65" s="91">
        <f t="shared" si="10"/>
        <v>1168.1400000000001</v>
      </c>
      <c r="O65" s="91">
        <f t="shared" si="10"/>
        <v>1171.54</v>
      </c>
      <c r="P65" s="91">
        <f t="shared" si="10"/>
        <v>1170.54</v>
      </c>
      <c r="Q65" s="91">
        <f t="shared" si="10"/>
        <v>1104.3400000000001</v>
      </c>
      <c r="R65" s="91">
        <f t="shared" si="10"/>
        <v>1054.54</v>
      </c>
      <c r="S65" s="91">
        <f t="shared" si="10"/>
        <v>1035.44</v>
      </c>
      <c r="T65" s="91">
        <f t="shared" si="10"/>
        <v>952.54000000000008</v>
      </c>
      <c r="U65" s="91">
        <f t="shared" si="10"/>
        <v>926.04000000000008</v>
      </c>
      <c r="V65" s="91">
        <f t="shared" si="10"/>
        <v>909.24</v>
      </c>
      <c r="W65" s="91">
        <f t="shared" si="10"/>
        <v>901.3900000000001</v>
      </c>
      <c r="X65" s="91">
        <f t="shared" si="10"/>
        <v>918.77</v>
      </c>
      <c r="Y65" s="91">
        <f t="shared" si="10"/>
        <v>971.6400000000001</v>
      </c>
      <c r="Z65" s="91">
        <f t="shared" si="10"/>
        <v>1061.02</v>
      </c>
      <c r="AA65" s="91">
        <f t="shared" si="10"/>
        <v>1177.78</v>
      </c>
      <c r="AB65" s="91">
        <f t="shared" si="10"/>
        <v>1179.1400000000001</v>
      </c>
      <c r="AC65" s="91">
        <f t="shared" si="10"/>
        <v>1168.44</v>
      </c>
      <c r="AD65" s="91">
        <f t="shared" si="10"/>
        <v>1107.6400000000001</v>
      </c>
      <c r="AE65" s="91">
        <f t="shared" si="10"/>
        <v>1039.74</v>
      </c>
      <c r="AF65" s="91">
        <f t="shared" si="10"/>
        <v>1029.6400000000001</v>
      </c>
      <c r="AG65" s="74">
        <f>AG63+AG59+AG47+AG43+AG30+AG64</f>
        <v>1355.5100000000002</v>
      </c>
      <c r="AH65" s="52">
        <f t="shared" si="2"/>
        <v>1179.1400000000001</v>
      </c>
      <c r="AI65" s="53">
        <f t="shared" si="3"/>
        <v>901.3900000000001</v>
      </c>
    </row>
    <row r="66" spans="1:35" x14ac:dyDescent="0.25">
      <c r="A66" s="55" t="s">
        <v>73</v>
      </c>
      <c r="B66" s="82">
        <f>IF(B51&lt;0,B51*-1,0)</f>
        <v>0</v>
      </c>
      <c r="C66" s="82">
        <f t="shared" ref="C66:Q66" si="11">IF(C51&lt;0,C51*-1,0)</f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>IF(B49&lt;0,B49*-1,0)</f>
        <v>0</v>
      </c>
      <c r="C67" s="82">
        <f t="shared" ref="C67:Q67" si="13">IF(C49&lt;0,C49*-1,0)</f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>IF(B52&lt;0,B52*-1,0)</f>
        <v>0</v>
      </c>
      <c r="C68" s="82">
        <f t="shared" ref="C68:Q68" si="15">IF(C52&lt;0,C52*-1,0)</f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ht="15.75" x14ac:dyDescent="0.25">
      <c r="A72" s="93" t="s">
        <v>79</v>
      </c>
      <c r="B72" s="96">
        <v>49.996000000000002</v>
      </c>
      <c r="C72" s="94">
        <v>50.01</v>
      </c>
      <c r="D72" s="94">
        <v>49.988</v>
      </c>
      <c r="E72" s="94">
        <v>50.015999999999998</v>
      </c>
      <c r="F72" s="94">
        <v>49.988999999999997</v>
      </c>
      <c r="G72" s="94">
        <v>49.869</v>
      </c>
      <c r="H72" s="94">
        <v>50.027000000000001</v>
      </c>
      <c r="I72" s="94">
        <v>49.973999999999997</v>
      </c>
      <c r="J72" s="94">
        <v>49.956000000000003</v>
      </c>
      <c r="K72" s="94">
        <v>49.984000000000002</v>
      </c>
      <c r="L72" s="94">
        <v>50.093000000000004</v>
      </c>
      <c r="M72" s="94">
        <v>50.051000000000002</v>
      </c>
      <c r="N72" s="94">
        <v>50.031999999999996</v>
      </c>
      <c r="O72" s="94">
        <v>50.030999999999999</v>
      </c>
      <c r="P72" s="94">
        <v>50.045000000000002</v>
      </c>
      <c r="Q72" s="95">
        <v>49.923999999999999</v>
      </c>
      <c r="R72" s="94">
        <v>50.02</v>
      </c>
      <c r="S72" s="94">
        <v>50.058999999999997</v>
      </c>
      <c r="T72" s="94">
        <v>50.003</v>
      </c>
      <c r="U72" s="94">
        <v>49.978000000000002</v>
      </c>
      <c r="V72" s="94">
        <v>49.933999999999997</v>
      </c>
      <c r="W72" s="94">
        <v>49.993000000000002</v>
      </c>
      <c r="X72" s="94">
        <v>50.030999999999999</v>
      </c>
      <c r="Y72" s="94">
        <v>50.036000000000001</v>
      </c>
      <c r="Z72" s="194">
        <v>50.029000000000003</v>
      </c>
      <c r="AA72" s="94">
        <v>50.01</v>
      </c>
      <c r="AB72" s="94">
        <v>50.03</v>
      </c>
      <c r="AC72" s="94">
        <v>50.01</v>
      </c>
      <c r="AD72" s="94">
        <v>49.88</v>
      </c>
      <c r="AE72" s="94">
        <v>50.02</v>
      </c>
      <c r="AF72" s="96">
        <v>50.04</v>
      </c>
      <c r="AG72" s="97"/>
      <c r="AH72" s="52">
        <f t="shared" si="2"/>
        <v>50.093000000000004</v>
      </c>
      <c r="AI72" s="53">
        <f t="shared" si="3"/>
        <v>49.869</v>
      </c>
    </row>
    <row r="73" spans="1:35" x14ac:dyDescent="0.25">
      <c r="A73" s="98" t="s">
        <v>80</v>
      </c>
      <c r="B73" s="100">
        <v>125.8</v>
      </c>
      <c r="C73" s="70">
        <v>125.5</v>
      </c>
      <c r="D73" s="70">
        <v>124</v>
      </c>
      <c r="E73" s="70">
        <v>124.7</v>
      </c>
      <c r="F73" s="70">
        <v>125</v>
      </c>
      <c r="G73" s="70">
        <v>125.1</v>
      </c>
      <c r="H73" s="70">
        <v>125.4</v>
      </c>
      <c r="I73" s="70">
        <v>125.1</v>
      </c>
      <c r="J73" s="70">
        <v>125.2</v>
      </c>
      <c r="K73" s="70">
        <v>124.3</v>
      </c>
      <c r="L73" s="70">
        <v>124.4</v>
      </c>
      <c r="M73" s="70">
        <v>124.6</v>
      </c>
      <c r="N73" s="70">
        <v>124.5</v>
      </c>
      <c r="O73" s="70">
        <v>125.1</v>
      </c>
      <c r="P73" s="70">
        <v>126.1</v>
      </c>
      <c r="Q73" s="99">
        <v>125.5</v>
      </c>
      <c r="R73" s="99">
        <v>124</v>
      </c>
      <c r="S73" s="99">
        <v>124.6</v>
      </c>
      <c r="T73" s="99">
        <v>125.1</v>
      </c>
      <c r="U73" s="99">
        <v>125.4</v>
      </c>
      <c r="V73" s="99">
        <v>125.7</v>
      </c>
      <c r="W73" s="99">
        <v>126</v>
      </c>
      <c r="X73" s="99">
        <v>126.3</v>
      </c>
      <c r="Y73" s="99">
        <v>126.3</v>
      </c>
      <c r="Z73" s="99">
        <v>125.9</v>
      </c>
      <c r="AA73" s="70">
        <v>124.9</v>
      </c>
      <c r="AB73" s="70">
        <v>123.9</v>
      </c>
      <c r="AC73" s="70">
        <v>124.7</v>
      </c>
      <c r="AD73" s="70">
        <v>122.7</v>
      </c>
      <c r="AE73" s="70">
        <v>124</v>
      </c>
      <c r="AF73" s="100">
        <v>124.5</v>
      </c>
      <c r="AG73" s="101"/>
      <c r="AH73" s="52">
        <f t="shared" si="2"/>
        <v>126.3</v>
      </c>
      <c r="AI73" s="53">
        <f t="shared" si="3"/>
        <v>122.7</v>
      </c>
    </row>
    <row r="74" spans="1:35" x14ac:dyDescent="0.25">
      <c r="A74" s="98" t="s">
        <v>81</v>
      </c>
      <c r="B74" s="100">
        <v>129.30000000000001</v>
      </c>
      <c r="C74" s="70">
        <v>129.19999999999999</v>
      </c>
      <c r="D74" s="70">
        <v>127.9</v>
      </c>
      <c r="E74" s="70">
        <v>128.5</v>
      </c>
      <c r="F74" s="70">
        <v>128.5</v>
      </c>
      <c r="G74" s="70">
        <v>128.1</v>
      </c>
      <c r="H74" s="70">
        <v>128.1</v>
      </c>
      <c r="I74" s="70">
        <v>128.30000000000001</v>
      </c>
      <c r="J74" s="70">
        <v>127.8</v>
      </c>
      <c r="K74" s="70">
        <v>127.1</v>
      </c>
      <c r="L74" s="70">
        <v>126.8</v>
      </c>
      <c r="M74" s="70">
        <v>127</v>
      </c>
      <c r="N74" s="70">
        <v>127.3</v>
      </c>
      <c r="O74" s="70">
        <v>128.1</v>
      </c>
      <c r="P74" s="70">
        <v>128.30000000000001</v>
      </c>
      <c r="Q74" s="99">
        <v>127.8</v>
      </c>
      <c r="R74" s="99">
        <v>126.7</v>
      </c>
      <c r="S74" s="99">
        <v>127.8</v>
      </c>
      <c r="T74" s="99">
        <v>127.9</v>
      </c>
      <c r="U74" s="99">
        <v>128.19999999999999</v>
      </c>
      <c r="V74" s="99">
        <v>128.69999999999999</v>
      </c>
      <c r="W74" s="99">
        <v>128.80000000000001</v>
      </c>
      <c r="X74" s="99">
        <v>129.1</v>
      </c>
      <c r="Y74" s="99">
        <v>128.80000000000001</v>
      </c>
      <c r="Z74" s="99">
        <v>128.5</v>
      </c>
      <c r="AA74" s="70">
        <v>127.9</v>
      </c>
      <c r="AB74" s="70">
        <v>127</v>
      </c>
      <c r="AC74" s="70">
        <v>127.5</v>
      </c>
      <c r="AD74" s="70">
        <v>126.5</v>
      </c>
      <c r="AE74" s="70">
        <v>124.5</v>
      </c>
      <c r="AF74" s="100">
        <v>128.5</v>
      </c>
      <c r="AG74" s="101"/>
      <c r="AH74" s="52">
        <f t="shared" si="2"/>
        <v>129.30000000000001</v>
      </c>
      <c r="AI74" s="53">
        <f t="shared" si="3"/>
        <v>124.5</v>
      </c>
    </row>
    <row r="75" spans="1:35" x14ac:dyDescent="0.25">
      <c r="A75" s="98" t="s">
        <v>82</v>
      </c>
      <c r="B75" s="100">
        <v>127.6</v>
      </c>
      <c r="C75" s="70">
        <v>128.30000000000001</v>
      </c>
      <c r="D75" s="70">
        <v>126.1</v>
      </c>
      <c r="E75" s="70">
        <v>127.7</v>
      </c>
      <c r="F75" s="70">
        <v>129.5</v>
      </c>
      <c r="G75" s="70">
        <v>128.1</v>
      </c>
      <c r="H75" s="70">
        <v>130.1</v>
      </c>
      <c r="I75" s="70">
        <v>125.8</v>
      </c>
      <c r="J75" s="70">
        <v>125.1</v>
      </c>
      <c r="K75" s="70">
        <v>128</v>
      </c>
      <c r="L75" s="70">
        <v>124.7</v>
      </c>
      <c r="M75" s="70">
        <v>123</v>
      </c>
      <c r="N75" s="70">
        <v>118</v>
      </c>
      <c r="O75" s="70">
        <v>128.80000000000001</v>
      </c>
      <c r="P75" s="70">
        <v>128.69999999999999</v>
      </c>
      <c r="Q75" s="70">
        <v>126.4</v>
      </c>
      <c r="R75" s="70">
        <v>131.69999999999999</v>
      </c>
      <c r="S75" s="70">
        <v>123.1</v>
      </c>
      <c r="T75" s="99">
        <v>129.1</v>
      </c>
      <c r="U75" s="99">
        <v>128.80000000000001</v>
      </c>
      <c r="V75" s="99">
        <v>128.4</v>
      </c>
      <c r="W75" s="99">
        <v>130.5</v>
      </c>
      <c r="X75" s="99">
        <v>127.1</v>
      </c>
      <c r="Y75" s="99">
        <v>129</v>
      </c>
      <c r="Z75" s="99">
        <v>126.6</v>
      </c>
      <c r="AA75" s="70">
        <v>126.5</v>
      </c>
      <c r="AB75" s="70">
        <v>127.2</v>
      </c>
      <c r="AC75" s="70">
        <v>127</v>
      </c>
      <c r="AD75" s="70">
        <v>127.5</v>
      </c>
      <c r="AE75" s="70">
        <v>128</v>
      </c>
      <c r="AF75" s="100">
        <v>128</v>
      </c>
      <c r="AG75" s="101"/>
      <c r="AH75" s="52">
        <f t="shared" si="2"/>
        <v>131.69999999999999</v>
      </c>
      <c r="AI75" s="53">
        <f t="shared" si="3"/>
        <v>118</v>
      </c>
    </row>
    <row r="76" spans="1:35" x14ac:dyDescent="0.25">
      <c r="A76" s="102" t="s">
        <v>83</v>
      </c>
      <c r="B76" s="100">
        <v>130.5</v>
      </c>
      <c r="C76" s="70">
        <v>131.30000000000001</v>
      </c>
      <c r="D76" s="70">
        <v>129.69999999999999</v>
      </c>
      <c r="E76" s="70">
        <v>131.1</v>
      </c>
      <c r="F76" s="70">
        <v>133.30000000000001</v>
      </c>
      <c r="G76" s="70">
        <v>131.5</v>
      </c>
      <c r="H76" s="70">
        <v>133.6</v>
      </c>
      <c r="I76" s="70">
        <v>129</v>
      </c>
      <c r="J76" s="70">
        <v>128</v>
      </c>
      <c r="K76" s="70">
        <v>128.80000000000001</v>
      </c>
      <c r="L76" s="70">
        <v>127.3</v>
      </c>
      <c r="M76" s="70">
        <v>126</v>
      </c>
      <c r="N76" s="70">
        <v>123.2</v>
      </c>
      <c r="O76" s="70">
        <v>132.5</v>
      </c>
      <c r="P76" s="70">
        <v>130.19999999999999</v>
      </c>
      <c r="Q76" s="70">
        <v>130.19999999999999</v>
      </c>
      <c r="R76" s="70">
        <v>134.1</v>
      </c>
      <c r="S76" s="70">
        <v>0</v>
      </c>
      <c r="T76" s="99">
        <v>131.69999999999999</v>
      </c>
      <c r="U76" s="99">
        <v>131.1</v>
      </c>
      <c r="V76" s="99">
        <v>131.19999999999999</v>
      </c>
      <c r="W76" s="99">
        <v>132.6</v>
      </c>
      <c r="X76" s="99">
        <v>130.1</v>
      </c>
      <c r="Y76" s="99">
        <v>131.80000000000001</v>
      </c>
      <c r="Z76" s="99">
        <v>129.4</v>
      </c>
      <c r="AA76" s="70">
        <v>128.4</v>
      </c>
      <c r="AB76" s="70">
        <v>129.4</v>
      </c>
      <c r="AC76" s="70">
        <v>130</v>
      </c>
      <c r="AD76" s="70">
        <v>130.6</v>
      </c>
      <c r="AE76" s="70">
        <v>130.69999999999999</v>
      </c>
      <c r="AF76" s="100">
        <v>131.69999999999999</v>
      </c>
      <c r="AG76" s="101"/>
      <c r="AH76" s="52">
        <f t="shared" si="2"/>
        <v>134.1</v>
      </c>
      <c r="AI76" s="53">
        <f t="shared" si="3"/>
        <v>0</v>
      </c>
    </row>
    <row r="77" spans="1:35" x14ac:dyDescent="0.25">
      <c r="A77" s="102" t="s">
        <v>84</v>
      </c>
      <c r="B77" s="104">
        <v>133.5</v>
      </c>
      <c r="C77" s="103">
        <v>134.4</v>
      </c>
      <c r="D77" s="103">
        <v>134</v>
      </c>
      <c r="E77" s="103">
        <v>133.5</v>
      </c>
      <c r="F77" s="103">
        <v>134</v>
      </c>
      <c r="G77" s="103">
        <v>134.1</v>
      </c>
      <c r="H77" s="103">
        <v>133.5</v>
      </c>
      <c r="I77" s="103">
        <v>133.9</v>
      </c>
      <c r="J77" s="103">
        <v>134.1</v>
      </c>
      <c r="K77" s="103">
        <v>133.80000000000001</v>
      </c>
      <c r="L77" s="103">
        <v>133.69999999999999</v>
      </c>
      <c r="M77" s="103">
        <v>134</v>
      </c>
      <c r="N77" s="103">
        <v>132.1</v>
      </c>
      <c r="O77" s="103">
        <v>132.69999999999999</v>
      </c>
      <c r="P77" s="103">
        <v>132.69999999999999</v>
      </c>
      <c r="Q77" s="103">
        <v>133.19999999999999</v>
      </c>
      <c r="R77" s="103">
        <v>133.1</v>
      </c>
      <c r="S77" s="103">
        <v>133.6</v>
      </c>
      <c r="T77" s="99">
        <v>134.80000000000001</v>
      </c>
      <c r="U77" s="99">
        <v>126.1</v>
      </c>
      <c r="V77" s="99">
        <v>134.69999999999999</v>
      </c>
      <c r="W77" s="99">
        <v>135</v>
      </c>
      <c r="X77" s="99">
        <v>135.1</v>
      </c>
      <c r="Y77" s="99">
        <v>133.80000000000001</v>
      </c>
      <c r="Z77" s="99">
        <v>133.6</v>
      </c>
      <c r="AA77" s="103">
        <v>133.4</v>
      </c>
      <c r="AB77" s="103">
        <v>132.19999999999999</v>
      </c>
      <c r="AC77" s="103">
        <v>132.6</v>
      </c>
      <c r="AD77" s="103">
        <v>132</v>
      </c>
      <c r="AE77" s="103">
        <v>133</v>
      </c>
      <c r="AF77" s="104">
        <v>134</v>
      </c>
      <c r="AG77" s="105"/>
      <c r="AH77" s="52">
        <f t="shared" si="2"/>
        <v>135.1</v>
      </c>
      <c r="AI77" s="53">
        <f t="shared" si="3"/>
        <v>126.1</v>
      </c>
    </row>
    <row r="78" spans="1:35" x14ac:dyDescent="0.25">
      <c r="A78" s="98" t="s">
        <v>85</v>
      </c>
      <c r="B78" s="100">
        <v>132.9</v>
      </c>
      <c r="C78" s="70">
        <v>135.1</v>
      </c>
      <c r="D78" s="70">
        <v>127.5</v>
      </c>
      <c r="E78" s="70">
        <v>126.7</v>
      </c>
      <c r="F78" s="70">
        <v>128.30000000000001</v>
      </c>
      <c r="G78" s="70">
        <v>128.30000000000001</v>
      </c>
      <c r="H78" s="70">
        <v>127.3</v>
      </c>
      <c r="I78" s="70">
        <v>132.4</v>
      </c>
      <c r="J78" s="70">
        <v>133.4</v>
      </c>
      <c r="K78" s="70">
        <v>129.69999999999999</v>
      </c>
      <c r="L78" s="70">
        <v>125.2</v>
      </c>
      <c r="M78" s="70">
        <v>124</v>
      </c>
      <c r="N78" s="70">
        <v>124.1</v>
      </c>
      <c r="O78" s="70">
        <v>130.69999999999999</v>
      </c>
      <c r="P78" s="70">
        <v>133</v>
      </c>
      <c r="Q78" s="70">
        <v>130.30000000000001</v>
      </c>
      <c r="R78" s="70">
        <v>126</v>
      </c>
      <c r="S78" s="70">
        <v>132.1</v>
      </c>
      <c r="T78" s="99">
        <v>130</v>
      </c>
      <c r="U78" s="99">
        <v>125.6</v>
      </c>
      <c r="V78" s="99">
        <v>128.80000000000001</v>
      </c>
      <c r="W78" s="99">
        <v>131.19999999999999</v>
      </c>
      <c r="X78" s="99">
        <v>131.4</v>
      </c>
      <c r="Y78" s="99">
        <v>132.1</v>
      </c>
      <c r="Z78" s="99">
        <v>133.6</v>
      </c>
      <c r="AA78" s="70">
        <v>126.5</v>
      </c>
      <c r="AB78" s="70">
        <v>126.1</v>
      </c>
      <c r="AC78" s="70">
        <v>123</v>
      </c>
      <c r="AD78" s="70">
        <v>129</v>
      </c>
      <c r="AE78" s="70">
        <v>130</v>
      </c>
      <c r="AF78" s="100">
        <v>133</v>
      </c>
      <c r="AG78" s="101"/>
      <c r="AH78" s="52">
        <f>MAX(B78:AF78)</f>
        <v>135.1</v>
      </c>
      <c r="AI78" s="53">
        <f>MIN(B78:AF78)</f>
        <v>123</v>
      </c>
    </row>
    <row r="79" spans="1:35" ht="15.75" thickBot="1" x14ac:dyDescent="0.3">
      <c r="A79" s="98" t="s">
        <v>86</v>
      </c>
      <c r="B79" s="107">
        <v>66.2</v>
      </c>
      <c r="C79" s="106">
        <v>66.5</v>
      </c>
      <c r="D79" s="106">
        <v>65.599999999999994</v>
      </c>
      <c r="E79" s="106">
        <v>65.900000000000006</v>
      </c>
      <c r="F79" s="106">
        <v>65.8</v>
      </c>
      <c r="G79" s="106">
        <v>65.5</v>
      </c>
      <c r="H79" s="106">
        <v>65.5</v>
      </c>
      <c r="I79" s="106">
        <v>65.400000000000006</v>
      </c>
      <c r="J79" s="106">
        <v>65.099999999999994</v>
      </c>
      <c r="K79" s="106">
        <v>64.900000000000006</v>
      </c>
      <c r="L79" s="106">
        <v>64.8</v>
      </c>
      <c r="M79" s="106">
        <v>65</v>
      </c>
      <c r="N79" s="106">
        <v>65.2</v>
      </c>
      <c r="O79" s="106">
        <v>65.7</v>
      </c>
      <c r="P79" s="106">
        <v>65.400000000000006</v>
      </c>
      <c r="Q79" s="106">
        <v>66.5</v>
      </c>
      <c r="R79" s="106">
        <v>64.7</v>
      </c>
      <c r="S79" s="106">
        <v>65.099999999999994</v>
      </c>
      <c r="T79" s="106">
        <v>65.3</v>
      </c>
      <c r="U79" s="106">
        <v>65.599999999999994</v>
      </c>
      <c r="V79" s="106">
        <v>65.8</v>
      </c>
      <c r="W79" s="106">
        <v>66</v>
      </c>
      <c r="X79" s="106">
        <v>66</v>
      </c>
      <c r="Y79" s="106">
        <v>65.900000000000006</v>
      </c>
      <c r="Z79" s="106">
        <v>65.8</v>
      </c>
      <c r="AA79" s="106">
        <v>65.7</v>
      </c>
      <c r="AB79" s="106">
        <v>64.8</v>
      </c>
      <c r="AC79" s="106">
        <v>65.3</v>
      </c>
      <c r="AD79" s="106">
        <v>64.400000000000006</v>
      </c>
      <c r="AE79" s="106">
        <v>65.900000000000006</v>
      </c>
      <c r="AF79" s="107">
        <v>65.599999999999994</v>
      </c>
      <c r="AG79" s="108"/>
      <c r="AH79" s="52">
        <f>MAX(B79:AF79)</f>
        <v>66.5</v>
      </c>
      <c r="AI79" s="53">
        <f>MIN(B79:AF79)</f>
        <v>64.400000000000006</v>
      </c>
    </row>
    <row r="80" spans="1:35" x14ac:dyDescent="0.25">
      <c r="A80" s="109" t="s">
        <v>87</v>
      </c>
      <c r="B80" s="110">
        <f>SUMIF(B48:B57,"&gt;0")</f>
        <v>211</v>
      </c>
      <c r="C80" s="110">
        <f t="shared" ref="C80:AF80" si="19">SUMIF(C48:C57,"&gt;0")</f>
        <v>196</v>
      </c>
      <c r="D80" s="110">
        <f t="shared" si="19"/>
        <v>186</v>
      </c>
      <c r="E80" s="110">
        <f t="shared" si="19"/>
        <v>182.97</v>
      </c>
      <c r="F80" s="110">
        <f t="shared" si="19"/>
        <v>147.19999999999999</v>
      </c>
      <c r="G80" s="110">
        <f t="shared" si="19"/>
        <v>146.4</v>
      </c>
      <c r="H80" s="110">
        <f t="shared" si="19"/>
        <v>151</v>
      </c>
      <c r="I80" s="110">
        <f t="shared" si="19"/>
        <v>190</v>
      </c>
      <c r="J80" s="110">
        <f t="shared" si="19"/>
        <v>174</v>
      </c>
      <c r="K80" s="110">
        <f t="shared" si="19"/>
        <v>244.4</v>
      </c>
      <c r="L80" s="110">
        <f t="shared" si="19"/>
        <v>265.70999999999998</v>
      </c>
      <c r="M80" s="110">
        <f t="shared" si="19"/>
        <v>285.39999999999998</v>
      </c>
      <c r="N80" s="110">
        <f t="shared" si="19"/>
        <v>302.5</v>
      </c>
      <c r="O80" s="110">
        <f t="shared" si="19"/>
        <v>316</v>
      </c>
      <c r="P80" s="110">
        <f t="shared" si="19"/>
        <v>303.3</v>
      </c>
      <c r="Q80" s="110">
        <f t="shared" si="19"/>
        <v>217.7</v>
      </c>
      <c r="R80" s="110">
        <f t="shared" si="19"/>
        <v>220.9</v>
      </c>
      <c r="S80" s="110">
        <f t="shared" si="19"/>
        <v>251.5</v>
      </c>
      <c r="T80" s="110">
        <f t="shared" si="19"/>
        <v>169</v>
      </c>
      <c r="U80" s="110">
        <f t="shared" si="19"/>
        <v>138</v>
      </c>
      <c r="V80" s="110">
        <f t="shared" si="19"/>
        <v>118.2</v>
      </c>
      <c r="W80" s="110">
        <f t="shared" si="19"/>
        <v>104.15</v>
      </c>
      <c r="X80" s="110">
        <f t="shared" si="19"/>
        <v>119.63</v>
      </c>
      <c r="Y80" s="110">
        <f t="shared" si="19"/>
        <v>171.9</v>
      </c>
      <c r="Z80" s="110">
        <f t="shared" si="19"/>
        <v>229.98</v>
      </c>
      <c r="AA80" s="110">
        <f t="shared" si="19"/>
        <v>316.14</v>
      </c>
      <c r="AB80" s="110">
        <f t="shared" si="19"/>
        <v>310</v>
      </c>
      <c r="AC80" s="110">
        <f t="shared" si="19"/>
        <v>305</v>
      </c>
      <c r="AD80" s="110">
        <f t="shared" si="19"/>
        <v>240</v>
      </c>
      <c r="AE80" s="110">
        <f t="shared" si="19"/>
        <v>156</v>
      </c>
      <c r="AF80" s="110">
        <f t="shared" si="19"/>
        <v>128</v>
      </c>
      <c r="AG80" s="111"/>
      <c r="AH80" s="52">
        <f>MAX(B80:AF80)</f>
        <v>316.14</v>
      </c>
      <c r="AI80" s="53">
        <f>MIN(B80:AF80)</f>
        <v>104.15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B11+B13+B17+B34+B36+B38+B40+B95+B109+B111+B122+B128+B131+B140+B144+B145+B148+B155+B160+B163+B164+B165+B173+B178+B83+B84+B85+B86+B100</f>
        <v>128.81999999999996</v>
      </c>
      <c r="C82" s="115">
        <f t="shared" ref="C82:AF82" si="20">C11+C13+C17+C34+C36+C38+C40+C95+C109+C111+C122+C128+C131+C140+C144+C145+C148+C155+C160+C163+C164+C165+C173+C178+C83+C84+C85+C86+C100</f>
        <v>128.82000000000002</v>
      </c>
      <c r="D82" s="115">
        <f t="shared" si="20"/>
        <v>126.11999999999998</v>
      </c>
      <c r="E82" s="115">
        <f t="shared" si="20"/>
        <v>129.62</v>
      </c>
      <c r="F82" s="115">
        <f t="shared" si="20"/>
        <v>147.11999999999998</v>
      </c>
      <c r="G82" s="115">
        <f t="shared" si="20"/>
        <v>164.32</v>
      </c>
      <c r="H82" s="115">
        <f t="shared" si="20"/>
        <v>186.51999999999998</v>
      </c>
      <c r="I82" s="115">
        <f t="shared" si="20"/>
        <v>198.92000000000002</v>
      </c>
      <c r="J82" s="115">
        <f t="shared" si="20"/>
        <v>214.91999999999996</v>
      </c>
      <c r="K82" s="115">
        <f t="shared" si="20"/>
        <v>280.61999999999995</v>
      </c>
      <c r="L82" s="115">
        <f t="shared" si="20"/>
        <v>249.81999999999996</v>
      </c>
      <c r="M82" s="115">
        <f t="shared" si="20"/>
        <v>291.41999999999996</v>
      </c>
      <c r="N82" s="115">
        <f t="shared" si="20"/>
        <v>240.01999999999998</v>
      </c>
      <c r="O82" s="115">
        <f t="shared" si="20"/>
        <v>267.52</v>
      </c>
      <c r="P82" s="115">
        <f t="shared" si="20"/>
        <v>228.51999999999998</v>
      </c>
      <c r="Q82" s="115">
        <f t="shared" si="20"/>
        <v>264.81999999999994</v>
      </c>
      <c r="R82" s="115">
        <f t="shared" si="20"/>
        <v>262.11999999999995</v>
      </c>
      <c r="S82" s="115">
        <f t="shared" si="20"/>
        <v>260.52</v>
      </c>
      <c r="T82" s="115">
        <f t="shared" si="20"/>
        <v>212.72</v>
      </c>
      <c r="U82" s="115">
        <f t="shared" si="20"/>
        <v>207.31999999999996</v>
      </c>
      <c r="V82" s="115">
        <f t="shared" si="20"/>
        <v>207.82000000000002</v>
      </c>
      <c r="W82" s="115">
        <f t="shared" si="20"/>
        <v>213.02</v>
      </c>
      <c r="X82" s="115">
        <f t="shared" si="20"/>
        <v>230.42</v>
      </c>
      <c r="Y82" s="115">
        <f t="shared" si="20"/>
        <v>255.41999999999996</v>
      </c>
      <c r="Z82" s="115">
        <f t="shared" si="20"/>
        <v>281.62</v>
      </c>
      <c r="AA82" s="115">
        <f t="shared" si="20"/>
        <v>301.71999999999991</v>
      </c>
      <c r="AB82" s="115">
        <f t="shared" si="20"/>
        <v>266.9199999999999</v>
      </c>
      <c r="AC82" s="115">
        <f t="shared" si="20"/>
        <v>213.11999999999998</v>
      </c>
      <c r="AD82" s="115">
        <f t="shared" si="20"/>
        <v>167.71999999999997</v>
      </c>
      <c r="AE82" s="115">
        <f t="shared" si="20"/>
        <v>137.41999999999996</v>
      </c>
      <c r="AF82" s="115">
        <f t="shared" si="20"/>
        <v>313.61999999999995</v>
      </c>
      <c r="AG82" s="116"/>
      <c r="AH82" s="52">
        <f>MAX(B82:AF82)</f>
        <v>313.61999999999995</v>
      </c>
      <c r="AI82" s="53">
        <f>MIN(B82:AF82)</f>
        <v>126.11999999999998</v>
      </c>
    </row>
    <row r="83" spans="1:37" ht="15.75" x14ac:dyDescent="0.25">
      <c r="A83" s="117" t="s">
        <v>89</v>
      </c>
      <c r="B83" s="119">
        <v>55</v>
      </c>
      <c r="C83" s="118">
        <v>59</v>
      </c>
      <c r="D83" s="118">
        <v>67.400000000000006</v>
      </c>
      <c r="E83" s="118">
        <v>67.2</v>
      </c>
      <c r="F83" s="118">
        <v>72.099999999999994</v>
      </c>
      <c r="G83" s="118">
        <v>75.400000000000006</v>
      </c>
      <c r="H83" s="118">
        <v>74.2</v>
      </c>
      <c r="I83" s="118">
        <v>68.400000000000006</v>
      </c>
      <c r="J83" s="118">
        <v>77.099999999999994</v>
      </c>
      <c r="K83" s="118">
        <v>75.400000000000006</v>
      </c>
      <c r="L83" s="118">
        <v>75.599999999999994</v>
      </c>
      <c r="M83" s="118">
        <v>79.2</v>
      </c>
      <c r="N83" s="118">
        <v>53.4</v>
      </c>
      <c r="O83" s="118">
        <v>67.900000000000006</v>
      </c>
      <c r="P83" s="118">
        <v>62.3</v>
      </c>
      <c r="Q83" s="118">
        <v>67.3</v>
      </c>
      <c r="R83" s="118">
        <v>72</v>
      </c>
      <c r="S83" s="118">
        <v>69.099999999999994</v>
      </c>
      <c r="T83" s="118">
        <v>69.3</v>
      </c>
      <c r="U83" s="118">
        <v>64.400000000000006</v>
      </c>
      <c r="V83" s="118">
        <v>67.2</v>
      </c>
      <c r="W83" s="118">
        <v>70.400000000000006</v>
      </c>
      <c r="X83" s="118">
        <v>73.8</v>
      </c>
      <c r="Y83" s="118">
        <v>75.599999999999994</v>
      </c>
      <c r="Z83" s="197">
        <v>73.2</v>
      </c>
      <c r="AA83" s="50">
        <v>64.8</v>
      </c>
      <c r="AB83" s="50">
        <v>68.5</v>
      </c>
      <c r="AC83" s="50">
        <v>63</v>
      </c>
      <c r="AD83" s="50">
        <v>63</v>
      </c>
      <c r="AE83" s="50">
        <v>65</v>
      </c>
      <c r="AF83" s="119">
        <v>59</v>
      </c>
      <c r="AG83" s="120">
        <v>75</v>
      </c>
      <c r="AH83" s="52">
        <f>IF(ABS(MAX(B83:AF83))&gt;ABS(MIN(B83:AF83)),MAX(B83:AF83),MIN(B83:AF83))</f>
        <v>79.2</v>
      </c>
      <c r="AI83" s="121">
        <f>INDEX($B$9:$AF$9,1,MATCH(AH83,B83:AF83,0))</f>
        <v>0.375</v>
      </c>
    </row>
    <row r="84" spans="1:37" ht="15.75" x14ac:dyDescent="0.25">
      <c r="A84" s="122" t="s">
        <v>90</v>
      </c>
      <c r="B84" s="123">
        <v>-58</v>
      </c>
      <c r="C84" s="83">
        <v>-63</v>
      </c>
      <c r="D84" s="83">
        <v>-67</v>
      </c>
      <c r="E84" s="83">
        <v>-65</v>
      </c>
      <c r="F84" s="83">
        <v>-67</v>
      </c>
      <c r="G84" s="83">
        <v>-58</v>
      </c>
      <c r="H84" s="83">
        <v>-50</v>
      </c>
      <c r="I84" s="83">
        <v>-40</v>
      </c>
      <c r="J84" s="83">
        <v>-43</v>
      </c>
      <c r="K84" s="83">
        <v>-33</v>
      </c>
      <c r="L84" s="83">
        <v>-23</v>
      </c>
      <c r="M84" s="83">
        <v>-25</v>
      </c>
      <c r="N84" s="83">
        <v>-14</v>
      </c>
      <c r="O84" s="83">
        <v>-24</v>
      </c>
      <c r="P84" s="83">
        <v>-17.8</v>
      </c>
      <c r="Q84" s="83">
        <v>-19.5</v>
      </c>
      <c r="R84" s="83">
        <v>-25</v>
      </c>
      <c r="S84" s="83">
        <v>-23.7</v>
      </c>
      <c r="T84" s="83">
        <v>-24</v>
      </c>
      <c r="U84" s="83">
        <v>-24.7</v>
      </c>
      <c r="V84" s="83">
        <v>-28</v>
      </c>
      <c r="W84" s="83">
        <v>-29</v>
      </c>
      <c r="X84" s="83">
        <v>-31.3</v>
      </c>
      <c r="Y84" s="83">
        <v>-21.5</v>
      </c>
      <c r="Z84" s="195">
        <v>-10</v>
      </c>
      <c r="AA84" s="70">
        <v>1.4</v>
      </c>
      <c r="AB84" s="70">
        <v>15.5</v>
      </c>
      <c r="AC84" s="70">
        <v>-16</v>
      </c>
      <c r="AD84" s="70">
        <v>-34</v>
      </c>
      <c r="AE84" s="70">
        <v>-55</v>
      </c>
      <c r="AF84" s="123">
        <v>-59</v>
      </c>
      <c r="AG84" s="120">
        <v>240</v>
      </c>
      <c r="AH84" s="52">
        <f>IF(ABS(MAX(B84:AF84))&gt;ABS(MIN(B84:AF84)),MAX(B84:AF84),MIN(B84:AF84))</f>
        <v>-67</v>
      </c>
      <c r="AI84" s="121">
        <f>INDEX($B$9:$AF$9,1,MATCH(AH84,B84:AF84,0))</f>
        <v>0.125</v>
      </c>
    </row>
    <row r="85" spans="1:37" ht="15.75" x14ac:dyDescent="0.25">
      <c r="A85" s="122" t="s">
        <v>91</v>
      </c>
      <c r="B85" s="123">
        <v>7.7</v>
      </c>
      <c r="C85" s="83">
        <v>7.6</v>
      </c>
      <c r="D85" s="83">
        <v>0.6</v>
      </c>
      <c r="E85" s="83">
        <v>0.7</v>
      </c>
      <c r="F85" s="83">
        <v>6.2</v>
      </c>
      <c r="G85" s="83">
        <v>2.5</v>
      </c>
      <c r="H85" s="83">
        <v>8.1</v>
      </c>
      <c r="I85" s="83">
        <v>10.8</v>
      </c>
      <c r="J85" s="83">
        <v>14.5</v>
      </c>
      <c r="K85" s="83">
        <v>13.9</v>
      </c>
      <c r="L85" s="83">
        <v>13.7</v>
      </c>
      <c r="M85" s="83">
        <v>13.4</v>
      </c>
      <c r="N85" s="83">
        <v>25.1</v>
      </c>
      <c r="O85" s="83">
        <v>11.5</v>
      </c>
      <c r="P85" s="83">
        <v>14.1</v>
      </c>
      <c r="Q85" s="83">
        <v>8.5</v>
      </c>
      <c r="R85" s="83">
        <v>8</v>
      </c>
      <c r="S85" s="83">
        <v>6.9</v>
      </c>
      <c r="T85" s="83">
        <v>7</v>
      </c>
      <c r="U85" s="83">
        <v>8.6999999999999993</v>
      </c>
      <c r="V85" s="83">
        <v>7.8</v>
      </c>
      <c r="W85" s="83">
        <v>8.3000000000000007</v>
      </c>
      <c r="X85" s="83">
        <v>12.8</v>
      </c>
      <c r="Y85" s="83">
        <v>16.2</v>
      </c>
      <c r="Z85" s="195">
        <v>17.600000000000001</v>
      </c>
      <c r="AA85" s="70">
        <v>11.3</v>
      </c>
      <c r="AB85" s="70">
        <v>9.5</v>
      </c>
      <c r="AC85" s="70">
        <v>3.5</v>
      </c>
      <c r="AD85" s="70">
        <v>-2.6</v>
      </c>
      <c r="AE85" s="70">
        <v>2.1</v>
      </c>
      <c r="AF85" s="123">
        <v>10</v>
      </c>
      <c r="AG85" s="120">
        <v>60</v>
      </c>
      <c r="AH85" s="52">
        <f>IF(ABS(MAX(B85:AF85))&gt;ABS(MIN(B85:AF85)),MAX(B85:AF85),MIN(B85:AF85))</f>
        <v>25.1</v>
      </c>
      <c r="AI85" s="121">
        <f>INDEX($B$9:$AF$9,1,MATCH(AH85,B85:AF85,0))</f>
        <v>0.41666666666666702</v>
      </c>
    </row>
    <row r="86" spans="1:37" ht="15.75" x14ac:dyDescent="0.25">
      <c r="A86" s="124" t="s">
        <v>92</v>
      </c>
      <c r="B86" s="126">
        <v>-97.6</v>
      </c>
      <c r="C86" s="85">
        <v>-98</v>
      </c>
      <c r="D86" s="85">
        <v>-98</v>
      </c>
      <c r="E86" s="85">
        <v>-95.8</v>
      </c>
      <c r="F86" s="85">
        <v>-88.1</v>
      </c>
      <c r="G86" s="85">
        <v>-80</v>
      </c>
      <c r="H86" s="85">
        <v>-70.099999999999994</v>
      </c>
      <c r="I86" s="85">
        <v>-62.1</v>
      </c>
      <c r="J86" s="85">
        <v>-57.9</v>
      </c>
      <c r="K86" s="85"/>
      <c r="L86" s="85">
        <v>-40.299999999999997</v>
      </c>
      <c r="M86" s="85"/>
      <c r="N86" s="85">
        <v>-40.9</v>
      </c>
      <c r="O86" s="85"/>
      <c r="P86" s="85">
        <v>-39.4</v>
      </c>
      <c r="Q86" s="85"/>
      <c r="R86" s="85"/>
      <c r="S86" s="85">
        <v>0</v>
      </c>
      <c r="T86" s="85">
        <v>-46.2</v>
      </c>
      <c r="U86" s="85">
        <v>-46.8</v>
      </c>
      <c r="V86" s="85">
        <v>-46.5</v>
      </c>
      <c r="W86" s="85">
        <v>-43.8</v>
      </c>
      <c r="X86" s="85">
        <v>-31</v>
      </c>
      <c r="Y86" s="85">
        <v>-20.9</v>
      </c>
      <c r="Z86" s="196">
        <v>-9.5</v>
      </c>
      <c r="AA86" s="125">
        <v>11.3</v>
      </c>
      <c r="AB86" s="125">
        <v>-45.3</v>
      </c>
      <c r="AC86" s="125">
        <v>-51</v>
      </c>
      <c r="AD86" s="125">
        <v>-74</v>
      </c>
      <c r="AE86" s="125">
        <v>-87</v>
      </c>
      <c r="AF86" s="126">
        <v>91</v>
      </c>
      <c r="AG86" s="127">
        <v>120</v>
      </c>
      <c r="AH86" s="52">
        <f>IF(ABS(MAX(B86:AF86))&gt;ABS(MIN(B86:AF86)),MAX(B86:AF86),MIN(B86:AF86))</f>
        <v>-98</v>
      </c>
      <c r="AI86" s="121">
        <f>INDEX($B$9:$AF$9,1,MATCH(AH86,B86:AF86,0))</f>
        <v>8.3333333333333301E-2</v>
      </c>
    </row>
    <row r="87" spans="1:37" x14ac:dyDescent="0.25">
      <c r="A87" s="124" t="s">
        <v>93</v>
      </c>
      <c r="B87" s="126">
        <v>33</v>
      </c>
      <c r="C87" s="85">
        <v>23</v>
      </c>
      <c r="D87" s="85">
        <v>22.4</v>
      </c>
      <c r="E87" s="85">
        <v>24.5</v>
      </c>
      <c r="F87" s="85">
        <v>8.6999999999999993</v>
      </c>
      <c r="G87" s="85">
        <v>12</v>
      </c>
      <c r="H87" s="85">
        <v>13.6</v>
      </c>
      <c r="I87" s="85">
        <v>26.3</v>
      </c>
      <c r="J87" s="85">
        <v>14.5</v>
      </c>
      <c r="K87" s="85">
        <v>22.3</v>
      </c>
      <c r="L87" s="85">
        <v>37</v>
      </c>
      <c r="M87" s="85">
        <v>34</v>
      </c>
      <c r="N87" s="85">
        <v>60</v>
      </c>
      <c r="O87" s="85">
        <v>54.8</v>
      </c>
      <c r="P87" s="85">
        <v>49</v>
      </c>
      <c r="Q87" s="85">
        <v>25.4</v>
      </c>
      <c r="R87" s="85">
        <v>40</v>
      </c>
      <c r="S87" s="85">
        <v>31.1</v>
      </c>
      <c r="T87" s="85">
        <v>27.8</v>
      </c>
      <c r="U87" s="85">
        <v>30</v>
      </c>
      <c r="V87" s="85">
        <v>24.6</v>
      </c>
      <c r="W87" s="85">
        <v>14</v>
      </c>
      <c r="X87" s="85">
        <v>8.9</v>
      </c>
      <c r="Y87" s="85">
        <v>16.2</v>
      </c>
      <c r="Z87" s="198">
        <v>30.2</v>
      </c>
      <c r="AA87" s="125">
        <v>-25</v>
      </c>
      <c r="AB87" s="125">
        <v>47.8</v>
      </c>
      <c r="AC87" s="125">
        <v>57</v>
      </c>
      <c r="AD87" s="125">
        <v>45</v>
      </c>
      <c r="AE87" s="125">
        <v>20</v>
      </c>
      <c r="AF87" s="126">
        <v>12</v>
      </c>
      <c r="AG87" s="127"/>
      <c r="AH87" s="52">
        <f>IF(ABS(MAX(B87:AF87))&gt;ABS(MIN(B87:AF87)),MAX(B87:AF87),MIN(B87:AF87))</f>
        <v>60</v>
      </c>
      <c r="AI87" s="121">
        <f>INDEX($B$9:$AF$9,1,MATCH(AH87,B87:AF87,0))</f>
        <v>0.41666666666666702</v>
      </c>
    </row>
    <row r="88" spans="1:37" ht="15.75" thickBot="1" x14ac:dyDescent="0.3">
      <c r="A88" s="193" t="s">
        <v>208</v>
      </c>
      <c r="B88" s="126"/>
      <c r="C88" s="85"/>
      <c r="D88" s="85">
        <v>80.400000000000006</v>
      </c>
      <c r="E88" s="85">
        <v>78</v>
      </c>
      <c r="F88" s="85">
        <v>82.2</v>
      </c>
      <c r="G88" s="85">
        <v>84.4</v>
      </c>
      <c r="H88" s="85">
        <v>77.2</v>
      </c>
      <c r="I88" s="85">
        <v>83.5</v>
      </c>
      <c r="J88" s="85">
        <v>83</v>
      </c>
      <c r="K88" s="85">
        <v>80</v>
      </c>
      <c r="L88" s="85">
        <v>75.599999999999994</v>
      </c>
      <c r="M88" s="85">
        <v>32</v>
      </c>
      <c r="N88" s="85">
        <v>51.2</v>
      </c>
      <c r="O88" s="85">
        <v>62.7</v>
      </c>
      <c r="P88" s="85">
        <v>55.5</v>
      </c>
      <c r="Q88" s="85">
        <v>60.6</v>
      </c>
      <c r="R88" s="85">
        <v>28</v>
      </c>
      <c r="S88" s="85">
        <v>70.7</v>
      </c>
      <c r="T88" s="85">
        <v>72.599999999999994</v>
      </c>
      <c r="U88" s="85">
        <v>66.900000000000006</v>
      </c>
      <c r="V88" s="85">
        <v>72</v>
      </c>
      <c r="W88" s="85">
        <v>74</v>
      </c>
      <c r="X88" s="85">
        <v>80.2</v>
      </c>
      <c r="Y88" s="85">
        <v>78.099999999999994</v>
      </c>
      <c r="Z88" s="199">
        <v>78</v>
      </c>
      <c r="AA88" s="125">
        <v>58</v>
      </c>
      <c r="AB88" s="125">
        <v>62.4</v>
      </c>
      <c r="AC88" s="125">
        <v>55.6</v>
      </c>
      <c r="AD88" s="125">
        <v>61</v>
      </c>
      <c r="AE88" s="125">
        <v>68</v>
      </c>
      <c r="AF88" s="126">
        <v>63</v>
      </c>
      <c r="AG88" s="192"/>
      <c r="AH88" s="52"/>
      <c r="AI88" s="121"/>
    </row>
    <row r="89" spans="1:37" ht="15.75" thickBot="1" x14ac:dyDescent="0.3">
      <c r="A89" s="128" t="s">
        <v>94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30"/>
      <c r="AH89" s="131"/>
      <c r="AI89" s="53"/>
    </row>
    <row r="90" spans="1:37" x14ac:dyDescent="0.25">
      <c r="A90" s="132" t="s">
        <v>95</v>
      </c>
      <c r="B90" s="51">
        <v>9.9</v>
      </c>
      <c r="C90" s="133">
        <f t="shared" ref="C90:R105" si="21">B90</f>
        <v>9.9</v>
      </c>
      <c r="D90" s="133">
        <f t="shared" si="21"/>
        <v>9.9</v>
      </c>
      <c r="E90" s="133">
        <f t="shared" si="21"/>
        <v>9.9</v>
      </c>
      <c r="F90" s="133"/>
      <c r="G90" s="133">
        <f t="shared" si="21"/>
        <v>0</v>
      </c>
      <c r="H90" s="133">
        <f t="shared" si="21"/>
        <v>0</v>
      </c>
      <c r="I90" s="133">
        <f t="shared" si="21"/>
        <v>0</v>
      </c>
      <c r="J90" s="133">
        <f t="shared" si="21"/>
        <v>0</v>
      </c>
      <c r="K90" s="133">
        <f t="shared" si="21"/>
        <v>0</v>
      </c>
      <c r="L90" s="133">
        <f t="shared" si="21"/>
        <v>0</v>
      </c>
      <c r="M90" s="133">
        <f t="shared" si="21"/>
        <v>0</v>
      </c>
      <c r="N90" s="133">
        <f t="shared" si="21"/>
        <v>0</v>
      </c>
      <c r="O90" s="133">
        <f t="shared" si="21"/>
        <v>0</v>
      </c>
      <c r="P90" s="133">
        <f t="shared" si="21"/>
        <v>0</v>
      </c>
      <c r="Q90" s="133">
        <f t="shared" si="21"/>
        <v>0</v>
      </c>
      <c r="R90" s="133">
        <f t="shared" si="21"/>
        <v>0</v>
      </c>
      <c r="S90" s="133">
        <f t="shared" ref="S90:AF105" si="22">R90</f>
        <v>0</v>
      </c>
      <c r="T90" s="133">
        <f t="shared" si="22"/>
        <v>0</v>
      </c>
      <c r="U90" s="133">
        <f t="shared" si="22"/>
        <v>0</v>
      </c>
      <c r="V90" s="133">
        <f t="shared" si="22"/>
        <v>0</v>
      </c>
      <c r="W90" s="133">
        <f t="shared" si="22"/>
        <v>0</v>
      </c>
      <c r="X90" s="133">
        <f t="shared" si="22"/>
        <v>0</v>
      </c>
      <c r="Y90" s="133">
        <f t="shared" si="22"/>
        <v>0</v>
      </c>
      <c r="Z90" s="133">
        <f t="shared" si="22"/>
        <v>0</v>
      </c>
      <c r="AA90" s="133">
        <f t="shared" si="22"/>
        <v>0</v>
      </c>
      <c r="AB90" s="133">
        <f t="shared" si="22"/>
        <v>0</v>
      </c>
      <c r="AC90" s="133">
        <f t="shared" si="22"/>
        <v>0</v>
      </c>
      <c r="AD90" s="133">
        <f t="shared" si="22"/>
        <v>0</v>
      </c>
      <c r="AE90" s="133">
        <f t="shared" si="22"/>
        <v>0</v>
      </c>
      <c r="AF90" s="133">
        <f t="shared" si="22"/>
        <v>0</v>
      </c>
      <c r="AG90" s="134">
        <v>9.9</v>
      </c>
      <c r="AH90" s="52"/>
      <c r="AI90" s="53"/>
      <c r="AK90" s="54"/>
    </row>
    <row r="91" spans="1:37" x14ac:dyDescent="0.25">
      <c r="A91" s="122" t="s">
        <v>96</v>
      </c>
      <c r="B91" s="135">
        <v>9.6</v>
      </c>
      <c r="C91" s="136">
        <f t="shared" si="21"/>
        <v>9.6</v>
      </c>
      <c r="D91" s="136">
        <f t="shared" si="21"/>
        <v>9.6</v>
      </c>
      <c r="E91" s="136">
        <f t="shared" si="21"/>
        <v>9.6</v>
      </c>
      <c r="F91" s="136">
        <f t="shared" si="21"/>
        <v>9.6</v>
      </c>
      <c r="G91" s="136">
        <f t="shared" si="21"/>
        <v>9.6</v>
      </c>
      <c r="H91" s="136">
        <f t="shared" si="21"/>
        <v>9.6</v>
      </c>
      <c r="I91" s="136">
        <f t="shared" si="21"/>
        <v>9.6</v>
      </c>
      <c r="J91" s="136">
        <f t="shared" si="21"/>
        <v>9.6</v>
      </c>
      <c r="K91" s="136">
        <f t="shared" si="21"/>
        <v>9.6</v>
      </c>
      <c r="L91" s="136">
        <f t="shared" si="21"/>
        <v>9.6</v>
      </c>
      <c r="M91" s="136">
        <f t="shared" si="21"/>
        <v>9.6</v>
      </c>
      <c r="N91" s="136">
        <f t="shared" si="21"/>
        <v>9.6</v>
      </c>
      <c r="O91" s="136">
        <f t="shared" si="21"/>
        <v>9.6</v>
      </c>
      <c r="P91" s="136">
        <f t="shared" si="21"/>
        <v>9.6</v>
      </c>
      <c r="Q91" s="136">
        <f t="shared" si="21"/>
        <v>9.6</v>
      </c>
      <c r="R91" s="136">
        <f t="shared" si="21"/>
        <v>9.6</v>
      </c>
      <c r="S91" s="136">
        <f t="shared" si="22"/>
        <v>9.6</v>
      </c>
      <c r="T91" s="136">
        <f t="shared" si="22"/>
        <v>9.6</v>
      </c>
      <c r="U91" s="136">
        <f t="shared" si="22"/>
        <v>9.6</v>
      </c>
      <c r="V91" s="136">
        <f t="shared" si="22"/>
        <v>9.6</v>
      </c>
      <c r="W91" s="136">
        <f t="shared" si="22"/>
        <v>9.6</v>
      </c>
      <c r="X91" s="136">
        <f t="shared" si="22"/>
        <v>9.6</v>
      </c>
      <c r="Y91" s="136">
        <f t="shared" si="22"/>
        <v>9.6</v>
      </c>
      <c r="Z91" s="136">
        <f t="shared" si="22"/>
        <v>9.6</v>
      </c>
      <c r="AA91" s="136">
        <f t="shared" si="22"/>
        <v>9.6</v>
      </c>
      <c r="AB91" s="136">
        <f t="shared" si="22"/>
        <v>9.6</v>
      </c>
      <c r="AC91" s="136">
        <f t="shared" si="22"/>
        <v>9.6</v>
      </c>
      <c r="AD91" s="136">
        <f t="shared" si="22"/>
        <v>9.6</v>
      </c>
      <c r="AE91" s="136">
        <f t="shared" si="22"/>
        <v>9.6</v>
      </c>
      <c r="AF91" s="136">
        <f t="shared" si="22"/>
        <v>9.6</v>
      </c>
      <c r="AG91" s="137">
        <v>9.6579999999999995</v>
      </c>
      <c r="AH91" s="52"/>
      <c r="AI91" s="53"/>
      <c r="AK91" s="54"/>
    </row>
    <row r="92" spans="1:37" x14ac:dyDescent="0.25">
      <c r="A92" s="124" t="s">
        <v>97</v>
      </c>
      <c r="B92" s="135">
        <v>9.98</v>
      </c>
      <c r="C92" s="136">
        <f t="shared" si="21"/>
        <v>9.98</v>
      </c>
      <c r="D92" s="136">
        <f t="shared" si="21"/>
        <v>9.98</v>
      </c>
      <c r="E92" s="136">
        <f t="shared" si="21"/>
        <v>9.98</v>
      </c>
      <c r="F92" s="136">
        <f t="shared" si="21"/>
        <v>9.98</v>
      </c>
      <c r="G92" s="136">
        <f t="shared" si="21"/>
        <v>9.98</v>
      </c>
      <c r="H92" s="136">
        <f t="shared" si="21"/>
        <v>9.98</v>
      </c>
      <c r="I92" s="136">
        <f t="shared" si="21"/>
        <v>9.98</v>
      </c>
      <c r="J92" s="136">
        <f t="shared" si="21"/>
        <v>9.98</v>
      </c>
      <c r="K92" s="136">
        <f t="shared" si="21"/>
        <v>9.98</v>
      </c>
      <c r="L92" s="136">
        <f t="shared" si="21"/>
        <v>9.98</v>
      </c>
      <c r="M92" s="136">
        <f t="shared" si="21"/>
        <v>9.98</v>
      </c>
      <c r="N92" s="136">
        <f t="shared" si="21"/>
        <v>9.98</v>
      </c>
      <c r="O92" s="136">
        <f t="shared" si="21"/>
        <v>9.98</v>
      </c>
      <c r="P92" s="136">
        <f t="shared" si="21"/>
        <v>9.98</v>
      </c>
      <c r="Q92" s="136">
        <f t="shared" si="21"/>
        <v>9.98</v>
      </c>
      <c r="R92" s="136">
        <f t="shared" si="21"/>
        <v>9.98</v>
      </c>
      <c r="S92" s="136">
        <f t="shared" si="22"/>
        <v>9.98</v>
      </c>
      <c r="T92" s="136">
        <f t="shared" si="22"/>
        <v>9.98</v>
      </c>
      <c r="U92" s="136">
        <f t="shared" si="22"/>
        <v>9.98</v>
      </c>
      <c r="V92" s="136">
        <f t="shared" si="22"/>
        <v>9.98</v>
      </c>
      <c r="W92" s="136">
        <f t="shared" si="22"/>
        <v>9.98</v>
      </c>
      <c r="X92" s="136">
        <f t="shared" si="22"/>
        <v>9.98</v>
      </c>
      <c r="Y92" s="136">
        <f t="shared" si="22"/>
        <v>9.98</v>
      </c>
      <c r="Z92" s="136">
        <f t="shared" si="22"/>
        <v>9.98</v>
      </c>
      <c r="AA92" s="136">
        <f t="shared" si="22"/>
        <v>9.98</v>
      </c>
      <c r="AB92" s="136">
        <f t="shared" si="22"/>
        <v>9.98</v>
      </c>
      <c r="AC92" s="136">
        <f t="shared" si="22"/>
        <v>9.98</v>
      </c>
      <c r="AD92" s="136">
        <f t="shared" si="22"/>
        <v>9.98</v>
      </c>
      <c r="AE92" s="136">
        <f t="shared" si="22"/>
        <v>9.98</v>
      </c>
      <c r="AF92" s="136">
        <f t="shared" si="22"/>
        <v>9.98</v>
      </c>
      <c r="AG92" s="138">
        <v>9.6</v>
      </c>
      <c r="AH92" s="52"/>
      <c r="AI92" s="53"/>
      <c r="AK92" s="54"/>
    </row>
    <row r="93" spans="1:37" x14ac:dyDescent="0.25">
      <c r="A93" s="124" t="s">
        <v>98</v>
      </c>
      <c r="B93" s="135">
        <v>9.1</v>
      </c>
      <c r="C93" s="136">
        <f t="shared" si="21"/>
        <v>9.1</v>
      </c>
      <c r="D93" s="136">
        <f t="shared" si="21"/>
        <v>9.1</v>
      </c>
      <c r="E93" s="136">
        <f t="shared" si="21"/>
        <v>9.1</v>
      </c>
      <c r="F93" s="136">
        <f t="shared" si="21"/>
        <v>9.1</v>
      </c>
      <c r="G93" s="136">
        <f t="shared" si="21"/>
        <v>9.1</v>
      </c>
      <c r="H93" s="136">
        <f t="shared" si="21"/>
        <v>9.1</v>
      </c>
      <c r="I93" s="136">
        <f t="shared" si="21"/>
        <v>9.1</v>
      </c>
      <c r="J93" s="136">
        <f t="shared" si="21"/>
        <v>9.1</v>
      </c>
      <c r="K93" s="136">
        <f t="shared" si="21"/>
        <v>9.1</v>
      </c>
      <c r="L93" s="136">
        <f t="shared" si="21"/>
        <v>9.1</v>
      </c>
      <c r="M93" s="136">
        <f t="shared" si="21"/>
        <v>9.1</v>
      </c>
      <c r="N93" s="136">
        <f t="shared" si="21"/>
        <v>9.1</v>
      </c>
      <c r="O93" s="136">
        <f t="shared" si="21"/>
        <v>9.1</v>
      </c>
      <c r="P93" s="136">
        <f t="shared" si="21"/>
        <v>9.1</v>
      </c>
      <c r="Q93" s="136">
        <f t="shared" si="21"/>
        <v>9.1</v>
      </c>
      <c r="R93" s="136">
        <f t="shared" si="21"/>
        <v>9.1</v>
      </c>
      <c r="S93" s="136">
        <f t="shared" si="22"/>
        <v>9.1</v>
      </c>
      <c r="T93" s="136">
        <f t="shared" si="22"/>
        <v>9.1</v>
      </c>
      <c r="U93" s="136">
        <f t="shared" si="22"/>
        <v>9.1</v>
      </c>
      <c r="V93" s="136">
        <f t="shared" si="22"/>
        <v>9.1</v>
      </c>
      <c r="W93" s="136">
        <f t="shared" si="22"/>
        <v>9.1</v>
      </c>
      <c r="X93" s="136">
        <f t="shared" si="22"/>
        <v>9.1</v>
      </c>
      <c r="Y93" s="136">
        <f t="shared" si="22"/>
        <v>9.1</v>
      </c>
      <c r="Z93" s="136">
        <f t="shared" si="22"/>
        <v>9.1</v>
      </c>
      <c r="AA93" s="136">
        <f t="shared" si="22"/>
        <v>9.1</v>
      </c>
      <c r="AB93" s="136">
        <f t="shared" si="22"/>
        <v>9.1</v>
      </c>
      <c r="AC93" s="136">
        <f t="shared" si="22"/>
        <v>9.1</v>
      </c>
      <c r="AD93" s="136">
        <f t="shared" si="22"/>
        <v>9.1</v>
      </c>
      <c r="AE93" s="136">
        <f t="shared" si="22"/>
        <v>9.1</v>
      </c>
      <c r="AF93" s="136">
        <f t="shared" si="22"/>
        <v>9.1</v>
      </c>
      <c r="AG93" s="138">
        <v>9.4</v>
      </c>
      <c r="AH93" s="52"/>
      <c r="AI93" s="53"/>
      <c r="AK93" s="54"/>
    </row>
    <row r="94" spans="1:37" x14ac:dyDescent="0.25">
      <c r="A94" s="122" t="s">
        <v>99</v>
      </c>
      <c r="B94" s="135">
        <v>9.18</v>
      </c>
      <c r="C94" s="136">
        <f t="shared" si="21"/>
        <v>9.18</v>
      </c>
      <c r="D94" s="136">
        <f t="shared" si="21"/>
        <v>9.18</v>
      </c>
      <c r="E94" s="136">
        <f t="shared" si="21"/>
        <v>9.18</v>
      </c>
      <c r="F94" s="136">
        <f t="shared" si="21"/>
        <v>9.18</v>
      </c>
      <c r="G94" s="136">
        <f t="shared" si="21"/>
        <v>9.18</v>
      </c>
      <c r="H94" s="136">
        <f t="shared" si="21"/>
        <v>9.18</v>
      </c>
      <c r="I94" s="136">
        <f t="shared" si="21"/>
        <v>9.18</v>
      </c>
      <c r="J94" s="136">
        <f t="shared" si="21"/>
        <v>9.18</v>
      </c>
      <c r="K94" s="136">
        <f t="shared" si="21"/>
        <v>9.18</v>
      </c>
      <c r="L94" s="136">
        <f t="shared" si="21"/>
        <v>9.18</v>
      </c>
      <c r="M94" s="136">
        <f t="shared" si="21"/>
        <v>9.18</v>
      </c>
      <c r="N94" s="136">
        <f t="shared" si="21"/>
        <v>9.18</v>
      </c>
      <c r="O94" s="136">
        <f t="shared" si="21"/>
        <v>9.18</v>
      </c>
      <c r="P94" s="136">
        <f t="shared" si="21"/>
        <v>9.18</v>
      </c>
      <c r="Q94" s="136">
        <f t="shared" si="21"/>
        <v>9.18</v>
      </c>
      <c r="R94" s="136">
        <f t="shared" si="21"/>
        <v>9.18</v>
      </c>
      <c r="S94" s="136">
        <f t="shared" si="22"/>
        <v>9.18</v>
      </c>
      <c r="T94" s="136">
        <f t="shared" si="22"/>
        <v>9.18</v>
      </c>
      <c r="U94" s="136">
        <f t="shared" si="22"/>
        <v>9.18</v>
      </c>
      <c r="V94" s="136">
        <f t="shared" si="22"/>
        <v>9.18</v>
      </c>
      <c r="W94" s="136">
        <f t="shared" si="22"/>
        <v>9.18</v>
      </c>
      <c r="X94" s="136">
        <f t="shared" si="22"/>
        <v>9.18</v>
      </c>
      <c r="Y94" s="136">
        <f t="shared" si="22"/>
        <v>9.18</v>
      </c>
      <c r="Z94" s="136">
        <f t="shared" si="22"/>
        <v>9.18</v>
      </c>
      <c r="AA94" s="136">
        <f t="shared" si="22"/>
        <v>9.18</v>
      </c>
      <c r="AB94" s="136">
        <f t="shared" si="22"/>
        <v>9.18</v>
      </c>
      <c r="AC94" s="136">
        <f t="shared" si="22"/>
        <v>9.18</v>
      </c>
      <c r="AD94" s="136">
        <f t="shared" si="22"/>
        <v>9.18</v>
      </c>
      <c r="AE94" s="136">
        <f t="shared" si="22"/>
        <v>9.18</v>
      </c>
      <c r="AF94" s="136">
        <f t="shared" si="22"/>
        <v>9.18</v>
      </c>
      <c r="AG94" s="137">
        <v>8.8000000000000007</v>
      </c>
      <c r="AH94" s="52"/>
      <c r="AI94" s="53"/>
      <c r="AK94" s="54"/>
    </row>
    <row r="95" spans="1:37" x14ac:dyDescent="0.25">
      <c r="A95" s="124" t="s">
        <v>100</v>
      </c>
      <c r="B95" s="135">
        <v>7</v>
      </c>
      <c r="C95" s="136">
        <f t="shared" si="21"/>
        <v>7</v>
      </c>
      <c r="D95" s="136">
        <f t="shared" si="21"/>
        <v>7</v>
      </c>
      <c r="E95" s="136">
        <f t="shared" si="21"/>
        <v>7</v>
      </c>
      <c r="F95" s="136">
        <f t="shared" si="21"/>
        <v>7</v>
      </c>
      <c r="G95" s="136">
        <f t="shared" si="21"/>
        <v>7</v>
      </c>
      <c r="H95" s="136">
        <f t="shared" si="21"/>
        <v>7</v>
      </c>
      <c r="I95" s="136">
        <f t="shared" si="21"/>
        <v>7</v>
      </c>
      <c r="J95" s="136">
        <f t="shared" si="21"/>
        <v>7</v>
      </c>
      <c r="K95" s="136">
        <f t="shared" si="21"/>
        <v>7</v>
      </c>
      <c r="L95" s="136">
        <f t="shared" si="21"/>
        <v>7</v>
      </c>
      <c r="M95" s="136">
        <f t="shared" si="21"/>
        <v>7</v>
      </c>
      <c r="N95" s="136">
        <f t="shared" si="21"/>
        <v>7</v>
      </c>
      <c r="O95" s="136">
        <f t="shared" si="21"/>
        <v>7</v>
      </c>
      <c r="P95" s="136">
        <f t="shared" si="21"/>
        <v>7</v>
      </c>
      <c r="Q95" s="136">
        <f t="shared" si="21"/>
        <v>7</v>
      </c>
      <c r="R95" s="136">
        <f t="shared" si="21"/>
        <v>7</v>
      </c>
      <c r="S95" s="136">
        <f t="shared" si="22"/>
        <v>7</v>
      </c>
      <c r="T95" s="136">
        <f t="shared" si="22"/>
        <v>7</v>
      </c>
      <c r="U95" s="136">
        <f t="shared" si="22"/>
        <v>7</v>
      </c>
      <c r="V95" s="136">
        <f t="shared" si="22"/>
        <v>7</v>
      </c>
      <c r="W95" s="136">
        <f t="shared" si="22"/>
        <v>7</v>
      </c>
      <c r="X95" s="136">
        <f t="shared" si="22"/>
        <v>7</v>
      </c>
      <c r="Y95" s="136">
        <f t="shared" si="22"/>
        <v>7</v>
      </c>
      <c r="Z95" s="136">
        <f t="shared" si="22"/>
        <v>7</v>
      </c>
      <c r="AA95" s="136">
        <f t="shared" si="22"/>
        <v>7</v>
      </c>
      <c r="AB95" s="136">
        <f t="shared" si="22"/>
        <v>7</v>
      </c>
      <c r="AC95" s="136">
        <f t="shared" si="22"/>
        <v>7</v>
      </c>
      <c r="AD95" s="136">
        <f t="shared" si="22"/>
        <v>7</v>
      </c>
      <c r="AE95" s="136">
        <f t="shared" si="22"/>
        <v>7</v>
      </c>
      <c r="AF95" s="136">
        <f t="shared" si="22"/>
        <v>7</v>
      </c>
      <c r="AG95" s="138">
        <v>8.5</v>
      </c>
      <c r="AH95" s="52"/>
      <c r="AI95" s="53"/>
      <c r="AK95" s="54"/>
    </row>
    <row r="96" spans="1:37" x14ac:dyDescent="0.25">
      <c r="A96" s="124" t="s">
        <v>101</v>
      </c>
      <c r="B96" s="135">
        <v>2.25</v>
      </c>
      <c r="C96" s="136">
        <f t="shared" si="21"/>
        <v>2.25</v>
      </c>
      <c r="D96" s="136">
        <f t="shared" si="21"/>
        <v>2.25</v>
      </c>
      <c r="E96" s="136">
        <f t="shared" si="21"/>
        <v>2.25</v>
      </c>
      <c r="F96" s="136">
        <f t="shared" si="21"/>
        <v>2.25</v>
      </c>
      <c r="G96" s="136">
        <f t="shared" si="21"/>
        <v>2.25</v>
      </c>
      <c r="H96" s="136">
        <f t="shared" si="21"/>
        <v>2.25</v>
      </c>
      <c r="I96" s="136">
        <f t="shared" si="21"/>
        <v>2.25</v>
      </c>
      <c r="J96" s="136">
        <f t="shared" si="21"/>
        <v>2.25</v>
      </c>
      <c r="K96" s="136">
        <f t="shared" si="21"/>
        <v>2.25</v>
      </c>
      <c r="L96" s="136">
        <f t="shared" si="21"/>
        <v>2.25</v>
      </c>
      <c r="M96" s="136">
        <f t="shared" si="21"/>
        <v>2.25</v>
      </c>
      <c r="N96" s="136">
        <f t="shared" si="21"/>
        <v>2.25</v>
      </c>
      <c r="O96" s="136">
        <f t="shared" si="21"/>
        <v>2.25</v>
      </c>
      <c r="P96" s="136">
        <f t="shared" si="21"/>
        <v>2.25</v>
      </c>
      <c r="Q96" s="136">
        <f t="shared" si="21"/>
        <v>2.25</v>
      </c>
      <c r="R96" s="136">
        <f t="shared" si="21"/>
        <v>2.25</v>
      </c>
      <c r="S96" s="136">
        <f t="shared" si="22"/>
        <v>2.25</v>
      </c>
      <c r="T96" s="136">
        <f t="shared" si="22"/>
        <v>2.25</v>
      </c>
      <c r="U96" s="136">
        <f t="shared" si="22"/>
        <v>2.25</v>
      </c>
      <c r="V96" s="136">
        <f t="shared" si="22"/>
        <v>2.25</v>
      </c>
      <c r="W96" s="136">
        <f t="shared" si="22"/>
        <v>2.25</v>
      </c>
      <c r="X96" s="136">
        <f t="shared" si="22"/>
        <v>2.25</v>
      </c>
      <c r="Y96" s="136">
        <f t="shared" si="22"/>
        <v>2.25</v>
      </c>
      <c r="Z96" s="136">
        <f t="shared" si="22"/>
        <v>2.25</v>
      </c>
      <c r="AA96" s="136">
        <f t="shared" si="22"/>
        <v>2.25</v>
      </c>
      <c r="AB96" s="136">
        <f t="shared" si="22"/>
        <v>2.25</v>
      </c>
      <c r="AC96" s="136">
        <f t="shared" si="22"/>
        <v>2.25</v>
      </c>
      <c r="AD96" s="136">
        <f t="shared" si="22"/>
        <v>2.25</v>
      </c>
      <c r="AE96" s="136">
        <f t="shared" si="22"/>
        <v>2.25</v>
      </c>
      <c r="AF96" s="136">
        <f t="shared" si="22"/>
        <v>2.25</v>
      </c>
      <c r="AG96" s="138">
        <v>8.4</v>
      </c>
      <c r="AH96" s="52"/>
      <c r="AI96" s="53"/>
      <c r="AK96" s="54"/>
    </row>
    <row r="97" spans="1:37" x14ac:dyDescent="0.25">
      <c r="A97" s="124" t="s">
        <v>102</v>
      </c>
      <c r="B97" s="135">
        <v>1.64</v>
      </c>
      <c r="C97" s="136">
        <f t="shared" si="21"/>
        <v>1.64</v>
      </c>
      <c r="D97" s="136">
        <f t="shared" si="21"/>
        <v>1.64</v>
      </c>
      <c r="E97" s="136">
        <f t="shared" si="21"/>
        <v>1.64</v>
      </c>
      <c r="F97" s="136">
        <f t="shared" si="21"/>
        <v>1.64</v>
      </c>
      <c r="G97" s="136">
        <f t="shared" si="21"/>
        <v>1.64</v>
      </c>
      <c r="H97" s="136">
        <f t="shared" si="21"/>
        <v>1.64</v>
      </c>
      <c r="I97" s="136">
        <f t="shared" si="21"/>
        <v>1.64</v>
      </c>
      <c r="J97" s="136">
        <f t="shared" si="21"/>
        <v>1.64</v>
      </c>
      <c r="K97" s="136">
        <f t="shared" si="21"/>
        <v>1.64</v>
      </c>
      <c r="L97" s="136">
        <f t="shared" si="21"/>
        <v>1.64</v>
      </c>
      <c r="M97" s="136">
        <f t="shared" si="21"/>
        <v>1.64</v>
      </c>
      <c r="N97" s="136">
        <f t="shared" si="21"/>
        <v>1.64</v>
      </c>
      <c r="O97" s="136">
        <f t="shared" si="21"/>
        <v>1.64</v>
      </c>
      <c r="P97" s="136">
        <f t="shared" si="21"/>
        <v>1.64</v>
      </c>
      <c r="Q97" s="136">
        <f t="shared" si="21"/>
        <v>1.64</v>
      </c>
      <c r="R97" s="136">
        <f t="shared" si="21"/>
        <v>1.64</v>
      </c>
      <c r="S97" s="136">
        <f t="shared" si="22"/>
        <v>1.64</v>
      </c>
      <c r="T97" s="136">
        <f t="shared" si="22"/>
        <v>1.64</v>
      </c>
      <c r="U97" s="136">
        <f t="shared" si="22"/>
        <v>1.64</v>
      </c>
      <c r="V97" s="136">
        <f t="shared" si="22"/>
        <v>1.64</v>
      </c>
      <c r="W97" s="136">
        <f t="shared" si="22"/>
        <v>1.64</v>
      </c>
      <c r="X97" s="136">
        <f t="shared" si="22"/>
        <v>1.64</v>
      </c>
      <c r="Y97" s="136">
        <f t="shared" si="22"/>
        <v>1.64</v>
      </c>
      <c r="Z97" s="136">
        <f t="shared" si="22"/>
        <v>1.64</v>
      </c>
      <c r="AA97" s="136">
        <f t="shared" si="22"/>
        <v>1.64</v>
      </c>
      <c r="AB97" s="136">
        <f t="shared" si="22"/>
        <v>1.64</v>
      </c>
      <c r="AC97" s="136">
        <f t="shared" si="22"/>
        <v>1.64</v>
      </c>
      <c r="AD97" s="136">
        <f t="shared" si="22"/>
        <v>1.64</v>
      </c>
      <c r="AE97" s="136">
        <f t="shared" si="22"/>
        <v>1.64</v>
      </c>
      <c r="AF97" s="136">
        <f t="shared" si="22"/>
        <v>1.64</v>
      </c>
      <c r="AG97" s="138">
        <v>8</v>
      </c>
      <c r="AH97" s="52"/>
      <c r="AI97" s="53"/>
      <c r="AK97" s="54"/>
    </row>
    <row r="98" spans="1:37" x14ac:dyDescent="0.25">
      <c r="A98" s="124" t="s">
        <v>103</v>
      </c>
      <c r="B98" s="135">
        <v>1.62</v>
      </c>
      <c r="C98" s="136">
        <f t="shared" si="21"/>
        <v>1.62</v>
      </c>
      <c r="D98" s="136">
        <f t="shared" si="21"/>
        <v>1.62</v>
      </c>
      <c r="E98" s="136">
        <f t="shared" si="21"/>
        <v>1.62</v>
      </c>
      <c r="F98" s="136">
        <f t="shared" si="21"/>
        <v>1.62</v>
      </c>
      <c r="G98" s="136">
        <f t="shared" si="21"/>
        <v>1.62</v>
      </c>
      <c r="H98" s="136">
        <f t="shared" si="21"/>
        <v>1.62</v>
      </c>
      <c r="I98" s="136">
        <f t="shared" si="21"/>
        <v>1.62</v>
      </c>
      <c r="J98" s="136">
        <f t="shared" si="21"/>
        <v>1.62</v>
      </c>
      <c r="K98" s="136">
        <f t="shared" si="21"/>
        <v>1.62</v>
      </c>
      <c r="L98" s="136">
        <f t="shared" si="21"/>
        <v>1.62</v>
      </c>
      <c r="M98" s="136">
        <f t="shared" si="21"/>
        <v>1.62</v>
      </c>
      <c r="N98" s="136">
        <f t="shared" si="21"/>
        <v>1.62</v>
      </c>
      <c r="O98" s="136">
        <f t="shared" si="21"/>
        <v>1.62</v>
      </c>
      <c r="P98" s="136">
        <f t="shared" si="21"/>
        <v>1.62</v>
      </c>
      <c r="Q98" s="136">
        <f t="shared" si="21"/>
        <v>1.62</v>
      </c>
      <c r="R98" s="136">
        <f t="shared" si="21"/>
        <v>1.62</v>
      </c>
      <c r="S98" s="136">
        <f t="shared" si="22"/>
        <v>1.62</v>
      </c>
      <c r="T98" s="136">
        <f t="shared" si="22"/>
        <v>1.62</v>
      </c>
      <c r="U98" s="136">
        <f t="shared" si="22"/>
        <v>1.62</v>
      </c>
      <c r="V98" s="136">
        <f t="shared" si="22"/>
        <v>1.62</v>
      </c>
      <c r="W98" s="136">
        <f t="shared" si="22"/>
        <v>1.62</v>
      </c>
      <c r="X98" s="136">
        <f t="shared" si="22"/>
        <v>1.62</v>
      </c>
      <c r="Y98" s="136">
        <f t="shared" si="22"/>
        <v>1.62</v>
      </c>
      <c r="Z98" s="136">
        <f t="shared" si="22"/>
        <v>1.62</v>
      </c>
      <c r="AA98" s="136">
        <f t="shared" si="22"/>
        <v>1.62</v>
      </c>
      <c r="AB98" s="136">
        <f t="shared" si="22"/>
        <v>1.62</v>
      </c>
      <c r="AC98" s="136">
        <f t="shared" si="22"/>
        <v>1.62</v>
      </c>
      <c r="AD98" s="136">
        <f t="shared" si="22"/>
        <v>1.62</v>
      </c>
      <c r="AE98" s="136">
        <f t="shared" si="22"/>
        <v>1.62</v>
      </c>
      <c r="AF98" s="136">
        <f t="shared" si="22"/>
        <v>1.62</v>
      </c>
      <c r="AG98" s="138">
        <v>8</v>
      </c>
      <c r="AH98" s="52"/>
      <c r="AI98" s="53"/>
      <c r="AK98" s="54"/>
    </row>
    <row r="99" spans="1:37" x14ac:dyDescent="0.25">
      <c r="A99" s="124" t="s">
        <v>104</v>
      </c>
      <c r="B99" s="135">
        <v>8.36</v>
      </c>
      <c r="C99" s="136">
        <f t="shared" si="21"/>
        <v>8.36</v>
      </c>
      <c r="D99" s="136">
        <f t="shared" si="21"/>
        <v>8.36</v>
      </c>
      <c r="E99" s="136">
        <f t="shared" si="21"/>
        <v>8.36</v>
      </c>
      <c r="F99" s="136">
        <f t="shared" si="21"/>
        <v>8.36</v>
      </c>
      <c r="G99" s="136">
        <f t="shared" si="21"/>
        <v>8.36</v>
      </c>
      <c r="H99" s="136">
        <f t="shared" si="21"/>
        <v>8.36</v>
      </c>
      <c r="I99" s="136">
        <f t="shared" si="21"/>
        <v>8.36</v>
      </c>
      <c r="J99" s="136">
        <f t="shared" si="21"/>
        <v>8.36</v>
      </c>
      <c r="K99" s="136">
        <f t="shared" si="21"/>
        <v>8.36</v>
      </c>
      <c r="L99" s="136">
        <f t="shared" si="21"/>
        <v>8.36</v>
      </c>
      <c r="M99" s="136">
        <f t="shared" si="21"/>
        <v>8.36</v>
      </c>
      <c r="N99" s="136">
        <f t="shared" si="21"/>
        <v>8.36</v>
      </c>
      <c r="O99" s="136">
        <f t="shared" si="21"/>
        <v>8.36</v>
      </c>
      <c r="P99" s="136">
        <f t="shared" si="21"/>
        <v>8.36</v>
      </c>
      <c r="Q99" s="136">
        <f t="shared" si="21"/>
        <v>8.36</v>
      </c>
      <c r="R99" s="136">
        <f t="shared" si="21"/>
        <v>8.36</v>
      </c>
      <c r="S99" s="136">
        <f t="shared" si="22"/>
        <v>8.36</v>
      </c>
      <c r="T99" s="136">
        <f t="shared" si="22"/>
        <v>8.36</v>
      </c>
      <c r="U99" s="136">
        <f t="shared" si="22"/>
        <v>8.36</v>
      </c>
      <c r="V99" s="136">
        <f t="shared" si="22"/>
        <v>8.36</v>
      </c>
      <c r="W99" s="136">
        <f t="shared" si="22"/>
        <v>8.36</v>
      </c>
      <c r="X99" s="136">
        <f t="shared" si="22"/>
        <v>8.36</v>
      </c>
      <c r="Y99" s="136">
        <f t="shared" si="22"/>
        <v>8.36</v>
      </c>
      <c r="Z99" s="136">
        <f t="shared" si="22"/>
        <v>8.36</v>
      </c>
      <c r="AA99" s="136">
        <f t="shared" si="22"/>
        <v>8.36</v>
      </c>
      <c r="AB99" s="136">
        <f t="shared" si="22"/>
        <v>8.36</v>
      </c>
      <c r="AC99" s="136">
        <f t="shared" si="22"/>
        <v>8.36</v>
      </c>
      <c r="AD99" s="136">
        <f t="shared" si="22"/>
        <v>8.36</v>
      </c>
      <c r="AE99" s="136">
        <f t="shared" si="22"/>
        <v>8.36</v>
      </c>
      <c r="AF99" s="136">
        <f t="shared" si="22"/>
        <v>8.36</v>
      </c>
      <c r="AG99" s="138">
        <v>7.8</v>
      </c>
      <c r="AH99" s="52"/>
      <c r="AI99" s="53"/>
      <c r="AK99" s="54"/>
    </row>
    <row r="100" spans="1:37" x14ac:dyDescent="0.25">
      <c r="A100" s="124" t="s">
        <v>105</v>
      </c>
      <c r="B100" s="135">
        <v>8</v>
      </c>
      <c r="C100" s="136">
        <f t="shared" si="21"/>
        <v>8</v>
      </c>
      <c r="D100" s="136">
        <f t="shared" si="21"/>
        <v>8</v>
      </c>
      <c r="E100" s="136">
        <f t="shared" si="21"/>
        <v>8</v>
      </c>
      <c r="F100" s="136">
        <f t="shared" si="21"/>
        <v>8</v>
      </c>
      <c r="G100" s="136">
        <f t="shared" si="21"/>
        <v>8</v>
      </c>
      <c r="H100" s="136">
        <f t="shared" si="21"/>
        <v>8</v>
      </c>
      <c r="I100" s="136">
        <v>5.4</v>
      </c>
      <c r="J100" s="136">
        <f t="shared" si="21"/>
        <v>5.4</v>
      </c>
      <c r="K100" s="136">
        <f t="shared" si="21"/>
        <v>5.4</v>
      </c>
      <c r="L100" s="136">
        <f t="shared" si="21"/>
        <v>5.4</v>
      </c>
      <c r="M100" s="136">
        <f t="shared" si="21"/>
        <v>5.4</v>
      </c>
      <c r="N100" s="136">
        <f t="shared" si="21"/>
        <v>5.4</v>
      </c>
      <c r="O100" s="136">
        <f t="shared" si="21"/>
        <v>5.4</v>
      </c>
      <c r="P100" s="136">
        <f t="shared" si="21"/>
        <v>5.4</v>
      </c>
      <c r="Q100" s="136">
        <f t="shared" si="21"/>
        <v>5.4</v>
      </c>
      <c r="R100" s="136">
        <f t="shared" si="21"/>
        <v>5.4</v>
      </c>
      <c r="S100" s="136">
        <f t="shared" si="22"/>
        <v>5.4</v>
      </c>
      <c r="T100" s="136">
        <f t="shared" si="22"/>
        <v>5.4</v>
      </c>
      <c r="U100" s="136">
        <f t="shared" si="22"/>
        <v>5.4</v>
      </c>
      <c r="V100" s="136">
        <f t="shared" si="22"/>
        <v>5.4</v>
      </c>
      <c r="W100" s="136">
        <f t="shared" si="22"/>
        <v>5.4</v>
      </c>
      <c r="X100" s="136">
        <f t="shared" si="22"/>
        <v>5.4</v>
      </c>
      <c r="Y100" s="136">
        <f t="shared" si="22"/>
        <v>5.4</v>
      </c>
      <c r="Z100" s="136">
        <f t="shared" si="22"/>
        <v>5.4</v>
      </c>
      <c r="AA100" s="136">
        <f t="shared" si="22"/>
        <v>5.4</v>
      </c>
      <c r="AB100" s="136">
        <f t="shared" si="22"/>
        <v>5.4</v>
      </c>
      <c r="AC100" s="136">
        <f t="shared" si="22"/>
        <v>5.4</v>
      </c>
      <c r="AD100" s="136">
        <f t="shared" si="22"/>
        <v>5.4</v>
      </c>
      <c r="AE100" s="136">
        <f t="shared" si="22"/>
        <v>5.4</v>
      </c>
      <c r="AF100" s="136">
        <f t="shared" si="22"/>
        <v>5.4</v>
      </c>
      <c r="AG100" s="138">
        <v>7.6</v>
      </c>
      <c r="AH100" s="52"/>
      <c r="AI100" s="53"/>
      <c r="AK100" s="54"/>
    </row>
    <row r="101" spans="1:37" x14ac:dyDescent="0.25">
      <c r="A101" s="124" t="s">
        <v>106</v>
      </c>
      <c r="B101" s="135">
        <v>6.57</v>
      </c>
      <c r="C101" s="136">
        <f t="shared" si="21"/>
        <v>6.57</v>
      </c>
      <c r="D101" s="136">
        <f t="shared" si="21"/>
        <v>6.57</v>
      </c>
      <c r="E101" s="136">
        <f t="shared" si="21"/>
        <v>6.57</v>
      </c>
      <c r="F101" s="136">
        <f t="shared" si="21"/>
        <v>6.57</v>
      </c>
      <c r="G101" s="136">
        <f t="shared" si="21"/>
        <v>6.57</v>
      </c>
      <c r="H101" s="136">
        <f t="shared" si="21"/>
        <v>6.57</v>
      </c>
      <c r="I101" s="136">
        <f t="shared" si="21"/>
        <v>6.57</v>
      </c>
      <c r="J101" s="136">
        <f t="shared" si="21"/>
        <v>6.57</v>
      </c>
      <c r="K101" s="136">
        <f t="shared" si="21"/>
        <v>6.57</v>
      </c>
      <c r="L101" s="136">
        <f t="shared" si="21"/>
        <v>6.57</v>
      </c>
      <c r="M101" s="136">
        <f t="shared" si="21"/>
        <v>6.57</v>
      </c>
      <c r="N101" s="136">
        <f t="shared" si="21"/>
        <v>6.57</v>
      </c>
      <c r="O101" s="136">
        <f t="shared" si="21"/>
        <v>6.57</v>
      </c>
      <c r="P101" s="136">
        <f t="shared" si="21"/>
        <v>6.57</v>
      </c>
      <c r="Q101" s="136">
        <f t="shared" si="21"/>
        <v>6.57</v>
      </c>
      <c r="R101" s="136">
        <f t="shared" si="21"/>
        <v>6.57</v>
      </c>
      <c r="S101" s="136">
        <f t="shared" si="22"/>
        <v>6.57</v>
      </c>
      <c r="T101" s="136">
        <f t="shared" si="22"/>
        <v>6.57</v>
      </c>
      <c r="U101" s="136">
        <f t="shared" si="22"/>
        <v>6.57</v>
      </c>
      <c r="V101" s="136">
        <f t="shared" si="22"/>
        <v>6.57</v>
      </c>
      <c r="W101" s="136">
        <f t="shared" si="22"/>
        <v>6.57</v>
      </c>
      <c r="X101" s="136">
        <f t="shared" si="22"/>
        <v>6.57</v>
      </c>
      <c r="Y101" s="136">
        <f t="shared" si="22"/>
        <v>6.57</v>
      </c>
      <c r="Z101" s="136">
        <f t="shared" si="22"/>
        <v>6.57</v>
      </c>
      <c r="AA101" s="136">
        <f t="shared" si="22"/>
        <v>6.57</v>
      </c>
      <c r="AB101" s="136">
        <f t="shared" si="22"/>
        <v>6.57</v>
      </c>
      <c r="AC101" s="136">
        <f t="shared" si="22"/>
        <v>6.57</v>
      </c>
      <c r="AD101" s="136">
        <f t="shared" si="22"/>
        <v>6.57</v>
      </c>
      <c r="AE101" s="136">
        <f t="shared" si="22"/>
        <v>6.57</v>
      </c>
      <c r="AF101" s="136">
        <f t="shared" si="22"/>
        <v>6.57</v>
      </c>
      <c r="AG101" s="138">
        <v>7.5</v>
      </c>
      <c r="AH101" s="52"/>
      <c r="AI101" s="53"/>
      <c r="AK101" s="54"/>
    </row>
    <row r="102" spans="1:37" x14ac:dyDescent="0.25">
      <c r="A102" s="124" t="s">
        <v>107</v>
      </c>
      <c r="B102" s="135">
        <v>3.43</v>
      </c>
      <c r="C102" s="136">
        <f t="shared" si="21"/>
        <v>3.43</v>
      </c>
      <c r="D102" s="136">
        <f t="shared" si="21"/>
        <v>3.43</v>
      </c>
      <c r="E102" s="136">
        <f t="shared" si="21"/>
        <v>3.43</v>
      </c>
      <c r="F102" s="136">
        <f t="shared" si="21"/>
        <v>3.43</v>
      </c>
      <c r="G102" s="136">
        <f t="shared" si="21"/>
        <v>3.43</v>
      </c>
      <c r="H102" s="136">
        <f t="shared" si="21"/>
        <v>3.43</v>
      </c>
      <c r="I102" s="136">
        <f t="shared" si="21"/>
        <v>3.43</v>
      </c>
      <c r="J102" s="136">
        <f t="shared" si="21"/>
        <v>3.43</v>
      </c>
      <c r="K102" s="136">
        <f t="shared" si="21"/>
        <v>3.43</v>
      </c>
      <c r="L102" s="136">
        <f t="shared" si="21"/>
        <v>3.43</v>
      </c>
      <c r="M102" s="136">
        <f t="shared" si="21"/>
        <v>3.43</v>
      </c>
      <c r="N102" s="136">
        <f t="shared" si="21"/>
        <v>3.43</v>
      </c>
      <c r="O102" s="136">
        <f t="shared" si="21"/>
        <v>3.43</v>
      </c>
      <c r="P102" s="136">
        <f t="shared" si="21"/>
        <v>3.43</v>
      </c>
      <c r="Q102" s="136">
        <f t="shared" si="21"/>
        <v>3.43</v>
      </c>
      <c r="R102" s="136">
        <f t="shared" si="21"/>
        <v>3.43</v>
      </c>
      <c r="S102" s="136">
        <f t="shared" si="22"/>
        <v>3.43</v>
      </c>
      <c r="T102" s="136">
        <f t="shared" si="22"/>
        <v>3.43</v>
      </c>
      <c r="U102" s="136">
        <f t="shared" si="22"/>
        <v>3.43</v>
      </c>
      <c r="V102" s="136">
        <f t="shared" si="22"/>
        <v>3.43</v>
      </c>
      <c r="W102" s="136">
        <f t="shared" si="22"/>
        <v>3.43</v>
      </c>
      <c r="X102" s="136">
        <f t="shared" si="22"/>
        <v>3.43</v>
      </c>
      <c r="Y102" s="136">
        <f t="shared" si="22"/>
        <v>3.43</v>
      </c>
      <c r="Z102" s="136">
        <f t="shared" si="22"/>
        <v>3.43</v>
      </c>
      <c r="AA102" s="136">
        <f t="shared" si="22"/>
        <v>3.43</v>
      </c>
      <c r="AB102" s="136">
        <f t="shared" si="22"/>
        <v>3.43</v>
      </c>
      <c r="AC102" s="136">
        <f t="shared" si="22"/>
        <v>3.43</v>
      </c>
      <c r="AD102" s="136">
        <f t="shared" si="22"/>
        <v>3.43</v>
      </c>
      <c r="AE102" s="136">
        <f t="shared" si="22"/>
        <v>3.43</v>
      </c>
      <c r="AF102" s="136">
        <f t="shared" si="22"/>
        <v>3.43</v>
      </c>
      <c r="AG102" s="138">
        <v>7.5</v>
      </c>
      <c r="AH102" s="52"/>
      <c r="AI102" s="53"/>
      <c r="AK102" s="54"/>
    </row>
    <row r="103" spans="1:37" x14ac:dyDescent="0.25">
      <c r="A103" s="124" t="s">
        <v>108</v>
      </c>
      <c r="B103" s="135">
        <v>8</v>
      </c>
      <c r="C103" s="136">
        <f t="shared" si="21"/>
        <v>8</v>
      </c>
      <c r="D103" s="136">
        <f t="shared" si="21"/>
        <v>8</v>
      </c>
      <c r="E103" s="136">
        <f t="shared" si="21"/>
        <v>8</v>
      </c>
      <c r="F103" s="136">
        <f t="shared" si="21"/>
        <v>8</v>
      </c>
      <c r="G103" s="136">
        <f t="shared" si="21"/>
        <v>8</v>
      </c>
      <c r="H103" s="136">
        <f t="shared" si="21"/>
        <v>8</v>
      </c>
      <c r="I103" s="136">
        <f t="shared" si="21"/>
        <v>8</v>
      </c>
      <c r="J103" s="136">
        <f t="shared" si="21"/>
        <v>8</v>
      </c>
      <c r="K103" s="136">
        <f t="shared" si="21"/>
        <v>8</v>
      </c>
      <c r="L103" s="136">
        <f t="shared" si="21"/>
        <v>8</v>
      </c>
      <c r="M103" s="136">
        <f t="shared" si="21"/>
        <v>8</v>
      </c>
      <c r="N103" s="136">
        <f t="shared" si="21"/>
        <v>8</v>
      </c>
      <c r="O103" s="136">
        <f t="shared" si="21"/>
        <v>8</v>
      </c>
      <c r="P103" s="136">
        <f t="shared" si="21"/>
        <v>8</v>
      </c>
      <c r="Q103" s="136">
        <f t="shared" si="21"/>
        <v>8</v>
      </c>
      <c r="R103" s="136">
        <f t="shared" si="21"/>
        <v>8</v>
      </c>
      <c r="S103" s="136">
        <f t="shared" si="22"/>
        <v>8</v>
      </c>
      <c r="T103" s="136">
        <f t="shared" si="22"/>
        <v>8</v>
      </c>
      <c r="U103" s="136">
        <f t="shared" si="22"/>
        <v>8</v>
      </c>
      <c r="V103" s="136">
        <f t="shared" si="22"/>
        <v>8</v>
      </c>
      <c r="W103" s="136">
        <f t="shared" si="22"/>
        <v>8</v>
      </c>
      <c r="X103" s="136">
        <f t="shared" si="22"/>
        <v>8</v>
      </c>
      <c r="Y103" s="136">
        <f t="shared" si="22"/>
        <v>8</v>
      </c>
      <c r="Z103" s="136">
        <f t="shared" si="22"/>
        <v>8</v>
      </c>
      <c r="AA103" s="136">
        <f t="shared" si="22"/>
        <v>8</v>
      </c>
      <c r="AB103" s="136">
        <f t="shared" si="22"/>
        <v>8</v>
      </c>
      <c r="AC103" s="136">
        <f t="shared" si="22"/>
        <v>8</v>
      </c>
      <c r="AD103" s="136">
        <f t="shared" si="22"/>
        <v>8</v>
      </c>
      <c r="AE103" s="136">
        <f t="shared" si="22"/>
        <v>8</v>
      </c>
      <c r="AF103" s="136">
        <f t="shared" si="22"/>
        <v>8</v>
      </c>
      <c r="AG103" s="138">
        <v>7</v>
      </c>
      <c r="AH103" s="52"/>
      <c r="AI103" s="53"/>
      <c r="AK103" s="54"/>
    </row>
    <row r="104" spans="1:37" x14ac:dyDescent="0.25">
      <c r="A104" s="124" t="s">
        <v>109</v>
      </c>
      <c r="B104" s="135">
        <v>2.96</v>
      </c>
      <c r="C104" s="136">
        <f t="shared" si="21"/>
        <v>2.96</v>
      </c>
      <c r="D104" s="136">
        <f t="shared" si="21"/>
        <v>2.96</v>
      </c>
      <c r="E104" s="136">
        <f t="shared" si="21"/>
        <v>2.96</v>
      </c>
      <c r="F104" s="136">
        <f t="shared" si="21"/>
        <v>2.96</v>
      </c>
      <c r="G104" s="136">
        <f t="shared" si="21"/>
        <v>2.96</v>
      </c>
      <c r="H104" s="136">
        <f t="shared" si="21"/>
        <v>2.96</v>
      </c>
      <c r="I104" s="136">
        <f t="shared" si="21"/>
        <v>2.96</v>
      </c>
      <c r="J104" s="136">
        <f t="shared" si="21"/>
        <v>2.96</v>
      </c>
      <c r="K104" s="136">
        <f t="shared" si="21"/>
        <v>2.96</v>
      </c>
      <c r="L104" s="136">
        <f t="shared" si="21"/>
        <v>2.96</v>
      </c>
      <c r="M104" s="136">
        <f t="shared" si="21"/>
        <v>2.96</v>
      </c>
      <c r="N104" s="136">
        <f t="shared" si="21"/>
        <v>2.96</v>
      </c>
      <c r="O104" s="136">
        <f t="shared" si="21"/>
        <v>2.96</v>
      </c>
      <c r="P104" s="136">
        <f t="shared" si="21"/>
        <v>2.96</v>
      </c>
      <c r="Q104" s="136">
        <f t="shared" si="21"/>
        <v>2.96</v>
      </c>
      <c r="R104" s="136">
        <f t="shared" si="21"/>
        <v>2.96</v>
      </c>
      <c r="S104" s="136">
        <f t="shared" si="22"/>
        <v>2.96</v>
      </c>
      <c r="T104" s="136">
        <f t="shared" si="22"/>
        <v>2.96</v>
      </c>
      <c r="U104" s="136">
        <f t="shared" si="22"/>
        <v>2.96</v>
      </c>
      <c r="V104" s="136">
        <f t="shared" si="22"/>
        <v>2.96</v>
      </c>
      <c r="W104" s="136">
        <f t="shared" si="22"/>
        <v>2.96</v>
      </c>
      <c r="X104" s="136">
        <f t="shared" si="22"/>
        <v>2.96</v>
      </c>
      <c r="Y104" s="136">
        <f t="shared" si="22"/>
        <v>2.96</v>
      </c>
      <c r="Z104" s="136">
        <f t="shared" si="22"/>
        <v>2.96</v>
      </c>
      <c r="AA104" s="136">
        <f t="shared" si="22"/>
        <v>2.96</v>
      </c>
      <c r="AB104" s="136">
        <f t="shared" si="22"/>
        <v>2.96</v>
      </c>
      <c r="AC104" s="136">
        <f t="shared" si="22"/>
        <v>2.96</v>
      </c>
      <c r="AD104" s="136">
        <f t="shared" si="22"/>
        <v>2.96</v>
      </c>
      <c r="AE104" s="136">
        <f t="shared" si="22"/>
        <v>2.96</v>
      </c>
      <c r="AF104" s="136">
        <f t="shared" si="22"/>
        <v>2.96</v>
      </c>
      <c r="AG104" s="138">
        <v>7</v>
      </c>
      <c r="AH104" s="52"/>
      <c r="AI104" s="53"/>
      <c r="AK104" s="54"/>
    </row>
    <row r="105" spans="1:37" x14ac:dyDescent="0.25">
      <c r="A105" s="124" t="s">
        <v>110</v>
      </c>
      <c r="B105" s="135">
        <v>7</v>
      </c>
      <c r="C105" s="136">
        <f>B105</f>
        <v>7</v>
      </c>
      <c r="D105" s="136">
        <f t="shared" si="21"/>
        <v>7</v>
      </c>
      <c r="E105" s="136">
        <f t="shared" si="21"/>
        <v>7</v>
      </c>
      <c r="F105" s="136">
        <f t="shared" si="21"/>
        <v>7</v>
      </c>
      <c r="G105" s="136">
        <f t="shared" si="21"/>
        <v>7</v>
      </c>
      <c r="H105" s="136">
        <f t="shared" si="21"/>
        <v>7</v>
      </c>
      <c r="I105" s="136">
        <f t="shared" si="21"/>
        <v>7</v>
      </c>
      <c r="J105" s="136">
        <f t="shared" si="21"/>
        <v>7</v>
      </c>
      <c r="K105" s="136">
        <f t="shared" si="21"/>
        <v>7</v>
      </c>
      <c r="L105" s="136">
        <f t="shared" si="21"/>
        <v>7</v>
      </c>
      <c r="M105" s="136">
        <f t="shared" si="21"/>
        <v>7</v>
      </c>
      <c r="N105" s="136">
        <f t="shared" si="21"/>
        <v>7</v>
      </c>
      <c r="O105" s="136">
        <f t="shared" si="21"/>
        <v>7</v>
      </c>
      <c r="P105" s="136">
        <f t="shared" si="21"/>
        <v>7</v>
      </c>
      <c r="Q105" s="136">
        <f t="shared" si="21"/>
        <v>7</v>
      </c>
      <c r="R105" s="136">
        <f t="shared" si="21"/>
        <v>7</v>
      </c>
      <c r="S105" s="136">
        <f t="shared" si="22"/>
        <v>7</v>
      </c>
      <c r="T105" s="136">
        <f t="shared" si="22"/>
        <v>7</v>
      </c>
      <c r="U105" s="136">
        <f t="shared" si="22"/>
        <v>7</v>
      </c>
      <c r="V105" s="136">
        <f t="shared" si="22"/>
        <v>7</v>
      </c>
      <c r="W105" s="136">
        <f t="shared" si="22"/>
        <v>7</v>
      </c>
      <c r="X105" s="136">
        <f t="shared" si="22"/>
        <v>7</v>
      </c>
      <c r="Y105" s="136">
        <f t="shared" si="22"/>
        <v>7</v>
      </c>
      <c r="Z105" s="136">
        <f t="shared" si="22"/>
        <v>7</v>
      </c>
      <c r="AA105" s="136">
        <f t="shared" si="22"/>
        <v>7</v>
      </c>
      <c r="AB105" s="136">
        <f t="shared" si="22"/>
        <v>7</v>
      </c>
      <c r="AC105" s="136">
        <f t="shared" si="22"/>
        <v>7</v>
      </c>
      <c r="AD105" s="136">
        <f t="shared" si="22"/>
        <v>7</v>
      </c>
      <c r="AE105" s="136">
        <f t="shared" si="22"/>
        <v>7</v>
      </c>
      <c r="AF105" s="136">
        <f t="shared" si="22"/>
        <v>7</v>
      </c>
      <c r="AG105" s="138">
        <v>7</v>
      </c>
      <c r="AH105" s="52"/>
      <c r="AI105" s="53"/>
      <c r="AK105" s="54"/>
    </row>
    <row r="106" spans="1:37" x14ac:dyDescent="0.25">
      <c r="A106" s="124" t="s">
        <v>111</v>
      </c>
      <c r="B106" s="135">
        <v>3.47</v>
      </c>
      <c r="C106" s="136">
        <f t="shared" ref="C106:R121" si="23">B106</f>
        <v>3.47</v>
      </c>
      <c r="D106" s="136">
        <f t="shared" si="23"/>
        <v>3.47</v>
      </c>
      <c r="E106" s="136">
        <f t="shared" si="23"/>
        <v>3.47</v>
      </c>
      <c r="F106" s="136">
        <f t="shared" si="23"/>
        <v>3.47</v>
      </c>
      <c r="G106" s="136">
        <f t="shared" si="23"/>
        <v>3.47</v>
      </c>
      <c r="H106" s="136">
        <f t="shared" si="23"/>
        <v>3.47</v>
      </c>
      <c r="I106" s="136">
        <f t="shared" si="23"/>
        <v>3.47</v>
      </c>
      <c r="J106" s="136">
        <f t="shared" si="23"/>
        <v>3.47</v>
      </c>
      <c r="K106" s="136">
        <f t="shared" si="23"/>
        <v>3.47</v>
      </c>
      <c r="L106" s="136">
        <f t="shared" si="23"/>
        <v>3.47</v>
      </c>
      <c r="M106" s="136">
        <f t="shared" si="23"/>
        <v>3.47</v>
      </c>
      <c r="N106" s="136">
        <f t="shared" si="23"/>
        <v>3.47</v>
      </c>
      <c r="O106" s="136">
        <f t="shared" si="23"/>
        <v>3.47</v>
      </c>
      <c r="P106" s="136">
        <f t="shared" si="23"/>
        <v>3.47</v>
      </c>
      <c r="Q106" s="136">
        <f t="shared" si="23"/>
        <v>3.47</v>
      </c>
      <c r="R106" s="136">
        <f t="shared" si="23"/>
        <v>3.47</v>
      </c>
      <c r="S106" s="136">
        <f t="shared" ref="S106:AF124" si="24">R106</f>
        <v>3.47</v>
      </c>
      <c r="T106" s="136">
        <f t="shared" si="24"/>
        <v>3.47</v>
      </c>
      <c r="U106" s="136">
        <f t="shared" si="24"/>
        <v>3.47</v>
      </c>
      <c r="V106" s="136">
        <f t="shared" si="24"/>
        <v>3.47</v>
      </c>
      <c r="W106" s="136">
        <f t="shared" si="24"/>
        <v>3.47</v>
      </c>
      <c r="X106" s="136">
        <f t="shared" si="24"/>
        <v>3.47</v>
      </c>
      <c r="Y106" s="136">
        <f t="shared" si="24"/>
        <v>3.47</v>
      </c>
      <c r="Z106" s="136">
        <f t="shared" si="24"/>
        <v>3.47</v>
      </c>
      <c r="AA106" s="136">
        <f t="shared" si="24"/>
        <v>3.47</v>
      </c>
      <c r="AB106" s="136">
        <f t="shared" si="24"/>
        <v>3.47</v>
      </c>
      <c r="AC106" s="136">
        <f t="shared" si="24"/>
        <v>3.47</v>
      </c>
      <c r="AD106" s="136">
        <f t="shared" si="24"/>
        <v>3.47</v>
      </c>
      <c r="AE106" s="136">
        <f t="shared" si="24"/>
        <v>3.47</v>
      </c>
      <c r="AF106" s="136">
        <f t="shared" si="24"/>
        <v>3.47</v>
      </c>
      <c r="AG106" s="138">
        <v>6.6</v>
      </c>
      <c r="AH106" s="52"/>
      <c r="AI106" s="53"/>
      <c r="AK106" s="54"/>
    </row>
    <row r="107" spans="1:37" x14ac:dyDescent="0.25">
      <c r="A107" s="124" t="s">
        <v>112</v>
      </c>
      <c r="B107" s="135">
        <v>2.1</v>
      </c>
      <c r="C107" s="136">
        <f t="shared" si="23"/>
        <v>2.1</v>
      </c>
      <c r="D107" s="136">
        <f t="shared" si="23"/>
        <v>2.1</v>
      </c>
      <c r="E107" s="136">
        <f t="shared" si="23"/>
        <v>2.1</v>
      </c>
      <c r="F107" s="136">
        <f t="shared" si="23"/>
        <v>2.1</v>
      </c>
      <c r="G107" s="136">
        <f t="shared" si="23"/>
        <v>2.1</v>
      </c>
      <c r="H107" s="136">
        <f t="shared" si="23"/>
        <v>2.1</v>
      </c>
      <c r="I107" s="136">
        <f t="shared" si="23"/>
        <v>2.1</v>
      </c>
      <c r="J107" s="136">
        <f t="shared" si="23"/>
        <v>2.1</v>
      </c>
      <c r="K107" s="136">
        <f t="shared" si="23"/>
        <v>2.1</v>
      </c>
      <c r="L107" s="136">
        <f t="shared" si="23"/>
        <v>2.1</v>
      </c>
      <c r="M107" s="136">
        <f t="shared" si="23"/>
        <v>2.1</v>
      </c>
      <c r="N107" s="136">
        <f t="shared" si="23"/>
        <v>2.1</v>
      </c>
      <c r="O107" s="136">
        <f t="shared" si="23"/>
        <v>2.1</v>
      </c>
      <c r="P107" s="136">
        <f t="shared" si="23"/>
        <v>2.1</v>
      </c>
      <c r="Q107" s="136">
        <f t="shared" si="23"/>
        <v>2.1</v>
      </c>
      <c r="R107" s="136">
        <f t="shared" si="23"/>
        <v>2.1</v>
      </c>
      <c r="S107" s="136">
        <f t="shared" si="24"/>
        <v>2.1</v>
      </c>
      <c r="T107" s="136">
        <f t="shared" si="24"/>
        <v>2.1</v>
      </c>
      <c r="U107" s="136">
        <f t="shared" si="24"/>
        <v>2.1</v>
      </c>
      <c r="V107" s="136">
        <f t="shared" si="24"/>
        <v>2.1</v>
      </c>
      <c r="W107" s="136">
        <f t="shared" si="24"/>
        <v>2.1</v>
      </c>
      <c r="X107" s="136">
        <f t="shared" si="24"/>
        <v>2.1</v>
      </c>
      <c r="Y107" s="136">
        <f t="shared" si="24"/>
        <v>2.1</v>
      </c>
      <c r="Z107" s="136">
        <f t="shared" si="24"/>
        <v>2.1</v>
      </c>
      <c r="AA107" s="136">
        <f t="shared" si="24"/>
        <v>2.1</v>
      </c>
      <c r="AB107" s="136">
        <f t="shared" si="24"/>
        <v>2.1</v>
      </c>
      <c r="AC107" s="136">
        <f t="shared" si="24"/>
        <v>2.1</v>
      </c>
      <c r="AD107" s="136">
        <f t="shared" si="24"/>
        <v>2.1</v>
      </c>
      <c r="AE107" s="136">
        <f t="shared" si="24"/>
        <v>2.1</v>
      </c>
      <c r="AF107" s="136">
        <f t="shared" si="24"/>
        <v>2.1</v>
      </c>
      <c r="AG107" s="138">
        <v>6</v>
      </c>
      <c r="AH107" s="52"/>
      <c r="AI107" s="53"/>
      <c r="AK107" s="54"/>
    </row>
    <row r="108" spans="1:37" x14ac:dyDescent="0.25">
      <c r="A108" s="124" t="s">
        <v>113</v>
      </c>
      <c r="B108" s="135">
        <v>9.3000000000000007</v>
      </c>
      <c r="C108" s="136">
        <f t="shared" si="23"/>
        <v>9.3000000000000007</v>
      </c>
      <c r="D108" s="136">
        <f t="shared" si="23"/>
        <v>9.3000000000000007</v>
      </c>
      <c r="E108" s="136">
        <f t="shared" si="23"/>
        <v>9.3000000000000007</v>
      </c>
      <c r="F108" s="136">
        <f t="shared" si="23"/>
        <v>9.3000000000000007</v>
      </c>
      <c r="G108" s="136">
        <f t="shared" si="23"/>
        <v>9.3000000000000007</v>
      </c>
      <c r="H108" s="136">
        <f t="shared" si="23"/>
        <v>9.3000000000000007</v>
      </c>
      <c r="I108" s="136">
        <f t="shared" si="23"/>
        <v>9.3000000000000007</v>
      </c>
      <c r="J108" s="136">
        <f t="shared" si="23"/>
        <v>9.3000000000000007</v>
      </c>
      <c r="K108" s="136">
        <f t="shared" si="23"/>
        <v>9.3000000000000007</v>
      </c>
      <c r="L108" s="136">
        <f t="shared" si="23"/>
        <v>9.3000000000000007</v>
      </c>
      <c r="M108" s="136">
        <f t="shared" si="23"/>
        <v>9.3000000000000007</v>
      </c>
      <c r="N108" s="136">
        <f t="shared" si="23"/>
        <v>9.3000000000000007</v>
      </c>
      <c r="O108" s="136">
        <f t="shared" si="23"/>
        <v>9.3000000000000007</v>
      </c>
      <c r="P108" s="136">
        <f t="shared" si="23"/>
        <v>9.3000000000000007</v>
      </c>
      <c r="Q108" s="136">
        <f t="shared" si="23"/>
        <v>9.3000000000000007</v>
      </c>
      <c r="R108" s="136">
        <f t="shared" si="23"/>
        <v>9.3000000000000007</v>
      </c>
      <c r="S108" s="136">
        <f t="shared" si="24"/>
        <v>9.3000000000000007</v>
      </c>
      <c r="T108" s="136">
        <f t="shared" si="24"/>
        <v>9.3000000000000007</v>
      </c>
      <c r="U108" s="136">
        <f t="shared" si="24"/>
        <v>9.3000000000000007</v>
      </c>
      <c r="V108" s="136">
        <f t="shared" si="24"/>
        <v>9.3000000000000007</v>
      </c>
      <c r="W108" s="136">
        <f t="shared" si="24"/>
        <v>9.3000000000000007</v>
      </c>
      <c r="X108" s="136">
        <f t="shared" si="24"/>
        <v>9.3000000000000007</v>
      </c>
      <c r="Y108" s="136">
        <f t="shared" si="24"/>
        <v>9.3000000000000007</v>
      </c>
      <c r="Z108" s="136">
        <f t="shared" si="24"/>
        <v>9.3000000000000007</v>
      </c>
      <c r="AA108" s="136">
        <f t="shared" si="24"/>
        <v>9.3000000000000007</v>
      </c>
      <c r="AB108" s="136">
        <f t="shared" si="24"/>
        <v>9.3000000000000007</v>
      </c>
      <c r="AC108" s="136">
        <f t="shared" si="24"/>
        <v>9.3000000000000007</v>
      </c>
      <c r="AD108" s="136">
        <f t="shared" si="24"/>
        <v>9.3000000000000007</v>
      </c>
      <c r="AE108" s="136">
        <f t="shared" si="24"/>
        <v>9.3000000000000007</v>
      </c>
      <c r="AF108" s="136">
        <f t="shared" si="24"/>
        <v>9.3000000000000007</v>
      </c>
      <c r="AG108" s="138">
        <v>5.0999999999999996</v>
      </c>
      <c r="AH108" s="52"/>
      <c r="AI108" s="53"/>
      <c r="AK108" s="54"/>
    </row>
    <row r="109" spans="1:37" x14ac:dyDescent="0.25">
      <c r="A109" s="124" t="s">
        <v>114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115</v>
      </c>
      <c r="B110" s="135">
        <v>0</v>
      </c>
      <c r="C110" s="136">
        <f t="shared" si="23"/>
        <v>0</v>
      </c>
      <c r="D110" s="136">
        <f t="shared" si="23"/>
        <v>0</v>
      </c>
      <c r="E110" s="136">
        <f t="shared" si="23"/>
        <v>0</v>
      </c>
      <c r="F110" s="136">
        <f t="shared" si="23"/>
        <v>0</v>
      </c>
      <c r="G110" s="136">
        <f t="shared" si="23"/>
        <v>0</v>
      </c>
      <c r="H110" s="136">
        <f t="shared" si="23"/>
        <v>0</v>
      </c>
      <c r="I110" s="136">
        <f t="shared" si="23"/>
        <v>0</v>
      </c>
      <c r="J110" s="136">
        <f t="shared" si="23"/>
        <v>0</v>
      </c>
      <c r="K110" s="136">
        <f t="shared" si="23"/>
        <v>0</v>
      </c>
      <c r="L110" s="136">
        <f t="shared" si="23"/>
        <v>0</v>
      </c>
      <c r="M110" s="136">
        <f t="shared" si="23"/>
        <v>0</v>
      </c>
      <c r="N110" s="136">
        <f t="shared" si="23"/>
        <v>0</v>
      </c>
      <c r="O110" s="136">
        <f t="shared" si="23"/>
        <v>0</v>
      </c>
      <c r="P110" s="136">
        <f t="shared" si="23"/>
        <v>0</v>
      </c>
      <c r="Q110" s="136">
        <f t="shared" si="23"/>
        <v>0</v>
      </c>
      <c r="R110" s="136">
        <f t="shared" si="23"/>
        <v>0</v>
      </c>
      <c r="S110" s="136">
        <f t="shared" si="24"/>
        <v>0</v>
      </c>
      <c r="T110" s="136">
        <f t="shared" si="24"/>
        <v>0</v>
      </c>
      <c r="U110" s="136">
        <f t="shared" si="24"/>
        <v>0</v>
      </c>
      <c r="V110" s="136">
        <f t="shared" si="24"/>
        <v>0</v>
      </c>
      <c r="W110" s="136">
        <f t="shared" si="24"/>
        <v>0</v>
      </c>
      <c r="X110" s="136">
        <f t="shared" si="24"/>
        <v>0</v>
      </c>
      <c r="Y110" s="136">
        <f t="shared" si="24"/>
        <v>0</v>
      </c>
      <c r="Z110" s="136">
        <f t="shared" si="24"/>
        <v>0</v>
      </c>
      <c r="AA110" s="136">
        <f t="shared" si="24"/>
        <v>0</v>
      </c>
      <c r="AB110" s="136">
        <f t="shared" si="24"/>
        <v>0</v>
      </c>
      <c r="AC110" s="136">
        <f t="shared" si="24"/>
        <v>0</v>
      </c>
      <c r="AD110" s="136">
        <f t="shared" si="24"/>
        <v>0</v>
      </c>
      <c r="AE110" s="136">
        <f t="shared" si="24"/>
        <v>0</v>
      </c>
      <c r="AF110" s="136">
        <f t="shared" si="24"/>
        <v>0</v>
      </c>
      <c r="AG110" s="138">
        <v>5</v>
      </c>
      <c r="AH110" s="52"/>
      <c r="AI110" s="53"/>
      <c r="AK110" s="54"/>
    </row>
    <row r="111" spans="1:37" x14ac:dyDescent="0.25">
      <c r="A111" s="124" t="s">
        <v>116</v>
      </c>
      <c r="B111" s="135">
        <v>5</v>
      </c>
      <c r="C111" s="136">
        <f t="shared" si="23"/>
        <v>5</v>
      </c>
      <c r="D111" s="136">
        <f t="shared" si="23"/>
        <v>5</v>
      </c>
      <c r="E111" s="136">
        <f t="shared" si="23"/>
        <v>5</v>
      </c>
      <c r="F111" s="136">
        <f t="shared" si="23"/>
        <v>5</v>
      </c>
      <c r="G111" s="136">
        <f t="shared" si="23"/>
        <v>5</v>
      </c>
      <c r="H111" s="136">
        <f t="shared" si="23"/>
        <v>5</v>
      </c>
      <c r="I111" s="136">
        <f t="shared" si="23"/>
        <v>5</v>
      </c>
      <c r="J111" s="136">
        <f t="shared" si="23"/>
        <v>5</v>
      </c>
      <c r="K111" s="136">
        <f t="shared" si="23"/>
        <v>5</v>
      </c>
      <c r="L111" s="136">
        <f t="shared" si="23"/>
        <v>5</v>
      </c>
      <c r="M111" s="136">
        <f t="shared" si="23"/>
        <v>5</v>
      </c>
      <c r="N111" s="136">
        <f t="shared" si="23"/>
        <v>5</v>
      </c>
      <c r="O111" s="136">
        <f t="shared" si="23"/>
        <v>5</v>
      </c>
      <c r="P111" s="136">
        <f t="shared" si="23"/>
        <v>5</v>
      </c>
      <c r="Q111" s="136">
        <f t="shared" si="23"/>
        <v>5</v>
      </c>
      <c r="R111" s="136">
        <f t="shared" si="23"/>
        <v>5</v>
      </c>
      <c r="S111" s="136">
        <f t="shared" si="24"/>
        <v>5</v>
      </c>
      <c r="T111" s="136">
        <f t="shared" si="24"/>
        <v>5</v>
      </c>
      <c r="U111" s="136">
        <f t="shared" si="24"/>
        <v>5</v>
      </c>
      <c r="V111" s="136">
        <f t="shared" si="24"/>
        <v>5</v>
      </c>
      <c r="W111" s="136">
        <f t="shared" si="24"/>
        <v>5</v>
      </c>
      <c r="X111" s="136">
        <f t="shared" si="24"/>
        <v>5</v>
      </c>
      <c r="Y111" s="136">
        <f t="shared" si="24"/>
        <v>5</v>
      </c>
      <c r="Z111" s="136">
        <f t="shared" si="24"/>
        <v>5</v>
      </c>
      <c r="AA111" s="136">
        <f t="shared" si="24"/>
        <v>5</v>
      </c>
      <c r="AB111" s="136">
        <f t="shared" si="24"/>
        <v>5</v>
      </c>
      <c r="AC111" s="136">
        <f t="shared" si="24"/>
        <v>5</v>
      </c>
      <c r="AD111" s="136">
        <f t="shared" si="24"/>
        <v>5</v>
      </c>
      <c r="AE111" s="136">
        <f t="shared" si="24"/>
        <v>5</v>
      </c>
      <c r="AF111" s="136">
        <f t="shared" si="24"/>
        <v>5</v>
      </c>
      <c r="AG111" s="138">
        <v>5</v>
      </c>
      <c r="AH111" s="52"/>
      <c r="AI111" s="53"/>
      <c r="AK111" s="54"/>
    </row>
    <row r="112" spans="1:37" x14ac:dyDescent="0.25">
      <c r="A112" s="124" t="s">
        <v>117</v>
      </c>
      <c r="B112" s="135">
        <v>1</v>
      </c>
      <c r="C112" s="136">
        <f t="shared" si="23"/>
        <v>1</v>
      </c>
      <c r="D112" s="136">
        <f t="shared" si="23"/>
        <v>1</v>
      </c>
      <c r="E112" s="136">
        <f t="shared" si="23"/>
        <v>1</v>
      </c>
      <c r="F112" s="136">
        <f t="shared" si="23"/>
        <v>1</v>
      </c>
      <c r="G112" s="136">
        <f t="shared" si="23"/>
        <v>1</v>
      </c>
      <c r="H112" s="136">
        <f t="shared" si="23"/>
        <v>1</v>
      </c>
      <c r="I112" s="136">
        <f t="shared" si="23"/>
        <v>1</v>
      </c>
      <c r="J112" s="136">
        <f t="shared" si="23"/>
        <v>1</v>
      </c>
      <c r="K112" s="136">
        <f t="shared" si="23"/>
        <v>1</v>
      </c>
      <c r="L112" s="136">
        <f t="shared" si="23"/>
        <v>1</v>
      </c>
      <c r="M112" s="136">
        <f t="shared" si="23"/>
        <v>1</v>
      </c>
      <c r="N112" s="136">
        <f t="shared" si="23"/>
        <v>1</v>
      </c>
      <c r="O112" s="136">
        <f t="shared" si="23"/>
        <v>1</v>
      </c>
      <c r="P112" s="136">
        <f t="shared" si="23"/>
        <v>1</v>
      </c>
      <c r="Q112" s="136">
        <f t="shared" si="23"/>
        <v>1</v>
      </c>
      <c r="R112" s="136">
        <f t="shared" si="23"/>
        <v>1</v>
      </c>
      <c r="S112" s="136">
        <f t="shared" si="24"/>
        <v>1</v>
      </c>
      <c r="T112" s="136">
        <f t="shared" si="24"/>
        <v>1</v>
      </c>
      <c r="U112" s="136">
        <f t="shared" si="24"/>
        <v>1</v>
      </c>
      <c r="V112" s="136">
        <f t="shared" si="24"/>
        <v>1</v>
      </c>
      <c r="W112" s="136">
        <f t="shared" si="24"/>
        <v>1</v>
      </c>
      <c r="X112" s="136">
        <f t="shared" si="24"/>
        <v>1</v>
      </c>
      <c r="Y112" s="136">
        <f t="shared" si="24"/>
        <v>1</v>
      </c>
      <c r="Z112" s="136">
        <f t="shared" si="24"/>
        <v>1</v>
      </c>
      <c r="AA112" s="136">
        <f t="shared" si="24"/>
        <v>1</v>
      </c>
      <c r="AB112" s="136">
        <f t="shared" si="24"/>
        <v>1</v>
      </c>
      <c r="AC112" s="136">
        <f t="shared" si="24"/>
        <v>1</v>
      </c>
      <c r="AD112" s="136">
        <f t="shared" si="24"/>
        <v>1</v>
      </c>
      <c r="AE112" s="136">
        <f t="shared" si="24"/>
        <v>1</v>
      </c>
      <c r="AF112" s="136">
        <f t="shared" si="24"/>
        <v>1</v>
      </c>
      <c r="AG112" s="138">
        <v>5</v>
      </c>
      <c r="AH112" s="52"/>
      <c r="AI112" s="53"/>
      <c r="AK112" s="54"/>
    </row>
    <row r="113" spans="1:37" x14ac:dyDescent="0.25">
      <c r="A113" s="124" t="s">
        <v>118</v>
      </c>
      <c r="B113" s="135">
        <v>1.58</v>
      </c>
      <c r="C113" s="136">
        <f t="shared" si="23"/>
        <v>1.58</v>
      </c>
      <c r="D113" s="136">
        <f t="shared" si="23"/>
        <v>1.58</v>
      </c>
      <c r="E113" s="136">
        <f t="shared" si="23"/>
        <v>1.58</v>
      </c>
      <c r="F113" s="136">
        <f t="shared" si="23"/>
        <v>1.58</v>
      </c>
      <c r="G113" s="136">
        <f t="shared" si="23"/>
        <v>1.58</v>
      </c>
      <c r="H113" s="136">
        <f t="shared" si="23"/>
        <v>1.58</v>
      </c>
      <c r="I113" s="136">
        <f t="shared" si="23"/>
        <v>1.58</v>
      </c>
      <c r="J113" s="136">
        <f t="shared" si="23"/>
        <v>1.58</v>
      </c>
      <c r="K113" s="136">
        <f t="shared" si="23"/>
        <v>1.58</v>
      </c>
      <c r="L113" s="136">
        <f t="shared" si="23"/>
        <v>1.58</v>
      </c>
      <c r="M113" s="136">
        <f t="shared" si="23"/>
        <v>1.58</v>
      </c>
      <c r="N113" s="136">
        <f t="shared" si="23"/>
        <v>1.58</v>
      </c>
      <c r="O113" s="136">
        <f t="shared" si="23"/>
        <v>1.58</v>
      </c>
      <c r="P113" s="136">
        <f t="shared" si="23"/>
        <v>1.58</v>
      </c>
      <c r="Q113" s="136">
        <f t="shared" si="23"/>
        <v>1.58</v>
      </c>
      <c r="R113" s="136">
        <f t="shared" si="23"/>
        <v>1.58</v>
      </c>
      <c r="S113" s="136">
        <f t="shared" si="24"/>
        <v>1.58</v>
      </c>
      <c r="T113" s="136">
        <f t="shared" si="24"/>
        <v>1.58</v>
      </c>
      <c r="U113" s="136">
        <f t="shared" si="24"/>
        <v>1.58</v>
      </c>
      <c r="V113" s="136">
        <f t="shared" si="24"/>
        <v>1.58</v>
      </c>
      <c r="W113" s="136">
        <f t="shared" si="24"/>
        <v>1.58</v>
      </c>
      <c r="X113" s="136">
        <f t="shared" si="24"/>
        <v>1.58</v>
      </c>
      <c r="Y113" s="136">
        <f t="shared" si="24"/>
        <v>1.58</v>
      </c>
      <c r="Z113" s="136">
        <f t="shared" si="24"/>
        <v>1.58</v>
      </c>
      <c r="AA113" s="136">
        <f t="shared" si="24"/>
        <v>1.58</v>
      </c>
      <c r="AB113" s="136">
        <f t="shared" si="24"/>
        <v>1.58</v>
      </c>
      <c r="AC113" s="136">
        <f t="shared" si="24"/>
        <v>1.58</v>
      </c>
      <c r="AD113" s="136">
        <f t="shared" si="24"/>
        <v>1.58</v>
      </c>
      <c r="AE113" s="136">
        <f t="shared" si="24"/>
        <v>1.58</v>
      </c>
      <c r="AF113" s="136">
        <f t="shared" si="24"/>
        <v>1.58</v>
      </c>
      <c r="AG113" s="138">
        <v>5</v>
      </c>
      <c r="AH113" s="52"/>
      <c r="AI113" s="53"/>
      <c r="AK113" s="54"/>
    </row>
    <row r="114" spans="1:37" x14ac:dyDescent="0.25">
      <c r="A114" s="124" t="s">
        <v>119</v>
      </c>
      <c r="B114" s="135">
        <v>1.46</v>
      </c>
      <c r="C114" s="136">
        <f t="shared" si="23"/>
        <v>1.46</v>
      </c>
      <c r="D114" s="136">
        <f t="shared" si="23"/>
        <v>1.46</v>
      </c>
      <c r="E114" s="136">
        <f t="shared" si="23"/>
        <v>1.46</v>
      </c>
      <c r="F114" s="136">
        <f t="shared" si="23"/>
        <v>1.46</v>
      </c>
      <c r="G114" s="136">
        <f t="shared" si="23"/>
        <v>1.46</v>
      </c>
      <c r="H114" s="136">
        <f t="shared" si="23"/>
        <v>1.46</v>
      </c>
      <c r="I114" s="136">
        <f t="shared" si="23"/>
        <v>1.46</v>
      </c>
      <c r="J114" s="136">
        <f t="shared" si="23"/>
        <v>1.46</v>
      </c>
      <c r="K114" s="136">
        <f t="shared" si="23"/>
        <v>1.46</v>
      </c>
      <c r="L114" s="136">
        <f t="shared" si="23"/>
        <v>1.46</v>
      </c>
      <c r="M114" s="136">
        <f t="shared" si="23"/>
        <v>1.46</v>
      </c>
      <c r="N114" s="136">
        <f t="shared" si="23"/>
        <v>1.46</v>
      </c>
      <c r="O114" s="136">
        <f t="shared" si="23"/>
        <v>1.46</v>
      </c>
      <c r="P114" s="136">
        <f t="shared" si="23"/>
        <v>1.46</v>
      </c>
      <c r="Q114" s="136">
        <f t="shared" si="23"/>
        <v>1.46</v>
      </c>
      <c r="R114" s="136">
        <f t="shared" si="23"/>
        <v>1.46</v>
      </c>
      <c r="S114" s="136">
        <f t="shared" si="24"/>
        <v>1.46</v>
      </c>
      <c r="T114" s="136">
        <f t="shared" si="24"/>
        <v>1.46</v>
      </c>
      <c r="U114" s="136">
        <f t="shared" si="24"/>
        <v>1.46</v>
      </c>
      <c r="V114" s="136">
        <f t="shared" si="24"/>
        <v>1.46</v>
      </c>
      <c r="W114" s="136">
        <f t="shared" si="24"/>
        <v>1.46</v>
      </c>
      <c r="X114" s="136">
        <f t="shared" si="24"/>
        <v>1.46</v>
      </c>
      <c r="Y114" s="136">
        <f t="shared" si="24"/>
        <v>1.46</v>
      </c>
      <c r="Z114" s="136">
        <f t="shared" si="24"/>
        <v>1.46</v>
      </c>
      <c r="AA114" s="136">
        <f t="shared" si="24"/>
        <v>1.46</v>
      </c>
      <c r="AB114" s="136">
        <f t="shared" si="24"/>
        <v>1.46</v>
      </c>
      <c r="AC114" s="136">
        <f t="shared" si="24"/>
        <v>1.46</v>
      </c>
      <c r="AD114" s="136">
        <f t="shared" si="24"/>
        <v>1.46</v>
      </c>
      <c r="AE114" s="136">
        <f t="shared" si="24"/>
        <v>1.46</v>
      </c>
      <c r="AF114" s="136">
        <f t="shared" si="24"/>
        <v>1.46</v>
      </c>
      <c r="AG114" s="138">
        <v>4.95</v>
      </c>
      <c r="AH114" s="52"/>
      <c r="AI114" s="53"/>
      <c r="AK114" s="54"/>
    </row>
    <row r="115" spans="1:37" x14ac:dyDescent="0.25">
      <c r="A115" s="124" t="s">
        <v>120</v>
      </c>
      <c r="B115" s="135">
        <v>1.48</v>
      </c>
      <c r="C115" s="136">
        <f t="shared" si="23"/>
        <v>1.48</v>
      </c>
      <c r="D115" s="136">
        <f t="shared" si="23"/>
        <v>1.48</v>
      </c>
      <c r="E115" s="136">
        <f t="shared" si="23"/>
        <v>1.48</v>
      </c>
      <c r="F115" s="136">
        <f t="shared" si="23"/>
        <v>1.48</v>
      </c>
      <c r="G115" s="136">
        <f t="shared" si="23"/>
        <v>1.48</v>
      </c>
      <c r="H115" s="136">
        <f t="shared" si="23"/>
        <v>1.48</v>
      </c>
      <c r="I115" s="136">
        <f t="shared" si="23"/>
        <v>1.48</v>
      </c>
      <c r="J115" s="136">
        <f t="shared" si="23"/>
        <v>1.48</v>
      </c>
      <c r="K115" s="136">
        <f t="shared" si="23"/>
        <v>1.48</v>
      </c>
      <c r="L115" s="136">
        <f t="shared" si="23"/>
        <v>1.48</v>
      </c>
      <c r="M115" s="136">
        <f t="shared" si="23"/>
        <v>1.48</v>
      </c>
      <c r="N115" s="136">
        <f t="shared" si="23"/>
        <v>1.48</v>
      </c>
      <c r="O115" s="136">
        <f t="shared" si="23"/>
        <v>1.48</v>
      </c>
      <c r="P115" s="136">
        <f t="shared" si="23"/>
        <v>1.48</v>
      </c>
      <c r="Q115" s="136">
        <f t="shared" si="23"/>
        <v>1.48</v>
      </c>
      <c r="R115" s="136">
        <f t="shared" si="23"/>
        <v>1.48</v>
      </c>
      <c r="S115" s="136">
        <f t="shared" si="24"/>
        <v>1.48</v>
      </c>
      <c r="T115" s="136">
        <f t="shared" si="24"/>
        <v>1.48</v>
      </c>
      <c r="U115" s="136">
        <f t="shared" si="24"/>
        <v>1.48</v>
      </c>
      <c r="V115" s="136">
        <f t="shared" si="24"/>
        <v>1.48</v>
      </c>
      <c r="W115" s="136">
        <f t="shared" si="24"/>
        <v>1.48</v>
      </c>
      <c r="X115" s="136">
        <f t="shared" si="24"/>
        <v>1.48</v>
      </c>
      <c r="Y115" s="136">
        <f t="shared" si="24"/>
        <v>1.48</v>
      </c>
      <c r="Z115" s="136">
        <f t="shared" si="24"/>
        <v>1.48</v>
      </c>
      <c r="AA115" s="136">
        <f t="shared" si="24"/>
        <v>1.48</v>
      </c>
      <c r="AB115" s="136">
        <f t="shared" si="24"/>
        <v>1.48</v>
      </c>
      <c r="AC115" s="136">
        <f t="shared" si="24"/>
        <v>1.48</v>
      </c>
      <c r="AD115" s="136">
        <f t="shared" si="24"/>
        <v>1.48</v>
      </c>
      <c r="AE115" s="136">
        <f t="shared" si="24"/>
        <v>1.48</v>
      </c>
      <c r="AF115" s="136">
        <f t="shared" si="24"/>
        <v>1.48</v>
      </c>
      <c r="AG115" s="138">
        <v>4.95</v>
      </c>
      <c r="AH115" s="52"/>
      <c r="AI115" s="53"/>
      <c r="AK115" s="54"/>
    </row>
    <row r="116" spans="1:37" x14ac:dyDescent="0.25">
      <c r="A116" s="124" t="s">
        <v>121</v>
      </c>
      <c r="B116" s="135">
        <v>2.2000000000000002</v>
      </c>
      <c r="C116" s="136">
        <f t="shared" si="23"/>
        <v>2.2000000000000002</v>
      </c>
      <c r="D116" s="136">
        <f t="shared" si="23"/>
        <v>2.2000000000000002</v>
      </c>
      <c r="E116" s="136">
        <f t="shared" si="23"/>
        <v>2.2000000000000002</v>
      </c>
      <c r="F116" s="136">
        <f t="shared" si="23"/>
        <v>2.2000000000000002</v>
      </c>
      <c r="G116" s="136">
        <f t="shared" si="23"/>
        <v>2.2000000000000002</v>
      </c>
      <c r="H116" s="136">
        <f t="shared" si="23"/>
        <v>2.2000000000000002</v>
      </c>
      <c r="I116" s="136">
        <f t="shared" si="23"/>
        <v>2.2000000000000002</v>
      </c>
      <c r="J116" s="136">
        <f t="shared" si="23"/>
        <v>2.2000000000000002</v>
      </c>
      <c r="K116" s="136">
        <f t="shared" si="23"/>
        <v>2.2000000000000002</v>
      </c>
      <c r="L116" s="136">
        <f t="shared" si="23"/>
        <v>2.2000000000000002</v>
      </c>
      <c r="M116" s="136">
        <f t="shared" si="23"/>
        <v>2.2000000000000002</v>
      </c>
      <c r="N116" s="136">
        <f t="shared" si="23"/>
        <v>2.2000000000000002</v>
      </c>
      <c r="O116" s="136">
        <f t="shared" si="23"/>
        <v>2.2000000000000002</v>
      </c>
      <c r="P116" s="136">
        <f t="shared" si="23"/>
        <v>2.2000000000000002</v>
      </c>
      <c r="Q116" s="136">
        <f t="shared" si="23"/>
        <v>2.2000000000000002</v>
      </c>
      <c r="R116" s="136">
        <f t="shared" si="23"/>
        <v>2.2000000000000002</v>
      </c>
      <c r="S116" s="136">
        <f t="shared" si="24"/>
        <v>2.2000000000000002</v>
      </c>
      <c r="T116" s="136">
        <f t="shared" si="24"/>
        <v>2.2000000000000002</v>
      </c>
      <c r="U116" s="136">
        <f t="shared" si="24"/>
        <v>2.2000000000000002</v>
      </c>
      <c r="V116" s="136">
        <f t="shared" si="24"/>
        <v>2.2000000000000002</v>
      </c>
      <c r="W116" s="136">
        <f t="shared" si="24"/>
        <v>2.2000000000000002</v>
      </c>
      <c r="X116" s="136">
        <f t="shared" si="24"/>
        <v>2.2000000000000002</v>
      </c>
      <c r="Y116" s="136">
        <f t="shared" si="24"/>
        <v>2.2000000000000002</v>
      </c>
      <c r="Z116" s="136">
        <f t="shared" si="24"/>
        <v>2.2000000000000002</v>
      </c>
      <c r="AA116" s="136">
        <f t="shared" si="24"/>
        <v>2.2000000000000002</v>
      </c>
      <c r="AB116" s="136">
        <f t="shared" si="24"/>
        <v>2.2000000000000002</v>
      </c>
      <c r="AC116" s="136">
        <f t="shared" si="24"/>
        <v>2.2000000000000002</v>
      </c>
      <c r="AD116" s="136">
        <f t="shared" si="24"/>
        <v>2.2000000000000002</v>
      </c>
      <c r="AE116" s="136">
        <f t="shared" si="24"/>
        <v>2.2000000000000002</v>
      </c>
      <c r="AF116" s="136">
        <f t="shared" si="24"/>
        <v>2.2000000000000002</v>
      </c>
      <c r="AG116" s="138">
        <v>4.8</v>
      </c>
      <c r="AH116" s="52"/>
      <c r="AI116" s="53"/>
      <c r="AK116" s="54"/>
    </row>
    <row r="117" spans="1:37" x14ac:dyDescent="0.25">
      <c r="A117" s="124" t="s">
        <v>122</v>
      </c>
      <c r="B117" s="135">
        <v>2</v>
      </c>
      <c r="C117" s="136">
        <f t="shared" si="23"/>
        <v>2</v>
      </c>
      <c r="D117" s="136">
        <f t="shared" si="23"/>
        <v>2</v>
      </c>
      <c r="E117" s="136">
        <f t="shared" si="23"/>
        <v>2</v>
      </c>
      <c r="F117" s="136">
        <f t="shared" si="23"/>
        <v>2</v>
      </c>
      <c r="G117" s="136">
        <f t="shared" si="23"/>
        <v>2</v>
      </c>
      <c r="H117" s="136">
        <f t="shared" si="23"/>
        <v>2</v>
      </c>
      <c r="I117" s="136">
        <f t="shared" si="23"/>
        <v>2</v>
      </c>
      <c r="J117" s="136">
        <f t="shared" si="23"/>
        <v>2</v>
      </c>
      <c r="K117" s="136">
        <f t="shared" si="23"/>
        <v>2</v>
      </c>
      <c r="L117" s="136">
        <f t="shared" si="23"/>
        <v>2</v>
      </c>
      <c r="M117" s="136">
        <f t="shared" si="23"/>
        <v>2</v>
      </c>
      <c r="N117" s="136">
        <f t="shared" si="23"/>
        <v>2</v>
      </c>
      <c r="O117" s="136">
        <f t="shared" si="23"/>
        <v>2</v>
      </c>
      <c r="P117" s="136">
        <f t="shared" si="23"/>
        <v>2</v>
      </c>
      <c r="Q117" s="136">
        <f t="shared" si="23"/>
        <v>2</v>
      </c>
      <c r="R117" s="136">
        <f t="shared" si="23"/>
        <v>2</v>
      </c>
      <c r="S117" s="136">
        <f t="shared" si="24"/>
        <v>2</v>
      </c>
      <c r="T117" s="136">
        <f t="shared" si="24"/>
        <v>2</v>
      </c>
      <c r="U117" s="136">
        <f t="shared" si="24"/>
        <v>2</v>
      </c>
      <c r="V117" s="136">
        <f t="shared" si="24"/>
        <v>2</v>
      </c>
      <c r="W117" s="136">
        <f t="shared" si="24"/>
        <v>2</v>
      </c>
      <c r="X117" s="136">
        <f t="shared" si="24"/>
        <v>2</v>
      </c>
      <c r="Y117" s="136">
        <f t="shared" si="24"/>
        <v>2</v>
      </c>
      <c r="Z117" s="136">
        <f t="shared" si="24"/>
        <v>2</v>
      </c>
      <c r="AA117" s="136">
        <f t="shared" si="24"/>
        <v>2</v>
      </c>
      <c r="AB117" s="136">
        <f t="shared" si="24"/>
        <v>2</v>
      </c>
      <c r="AC117" s="136">
        <f t="shared" si="24"/>
        <v>2</v>
      </c>
      <c r="AD117" s="136">
        <f t="shared" si="24"/>
        <v>2</v>
      </c>
      <c r="AE117" s="136">
        <f t="shared" si="24"/>
        <v>2</v>
      </c>
      <c r="AF117" s="136">
        <f t="shared" si="24"/>
        <v>2</v>
      </c>
      <c r="AG117" s="138">
        <v>4.8</v>
      </c>
      <c r="AH117" s="52"/>
      <c r="AI117" s="53"/>
      <c r="AK117" s="54"/>
    </row>
    <row r="118" spans="1:37" x14ac:dyDescent="0.25">
      <c r="A118" s="124" t="s">
        <v>123</v>
      </c>
      <c r="B118" s="135">
        <v>1.25</v>
      </c>
      <c r="C118" s="136">
        <f t="shared" si="23"/>
        <v>1.25</v>
      </c>
      <c r="D118" s="136">
        <f t="shared" si="23"/>
        <v>1.25</v>
      </c>
      <c r="E118" s="136">
        <f t="shared" si="23"/>
        <v>1.25</v>
      </c>
      <c r="F118" s="136">
        <f t="shared" si="23"/>
        <v>1.25</v>
      </c>
      <c r="G118" s="136">
        <f t="shared" si="23"/>
        <v>1.25</v>
      </c>
      <c r="H118" s="136">
        <f t="shared" si="23"/>
        <v>1.25</v>
      </c>
      <c r="I118" s="136">
        <f t="shared" si="23"/>
        <v>1.25</v>
      </c>
      <c r="J118" s="136">
        <f t="shared" si="23"/>
        <v>1.25</v>
      </c>
      <c r="K118" s="136">
        <f t="shared" si="23"/>
        <v>1.25</v>
      </c>
      <c r="L118" s="136">
        <f t="shared" si="23"/>
        <v>1.25</v>
      </c>
      <c r="M118" s="136">
        <f t="shared" si="23"/>
        <v>1.25</v>
      </c>
      <c r="N118" s="136">
        <f t="shared" si="23"/>
        <v>1.25</v>
      </c>
      <c r="O118" s="136">
        <f t="shared" si="23"/>
        <v>1.25</v>
      </c>
      <c r="P118" s="136">
        <f t="shared" si="23"/>
        <v>1.25</v>
      </c>
      <c r="Q118" s="136">
        <f t="shared" si="23"/>
        <v>1.25</v>
      </c>
      <c r="R118" s="136">
        <f t="shared" si="23"/>
        <v>1.25</v>
      </c>
      <c r="S118" s="136">
        <f t="shared" si="24"/>
        <v>1.25</v>
      </c>
      <c r="T118" s="136">
        <f t="shared" si="24"/>
        <v>1.25</v>
      </c>
      <c r="U118" s="136">
        <f t="shared" si="24"/>
        <v>1.25</v>
      </c>
      <c r="V118" s="136">
        <f t="shared" si="24"/>
        <v>1.25</v>
      </c>
      <c r="W118" s="136">
        <f t="shared" si="24"/>
        <v>1.25</v>
      </c>
      <c r="X118" s="136">
        <f t="shared" si="24"/>
        <v>1.25</v>
      </c>
      <c r="Y118" s="136">
        <f t="shared" si="24"/>
        <v>1.25</v>
      </c>
      <c r="Z118" s="136">
        <f t="shared" si="24"/>
        <v>1.25</v>
      </c>
      <c r="AA118" s="136">
        <f t="shared" si="24"/>
        <v>1.25</v>
      </c>
      <c r="AB118" s="136">
        <f t="shared" si="24"/>
        <v>1.25</v>
      </c>
      <c r="AC118" s="136">
        <f t="shared" si="24"/>
        <v>1.25</v>
      </c>
      <c r="AD118" s="136">
        <f t="shared" si="24"/>
        <v>1.25</v>
      </c>
      <c r="AE118" s="136">
        <f t="shared" si="24"/>
        <v>1.25</v>
      </c>
      <c r="AF118" s="136">
        <f t="shared" si="24"/>
        <v>1.25</v>
      </c>
      <c r="AG118" s="138">
        <v>4.5</v>
      </c>
      <c r="AH118" s="52"/>
      <c r="AI118" s="53"/>
      <c r="AK118" s="54"/>
    </row>
    <row r="119" spans="1:37" x14ac:dyDescent="0.25">
      <c r="A119" s="124" t="s">
        <v>124</v>
      </c>
      <c r="B119" s="135">
        <v>1.1499999999999999</v>
      </c>
      <c r="C119" s="136">
        <f t="shared" si="23"/>
        <v>1.1499999999999999</v>
      </c>
      <c r="D119" s="136">
        <f t="shared" si="23"/>
        <v>1.1499999999999999</v>
      </c>
      <c r="E119" s="136">
        <f t="shared" si="23"/>
        <v>1.1499999999999999</v>
      </c>
      <c r="F119" s="136">
        <f t="shared" si="23"/>
        <v>1.1499999999999999</v>
      </c>
      <c r="G119" s="136">
        <f t="shared" si="23"/>
        <v>1.1499999999999999</v>
      </c>
      <c r="H119" s="136">
        <f t="shared" si="23"/>
        <v>1.1499999999999999</v>
      </c>
      <c r="I119" s="136">
        <f t="shared" si="23"/>
        <v>1.1499999999999999</v>
      </c>
      <c r="J119" s="136">
        <f t="shared" si="23"/>
        <v>1.1499999999999999</v>
      </c>
      <c r="K119" s="136">
        <f t="shared" si="23"/>
        <v>1.1499999999999999</v>
      </c>
      <c r="L119" s="136">
        <f t="shared" si="23"/>
        <v>1.1499999999999999</v>
      </c>
      <c r="M119" s="136">
        <f t="shared" si="23"/>
        <v>1.1499999999999999</v>
      </c>
      <c r="N119" s="136">
        <f t="shared" si="23"/>
        <v>1.1499999999999999</v>
      </c>
      <c r="O119" s="136">
        <f t="shared" si="23"/>
        <v>1.1499999999999999</v>
      </c>
      <c r="P119" s="136">
        <f t="shared" si="23"/>
        <v>1.1499999999999999</v>
      </c>
      <c r="Q119" s="136">
        <f t="shared" si="23"/>
        <v>1.1499999999999999</v>
      </c>
      <c r="R119" s="136">
        <f t="shared" si="23"/>
        <v>1.1499999999999999</v>
      </c>
      <c r="S119" s="136">
        <f t="shared" si="24"/>
        <v>1.1499999999999999</v>
      </c>
      <c r="T119" s="136">
        <f t="shared" si="24"/>
        <v>1.1499999999999999</v>
      </c>
      <c r="U119" s="136">
        <f t="shared" si="24"/>
        <v>1.1499999999999999</v>
      </c>
      <c r="V119" s="136">
        <f t="shared" si="24"/>
        <v>1.1499999999999999</v>
      </c>
      <c r="W119" s="136">
        <f t="shared" si="24"/>
        <v>1.1499999999999999</v>
      </c>
      <c r="X119" s="136">
        <f t="shared" si="24"/>
        <v>1.1499999999999999</v>
      </c>
      <c r="Y119" s="136">
        <f t="shared" si="24"/>
        <v>1.1499999999999999</v>
      </c>
      <c r="Z119" s="136">
        <f t="shared" si="24"/>
        <v>1.1499999999999999</v>
      </c>
      <c r="AA119" s="136">
        <f t="shared" si="24"/>
        <v>1.1499999999999999</v>
      </c>
      <c r="AB119" s="136">
        <f t="shared" si="24"/>
        <v>1.1499999999999999</v>
      </c>
      <c r="AC119" s="136">
        <f t="shared" si="24"/>
        <v>1.1499999999999999</v>
      </c>
      <c r="AD119" s="136">
        <f t="shared" si="24"/>
        <v>1.1499999999999999</v>
      </c>
      <c r="AE119" s="136">
        <f t="shared" si="24"/>
        <v>1.1499999999999999</v>
      </c>
      <c r="AF119" s="136">
        <f t="shared" si="24"/>
        <v>1.1499999999999999</v>
      </c>
      <c r="AG119" s="138">
        <v>4.4550000000000001</v>
      </c>
      <c r="AH119" s="52"/>
      <c r="AI119" s="53"/>
      <c r="AK119" s="54"/>
    </row>
    <row r="120" spans="1:37" x14ac:dyDescent="0.25">
      <c r="A120" s="124" t="s">
        <v>125</v>
      </c>
      <c r="B120" s="135">
        <v>2.133</v>
      </c>
      <c r="C120" s="136">
        <f t="shared" si="23"/>
        <v>2.133</v>
      </c>
      <c r="D120" s="136">
        <f t="shared" si="23"/>
        <v>2.133</v>
      </c>
      <c r="E120" s="136">
        <f t="shared" si="23"/>
        <v>2.133</v>
      </c>
      <c r="F120" s="136">
        <f t="shared" si="23"/>
        <v>2.133</v>
      </c>
      <c r="G120" s="136">
        <f t="shared" si="23"/>
        <v>2.133</v>
      </c>
      <c r="H120" s="136">
        <f t="shared" si="23"/>
        <v>2.133</v>
      </c>
      <c r="I120" s="136">
        <f t="shared" si="23"/>
        <v>2.133</v>
      </c>
      <c r="J120" s="136">
        <f t="shared" si="23"/>
        <v>2.133</v>
      </c>
      <c r="K120" s="136">
        <f t="shared" si="23"/>
        <v>2.133</v>
      </c>
      <c r="L120" s="136">
        <f t="shared" si="23"/>
        <v>2.133</v>
      </c>
      <c r="M120" s="136">
        <f t="shared" si="23"/>
        <v>2.133</v>
      </c>
      <c r="N120" s="136">
        <f t="shared" si="23"/>
        <v>2.133</v>
      </c>
      <c r="O120" s="136">
        <f t="shared" si="23"/>
        <v>2.133</v>
      </c>
      <c r="P120" s="136">
        <f t="shared" si="23"/>
        <v>2.133</v>
      </c>
      <c r="Q120" s="136">
        <f t="shared" si="23"/>
        <v>2.133</v>
      </c>
      <c r="R120" s="136">
        <f t="shared" si="23"/>
        <v>2.133</v>
      </c>
      <c r="S120" s="136">
        <f t="shared" si="24"/>
        <v>2.133</v>
      </c>
      <c r="T120" s="136">
        <f t="shared" si="24"/>
        <v>2.133</v>
      </c>
      <c r="U120" s="136">
        <f t="shared" si="24"/>
        <v>2.133</v>
      </c>
      <c r="V120" s="136">
        <f t="shared" si="24"/>
        <v>2.133</v>
      </c>
      <c r="W120" s="136">
        <f t="shared" si="24"/>
        <v>2.133</v>
      </c>
      <c r="X120" s="136">
        <f t="shared" si="24"/>
        <v>2.133</v>
      </c>
      <c r="Y120" s="136">
        <f t="shared" si="24"/>
        <v>2.133</v>
      </c>
      <c r="Z120" s="136">
        <f t="shared" si="24"/>
        <v>2.133</v>
      </c>
      <c r="AA120" s="136">
        <f t="shared" si="24"/>
        <v>2.133</v>
      </c>
      <c r="AB120" s="136">
        <f t="shared" si="24"/>
        <v>2.133</v>
      </c>
      <c r="AC120" s="136">
        <f t="shared" si="24"/>
        <v>2.133</v>
      </c>
      <c r="AD120" s="136">
        <f t="shared" si="24"/>
        <v>2.133</v>
      </c>
      <c r="AE120" s="136">
        <f t="shared" si="24"/>
        <v>2.133</v>
      </c>
      <c r="AF120" s="136">
        <f t="shared" si="24"/>
        <v>2.133</v>
      </c>
      <c r="AG120" s="138">
        <v>4.41</v>
      </c>
      <c r="AH120" s="52"/>
      <c r="AI120" s="53"/>
      <c r="AK120" s="54"/>
    </row>
    <row r="121" spans="1:37" x14ac:dyDescent="0.25">
      <c r="A121" s="124" t="s">
        <v>126</v>
      </c>
      <c r="B121" s="135">
        <v>2.09</v>
      </c>
      <c r="C121" s="136">
        <f t="shared" si="23"/>
        <v>2.09</v>
      </c>
      <c r="D121" s="136">
        <f t="shared" si="23"/>
        <v>2.09</v>
      </c>
      <c r="E121" s="136">
        <f t="shared" si="23"/>
        <v>2.09</v>
      </c>
      <c r="F121" s="136">
        <f t="shared" si="23"/>
        <v>2.09</v>
      </c>
      <c r="G121" s="136">
        <f t="shared" si="23"/>
        <v>2.09</v>
      </c>
      <c r="H121" s="136">
        <f t="shared" si="23"/>
        <v>2.09</v>
      </c>
      <c r="I121" s="136">
        <f t="shared" si="23"/>
        <v>2.09</v>
      </c>
      <c r="J121" s="136">
        <f t="shared" si="23"/>
        <v>2.09</v>
      </c>
      <c r="K121" s="136">
        <f t="shared" si="23"/>
        <v>2.09</v>
      </c>
      <c r="L121" s="136">
        <f t="shared" si="23"/>
        <v>2.09</v>
      </c>
      <c r="M121" s="136">
        <f t="shared" si="23"/>
        <v>2.09</v>
      </c>
      <c r="N121" s="136">
        <f t="shared" si="23"/>
        <v>2.09</v>
      </c>
      <c r="O121" s="136">
        <f t="shared" si="23"/>
        <v>2.09</v>
      </c>
      <c r="P121" s="136">
        <f t="shared" si="23"/>
        <v>2.09</v>
      </c>
      <c r="Q121" s="136">
        <f t="shared" si="23"/>
        <v>2.09</v>
      </c>
      <c r="R121" s="136">
        <f t="shared" ref="R121:W171" si="25">Q121</f>
        <v>2.09</v>
      </c>
      <c r="S121" s="136">
        <f t="shared" si="24"/>
        <v>2.09</v>
      </c>
      <c r="T121" s="136">
        <f t="shared" si="24"/>
        <v>2.09</v>
      </c>
      <c r="U121" s="136">
        <f t="shared" si="24"/>
        <v>2.09</v>
      </c>
      <c r="V121" s="136">
        <f t="shared" si="24"/>
        <v>2.09</v>
      </c>
      <c r="W121" s="136">
        <f t="shared" si="24"/>
        <v>2.09</v>
      </c>
      <c r="X121" s="136">
        <f t="shared" si="24"/>
        <v>2.09</v>
      </c>
      <c r="Y121" s="136">
        <f t="shared" si="24"/>
        <v>2.09</v>
      </c>
      <c r="Z121" s="136">
        <f t="shared" si="24"/>
        <v>2.09</v>
      </c>
      <c r="AA121" s="136">
        <f t="shared" si="24"/>
        <v>2.09</v>
      </c>
      <c r="AB121" s="136">
        <f t="shared" si="24"/>
        <v>2.09</v>
      </c>
      <c r="AC121" s="136">
        <f t="shared" si="24"/>
        <v>2.09</v>
      </c>
      <c r="AD121" s="136">
        <f t="shared" si="24"/>
        <v>2.09</v>
      </c>
      <c r="AE121" s="136">
        <f t="shared" si="24"/>
        <v>2.09</v>
      </c>
      <c r="AF121" s="136">
        <f t="shared" si="24"/>
        <v>2.09</v>
      </c>
      <c r="AG121" s="138">
        <v>4.4000000000000004</v>
      </c>
      <c r="AH121" s="52"/>
      <c r="AI121" s="53"/>
      <c r="AK121" s="54"/>
    </row>
    <row r="122" spans="1:37" x14ac:dyDescent="0.25">
      <c r="A122" s="124" t="s">
        <v>127</v>
      </c>
      <c r="B122" s="135">
        <v>1.1399999999999999</v>
      </c>
      <c r="C122" s="136">
        <f t="shared" ref="C122:Q138" si="26">B122</f>
        <v>1.1399999999999999</v>
      </c>
      <c r="D122" s="136">
        <f t="shared" si="26"/>
        <v>1.1399999999999999</v>
      </c>
      <c r="E122" s="136">
        <f t="shared" si="26"/>
        <v>1.1399999999999999</v>
      </c>
      <c r="F122" s="136">
        <f t="shared" si="26"/>
        <v>1.1399999999999999</v>
      </c>
      <c r="G122" s="136">
        <f t="shared" si="26"/>
        <v>1.1399999999999999</v>
      </c>
      <c r="H122" s="136">
        <f t="shared" si="26"/>
        <v>1.1399999999999999</v>
      </c>
      <c r="I122" s="136">
        <f t="shared" si="26"/>
        <v>1.1399999999999999</v>
      </c>
      <c r="J122" s="136">
        <f t="shared" si="26"/>
        <v>1.1399999999999999</v>
      </c>
      <c r="K122" s="136">
        <f t="shared" si="26"/>
        <v>1.1399999999999999</v>
      </c>
      <c r="L122" s="136">
        <f t="shared" si="26"/>
        <v>1.1399999999999999</v>
      </c>
      <c r="M122" s="136">
        <f t="shared" si="26"/>
        <v>1.1399999999999999</v>
      </c>
      <c r="N122" s="136">
        <f t="shared" si="26"/>
        <v>1.1399999999999999</v>
      </c>
      <c r="O122" s="136">
        <f t="shared" si="26"/>
        <v>1.1399999999999999</v>
      </c>
      <c r="P122" s="136">
        <f t="shared" si="26"/>
        <v>1.1399999999999999</v>
      </c>
      <c r="Q122" s="136">
        <f t="shared" si="26"/>
        <v>1.1399999999999999</v>
      </c>
      <c r="R122" s="136">
        <f t="shared" si="25"/>
        <v>1.1399999999999999</v>
      </c>
      <c r="S122" s="136">
        <f t="shared" si="24"/>
        <v>1.1399999999999999</v>
      </c>
      <c r="T122" s="136">
        <f t="shared" si="24"/>
        <v>1.1399999999999999</v>
      </c>
      <c r="U122" s="136">
        <f t="shared" si="24"/>
        <v>1.1399999999999999</v>
      </c>
      <c r="V122" s="136">
        <f t="shared" si="24"/>
        <v>1.1399999999999999</v>
      </c>
      <c r="W122" s="136">
        <f t="shared" si="24"/>
        <v>1.1399999999999999</v>
      </c>
      <c r="X122" s="136">
        <f t="shared" si="24"/>
        <v>1.1399999999999999</v>
      </c>
      <c r="Y122" s="136">
        <f t="shared" si="24"/>
        <v>1.1399999999999999</v>
      </c>
      <c r="Z122" s="136">
        <f t="shared" si="24"/>
        <v>1.1399999999999999</v>
      </c>
      <c r="AA122" s="136">
        <f t="shared" si="24"/>
        <v>1.1399999999999999</v>
      </c>
      <c r="AB122" s="136">
        <f t="shared" si="24"/>
        <v>1.1399999999999999</v>
      </c>
      <c r="AC122" s="136">
        <f t="shared" si="24"/>
        <v>1.1399999999999999</v>
      </c>
      <c r="AD122" s="136">
        <f t="shared" si="24"/>
        <v>1.1399999999999999</v>
      </c>
      <c r="AE122" s="136">
        <f t="shared" si="24"/>
        <v>1.1399999999999999</v>
      </c>
      <c r="AF122" s="136">
        <f t="shared" si="24"/>
        <v>1.1399999999999999</v>
      </c>
      <c r="AG122" s="138">
        <v>4.3600000000000003</v>
      </c>
      <c r="AH122" s="52"/>
      <c r="AI122" s="53"/>
      <c r="AK122" s="54"/>
    </row>
    <row r="123" spans="1:37" x14ac:dyDescent="0.25">
      <c r="A123" s="124" t="s">
        <v>128</v>
      </c>
      <c r="B123" s="135">
        <v>0.82</v>
      </c>
      <c r="C123" s="136">
        <f t="shared" si="26"/>
        <v>0.82</v>
      </c>
      <c r="D123" s="136">
        <f t="shared" si="26"/>
        <v>0.82</v>
      </c>
      <c r="E123" s="136">
        <f t="shared" si="26"/>
        <v>0.82</v>
      </c>
      <c r="F123" s="136">
        <f t="shared" si="26"/>
        <v>0.82</v>
      </c>
      <c r="G123" s="136">
        <f t="shared" si="26"/>
        <v>0.82</v>
      </c>
      <c r="H123" s="136">
        <f t="shared" si="26"/>
        <v>0.82</v>
      </c>
      <c r="I123" s="136">
        <f t="shared" si="26"/>
        <v>0.82</v>
      </c>
      <c r="J123" s="136">
        <f t="shared" si="26"/>
        <v>0.82</v>
      </c>
      <c r="K123" s="136">
        <f t="shared" si="26"/>
        <v>0.82</v>
      </c>
      <c r="L123" s="136">
        <f t="shared" si="26"/>
        <v>0.82</v>
      </c>
      <c r="M123" s="136">
        <f t="shared" si="26"/>
        <v>0.82</v>
      </c>
      <c r="N123" s="136">
        <f t="shared" si="26"/>
        <v>0.82</v>
      </c>
      <c r="O123" s="136">
        <f t="shared" si="26"/>
        <v>0.82</v>
      </c>
      <c r="P123" s="136">
        <f t="shared" si="26"/>
        <v>0.82</v>
      </c>
      <c r="Q123" s="136">
        <f t="shared" si="26"/>
        <v>0.82</v>
      </c>
      <c r="R123" s="136">
        <f t="shared" si="25"/>
        <v>0.82</v>
      </c>
      <c r="S123" s="136">
        <f t="shared" si="24"/>
        <v>0.82</v>
      </c>
      <c r="T123" s="136">
        <f t="shared" si="24"/>
        <v>0.82</v>
      </c>
      <c r="U123" s="136">
        <f t="shared" si="24"/>
        <v>0.82</v>
      </c>
      <c r="V123" s="136">
        <f t="shared" si="24"/>
        <v>0.82</v>
      </c>
      <c r="W123" s="136">
        <f t="shared" si="24"/>
        <v>0.82</v>
      </c>
      <c r="X123" s="136">
        <f t="shared" si="24"/>
        <v>0.82</v>
      </c>
      <c r="Y123" s="136">
        <f t="shared" si="24"/>
        <v>0.82</v>
      </c>
      <c r="Z123" s="136">
        <f t="shared" si="24"/>
        <v>0.82</v>
      </c>
      <c r="AA123" s="136">
        <f t="shared" si="24"/>
        <v>0.82</v>
      </c>
      <c r="AB123" s="136">
        <f t="shared" si="24"/>
        <v>0.82</v>
      </c>
      <c r="AC123" s="136">
        <f t="shared" si="24"/>
        <v>0.82</v>
      </c>
      <c r="AD123" s="136">
        <f t="shared" si="24"/>
        <v>0.82</v>
      </c>
      <c r="AE123" s="136">
        <f t="shared" si="24"/>
        <v>0.82</v>
      </c>
      <c r="AF123" s="136">
        <f t="shared" si="24"/>
        <v>0.82</v>
      </c>
      <c r="AG123" s="138">
        <v>4.2</v>
      </c>
      <c r="AH123" s="52"/>
      <c r="AI123" s="53"/>
      <c r="AK123" s="54"/>
    </row>
    <row r="124" spans="1:37" x14ac:dyDescent="0.25">
      <c r="A124" s="124" t="s">
        <v>129</v>
      </c>
      <c r="B124" s="135">
        <v>2</v>
      </c>
      <c r="C124" s="136">
        <f t="shared" si="26"/>
        <v>2</v>
      </c>
      <c r="D124" s="136">
        <f t="shared" si="26"/>
        <v>2</v>
      </c>
      <c r="E124" s="136">
        <f t="shared" si="26"/>
        <v>2</v>
      </c>
      <c r="F124" s="136">
        <f t="shared" si="26"/>
        <v>2</v>
      </c>
      <c r="G124" s="136">
        <f t="shared" si="26"/>
        <v>2</v>
      </c>
      <c r="H124" s="136">
        <f t="shared" si="26"/>
        <v>2</v>
      </c>
      <c r="I124" s="136">
        <f t="shared" si="26"/>
        <v>2</v>
      </c>
      <c r="J124" s="136">
        <f t="shared" si="26"/>
        <v>2</v>
      </c>
      <c r="K124" s="136">
        <f t="shared" si="26"/>
        <v>2</v>
      </c>
      <c r="L124" s="136">
        <f t="shared" si="26"/>
        <v>2</v>
      </c>
      <c r="M124" s="136">
        <f t="shared" si="26"/>
        <v>2</v>
      </c>
      <c r="N124" s="136">
        <f t="shared" si="26"/>
        <v>2</v>
      </c>
      <c r="O124" s="136">
        <f t="shared" si="26"/>
        <v>2</v>
      </c>
      <c r="P124" s="136">
        <f t="shared" si="26"/>
        <v>2</v>
      </c>
      <c r="Q124" s="136">
        <f t="shared" si="26"/>
        <v>2</v>
      </c>
      <c r="R124" s="136">
        <f t="shared" si="25"/>
        <v>2</v>
      </c>
      <c r="S124" s="136">
        <f t="shared" si="24"/>
        <v>2</v>
      </c>
      <c r="T124" s="136">
        <f t="shared" si="24"/>
        <v>2</v>
      </c>
      <c r="U124" s="136">
        <f t="shared" si="24"/>
        <v>2</v>
      </c>
      <c r="V124" s="136">
        <f t="shared" ref="V124:AF147" si="27">U124</f>
        <v>2</v>
      </c>
      <c r="W124" s="136">
        <f t="shared" si="27"/>
        <v>2</v>
      </c>
      <c r="X124" s="136">
        <f t="shared" si="27"/>
        <v>2</v>
      </c>
      <c r="Y124" s="136">
        <f t="shared" si="27"/>
        <v>2</v>
      </c>
      <c r="Z124" s="136">
        <f t="shared" si="27"/>
        <v>2</v>
      </c>
      <c r="AA124" s="136">
        <f t="shared" si="27"/>
        <v>2</v>
      </c>
      <c r="AB124" s="136">
        <f t="shared" si="27"/>
        <v>2</v>
      </c>
      <c r="AC124" s="136">
        <f t="shared" si="27"/>
        <v>2</v>
      </c>
      <c r="AD124" s="136">
        <f t="shared" si="27"/>
        <v>2</v>
      </c>
      <c r="AE124" s="136">
        <f t="shared" si="27"/>
        <v>2</v>
      </c>
      <c r="AF124" s="136">
        <f t="shared" si="27"/>
        <v>2</v>
      </c>
      <c r="AG124" s="138">
        <v>4</v>
      </c>
      <c r="AH124" s="52"/>
      <c r="AI124" s="53"/>
      <c r="AK124" s="54"/>
    </row>
    <row r="125" spans="1:37" x14ac:dyDescent="0.25">
      <c r="A125" s="124" t="s">
        <v>130</v>
      </c>
      <c r="B125" s="135">
        <v>5.61</v>
      </c>
      <c r="C125" s="136">
        <f t="shared" si="26"/>
        <v>5.61</v>
      </c>
      <c r="D125" s="136">
        <f t="shared" si="26"/>
        <v>5.61</v>
      </c>
      <c r="E125" s="136">
        <f t="shared" si="26"/>
        <v>5.61</v>
      </c>
      <c r="F125" s="136">
        <f t="shared" si="26"/>
        <v>5.61</v>
      </c>
      <c r="G125" s="136">
        <f t="shared" si="26"/>
        <v>5.61</v>
      </c>
      <c r="H125" s="136">
        <f t="shared" si="26"/>
        <v>5.61</v>
      </c>
      <c r="I125" s="136">
        <f t="shared" si="26"/>
        <v>5.61</v>
      </c>
      <c r="J125" s="136">
        <f t="shared" si="26"/>
        <v>5.61</v>
      </c>
      <c r="K125" s="136">
        <f t="shared" si="26"/>
        <v>5.61</v>
      </c>
      <c r="L125" s="136">
        <f t="shared" si="26"/>
        <v>5.61</v>
      </c>
      <c r="M125" s="136">
        <f t="shared" si="26"/>
        <v>5.61</v>
      </c>
      <c r="N125" s="136">
        <f t="shared" si="26"/>
        <v>5.61</v>
      </c>
      <c r="O125" s="136">
        <f t="shared" si="26"/>
        <v>5.61</v>
      </c>
      <c r="P125" s="136">
        <f t="shared" si="26"/>
        <v>5.61</v>
      </c>
      <c r="Q125" s="136">
        <f t="shared" si="26"/>
        <v>5.61</v>
      </c>
      <c r="R125" s="136">
        <f t="shared" si="25"/>
        <v>5.61</v>
      </c>
      <c r="S125" s="136">
        <f t="shared" si="25"/>
        <v>5.61</v>
      </c>
      <c r="T125" s="136">
        <f t="shared" si="25"/>
        <v>5.61</v>
      </c>
      <c r="U125" s="136">
        <f t="shared" si="25"/>
        <v>5.61</v>
      </c>
      <c r="V125" s="136">
        <f t="shared" si="27"/>
        <v>5.61</v>
      </c>
      <c r="W125" s="136">
        <f t="shared" si="27"/>
        <v>5.61</v>
      </c>
      <c r="X125" s="136">
        <f t="shared" si="27"/>
        <v>5.61</v>
      </c>
      <c r="Y125" s="136">
        <f t="shared" si="27"/>
        <v>5.61</v>
      </c>
      <c r="Z125" s="136">
        <f t="shared" si="27"/>
        <v>5.61</v>
      </c>
      <c r="AA125" s="136">
        <f t="shared" si="27"/>
        <v>5.61</v>
      </c>
      <c r="AB125" s="136">
        <f t="shared" si="27"/>
        <v>5.61</v>
      </c>
      <c r="AC125" s="136">
        <f t="shared" si="27"/>
        <v>5.61</v>
      </c>
      <c r="AD125" s="136">
        <f t="shared" si="27"/>
        <v>5.61</v>
      </c>
      <c r="AE125" s="136">
        <f t="shared" si="27"/>
        <v>5.61</v>
      </c>
      <c r="AF125" s="136">
        <f t="shared" si="27"/>
        <v>5.61</v>
      </c>
      <c r="AG125" s="138">
        <v>4</v>
      </c>
      <c r="AH125" s="52"/>
      <c r="AI125" s="53"/>
      <c r="AK125" s="54"/>
    </row>
    <row r="126" spans="1:37" x14ac:dyDescent="0.25">
      <c r="A126" s="124" t="s">
        <v>131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132</v>
      </c>
      <c r="B127" s="135">
        <v>1.25</v>
      </c>
      <c r="C127" s="136">
        <f t="shared" si="26"/>
        <v>1.25</v>
      </c>
      <c r="D127" s="136">
        <f t="shared" si="26"/>
        <v>1.25</v>
      </c>
      <c r="E127" s="136">
        <f t="shared" si="26"/>
        <v>1.25</v>
      </c>
      <c r="F127" s="136">
        <f t="shared" si="26"/>
        <v>1.25</v>
      </c>
      <c r="G127" s="136">
        <f t="shared" si="26"/>
        <v>1.25</v>
      </c>
      <c r="H127" s="136">
        <f t="shared" si="26"/>
        <v>1.25</v>
      </c>
      <c r="I127" s="136">
        <f t="shared" si="26"/>
        <v>1.25</v>
      </c>
      <c r="J127" s="136">
        <f t="shared" si="26"/>
        <v>1.25</v>
      </c>
      <c r="K127" s="136">
        <f t="shared" si="26"/>
        <v>1.25</v>
      </c>
      <c r="L127" s="136">
        <f t="shared" si="26"/>
        <v>1.25</v>
      </c>
      <c r="M127" s="136">
        <f t="shared" si="26"/>
        <v>1.25</v>
      </c>
      <c r="N127" s="136">
        <f t="shared" si="26"/>
        <v>1.25</v>
      </c>
      <c r="O127" s="136">
        <f t="shared" si="26"/>
        <v>1.25</v>
      </c>
      <c r="P127" s="136">
        <f t="shared" si="26"/>
        <v>1.25</v>
      </c>
      <c r="Q127" s="136">
        <f t="shared" si="26"/>
        <v>1.25</v>
      </c>
      <c r="R127" s="136">
        <f t="shared" si="25"/>
        <v>1.25</v>
      </c>
      <c r="S127" s="136">
        <f t="shared" si="25"/>
        <v>1.25</v>
      </c>
      <c r="T127" s="136">
        <f t="shared" si="25"/>
        <v>1.25</v>
      </c>
      <c r="U127" s="136">
        <f t="shared" si="25"/>
        <v>1.25</v>
      </c>
      <c r="V127" s="136">
        <f t="shared" si="27"/>
        <v>1.25</v>
      </c>
      <c r="W127" s="136">
        <f t="shared" si="27"/>
        <v>1.25</v>
      </c>
      <c r="X127" s="136">
        <f t="shared" si="27"/>
        <v>1.25</v>
      </c>
      <c r="Y127" s="136">
        <f t="shared" si="27"/>
        <v>1.25</v>
      </c>
      <c r="Z127" s="136">
        <f t="shared" si="27"/>
        <v>1.25</v>
      </c>
      <c r="AA127" s="136">
        <f t="shared" si="27"/>
        <v>1.25</v>
      </c>
      <c r="AB127" s="136">
        <f t="shared" si="27"/>
        <v>1.25</v>
      </c>
      <c r="AC127" s="136">
        <f t="shared" si="27"/>
        <v>1.25</v>
      </c>
      <c r="AD127" s="136">
        <f t="shared" si="27"/>
        <v>1.25</v>
      </c>
      <c r="AE127" s="136">
        <f t="shared" si="27"/>
        <v>1.25</v>
      </c>
      <c r="AF127" s="136">
        <f t="shared" si="27"/>
        <v>1.25</v>
      </c>
      <c r="AG127" s="138">
        <v>4</v>
      </c>
      <c r="AH127" s="52"/>
      <c r="AI127" s="53"/>
      <c r="AK127" s="54"/>
    </row>
    <row r="128" spans="1:37" x14ac:dyDescent="0.25">
      <c r="A128" s="124" t="s">
        <v>133</v>
      </c>
      <c r="B128" s="135">
        <v>1.46</v>
      </c>
      <c r="C128" s="136">
        <f t="shared" si="26"/>
        <v>1.46</v>
      </c>
      <c r="D128" s="136">
        <f t="shared" si="26"/>
        <v>1.46</v>
      </c>
      <c r="E128" s="136">
        <f t="shared" si="26"/>
        <v>1.46</v>
      </c>
      <c r="F128" s="136">
        <f t="shared" si="26"/>
        <v>1.46</v>
      </c>
      <c r="G128" s="136">
        <f t="shared" si="26"/>
        <v>1.46</v>
      </c>
      <c r="H128" s="136">
        <f t="shared" si="26"/>
        <v>1.46</v>
      </c>
      <c r="I128" s="136">
        <f t="shared" si="26"/>
        <v>1.46</v>
      </c>
      <c r="J128" s="136">
        <f t="shared" si="26"/>
        <v>1.46</v>
      </c>
      <c r="K128" s="136">
        <f t="shared" si="26"/>
        <v>1.46</v>
      </c>
      <c r="L128" s="136">
        <f t="shared" si="26"/>
        <v>1.46</v>
      </c>
      <c r="M128" s="136">
        <f t="shared" si="26"/>
        <v>1.46</v>
      </c>
      <c r="N128" s="136">
        <f t="shared" si="26"/>
        <v>1.46</v>
      </c>
      <c r="O128" s="136">
        <f t="shared" si="26"/>
        <v>1.46</v>
      </c>
      <c r="P128" s="136">
        <f t="shared" si="26"/>
        <v>1.46</v>
      </c>
      <c r="Q128" s="136">
        <f t="shared" si="26"/>
        <v>1.46</v>
      </c>
      <c r="R128" s="136">
        <f t="shared" si="25"/>
        <v>1.46</v>
      </c>
      <c r="S128" s="136">
        <f t="shared" si="25"/>
        <v>1.46</v>
      </c>
      <c r="T128" s="136">
        <f t="shared" si="25"/>
        <v>1.46</v>
      </c>
      <c r="U128" s="136">
        <f t="shared" si="25"/>
        <v>1.46</v>
      </c>
      <c r="V128" s="136">
        <f t="shared" si="27"/>
        <v>1.46</v>
      </c>
      <c r="W128" s="136">
        <f t="shared" si="27"/>
        <v>1.46</v>
      </c>
      <c r="X128" s="136">
        <f t="shared" si="27"/>
        <v>1.46</v>
      </c>
      <c r="Y128" s="136">
        <f t="shared" si="27"/>
        <v>1.46</v>
      </c>
      <c r="Z128" s="136">
        <f t="shared" si="27"/>
        <v>1.46</v>
      </c>
      <c r="AA128" s="136">
        <f t="shared" si="27"/>
        <v>1.46</v>
      </c>
      <c r="AB128" s="136">
        <f t="shared" si="27"/>
        <v>1.46</v>
      </c>
      <c r="AC128" s="136">
        <f t="shared" si="27"/>
        <v>1.46</v>
      </c>
      <c r="AD128" s="136">
        <f t="shared" si="27"/>
        <v>1.46</v>
      </c>
      <c r="AE128" s="136">
        <f t="shared" si="27"/>
        <v>1.46</v>
      </c>
      <c r="AF128" s="136">
        <f t="shared" si="27"/>
        <v>1.46</v>
      </c>
      <c r="AG128" s="138">
        <v>3.75</v>
      </c>
      <c r="AH128" s="52"/>
      <c r="AI128" s="53"/>
      <c r="AK128" s="54"/>
    </row>
    <row r="129" spans="1:37" x14ac:dyDescent="0.25">
      <c r="A129" s="124" t="s">
        <v>134</v>
      </c>
      <c r="B129" s="135">
        <v>3</v>
      </c>
      <c r="C129" s="136">
        <f t="shared" si="26"/>
        <v>3</v>
      </c>
      <c r="D129" s="136">
        <f t="shared" si="26"/>
        <v>3</v>
      </c>
      <c r="E129" s="136">
        <f t="shared" si="26"/>
        <v>3</v>
      </c>
      <c r="F129" s="136">
        <f t="shared" si="26"/>
        <v>3</v>
      </c>
      <c r="G129" s="136">
        <f t="shared" si="26"/>
        <v>3</v>
      </c>
      <c r="H129" s="136">
        <f t="shared" si="26"/>
        <v>3</v>
      </c>
      <c r="I129" s="136">
        <f t="shared" si="26"/>
        <v>3</v>
      </c>
      <c r="J129" s="136">
        <f t="shared" si="26"/>
        <v>3</v>
      </c>
      <c r="K129" s="136">
        <f t="shared" si="26"/>
        <v>3</v>
      </c>
      <c r="L129" s="136">
        <f t="shared" si="26"/>
        <v>3</v>
      </c>
      <c r="M129" s="136">
        <f t="shared" si="26"/>
        <v>3</v>
      </c>
      <c r="N129" s="136">
        <f t="shared" si="26"/>
        <v>3</v>
      </c>
      <c r="O129" s="136">
        <f t="shared" si="26"/>
        <v>3</v>
      </c>
      <c r="P129" s="136">
        <f t="shared" si="26"/>
        <v>3</v>
      </c>
      <c r="Q129" s="136">
        <f t="shared" si="26"/>
        <v>3</v>
      </c>
      <c r="R129" s="136">
        <f t="shared" si="25"/>
        <v>3</v>
      </c>
      <c r="S129" s="136">
        <f t="shared" si="25"/>
        <v>3</v>
      </c>
      <c r="T129" s="136">
        <f t="shared" si="25"/>
        <v>3</v>
      </c>
      <c r="U129" s="136">
        <f t="shared" si="25"/>
        <v>3</v>
      </c>
      <c r="V129" s="136">
        <f t="shared" si="27"/>
        <v>3</v>
      </c>
      <c r="W129" s="136">
        <f t="shared" si="27"/>
        <v>3</v>
      </c>
      <c r="X129" s="136">
        <f t="shared" si="27"/>
        <v>3</v>
      </c>
      <c r="Y129" s="136">
        <f t="shared" si="27"/>
        <v>3</v>
      </c>
      <c r="Z129" s="136">
        <f t="shared" si="27"/>
        <v>3</v>
      </c>
      <c r="AA129" s="136">
        <f t="shared" si="27"/>
        <v>3</v>
      </c>
      <c r="AB129" s="136">
        <f t="shared" si="27"/>
        <v>3</v>
      </c>
      <c r="AC129" s="136">
        <f t="shared" si="27"/>
        <v>3</v>
      </c>
      <c r="AD129" s="136">
        <f t="shared" si="27"/>
        <v>3</v>
      </c>
      <c r="AE129" s="136">
        <f t="shared" si="27"/>
        <v>3</v>
      </c>
      <c r="AF129" s="136">
        <f t="shared" si="27"/>
        <v>3</v>
      </c>
      <c r="AG129" s="138">
        <v>3.52</v>
      </c>
      <c r="AH129" s="52"/>
      <c r="AI129" s="53"/>
      <c r="AK129" s="54"/>
    </row>
    <row r="130" spans="1:37" x14ac:dyDescent="0.25">
      <c r="A130" s="124" t="s">
        <v>135</v>
      </c>
      <c r="B130" s="135">
        <v>3.3</v>
      </c>
      <c r="C130" s="136">
        <f t="shared" si="26"/>
        <v>3.3</v>
      </c>
      <c r="D130" s="136">
        <f t="shared" si="26"/>
        <v>3.3</v>
      </c>
      <c r="E130" s="136">
        <f t="shared" si="26"/>
        <v>3.3</v>
      </c>
      <c r="F130" s="136">
        <f t="shared" si="26"/>
        <v>3.3</v>
      </c>
      <c r="G130" s="136">
        <f t="shared" si="26"/>
        <v>3.3</v>
      </c>
      <c r="H130" s="136">
        <f t="shared" si="26"/>
        <v>3.3</v>
      </c>
      <c r="I130" s="136">
        <f t="shared" si="26"/>
        <v>3.3</v>
      </c>
      <c r="J130" s="136">
        <f t="shared" si="26"/>
        <v>3.3</v>
      </c>
      <c r="K130" s="136">
        <f t="shared" si="26"/>
        <v>3.3</v>
      </c>
      <c r="L130" s="136">
        <f t="shared" si="26"/>
        <v>3.3</v>
      </c>
      <c r="M130" s="136">
        <f t="shared" si="26"/>
        <v>3.3</v>
      </c>
      <c r="N130" s="136">
        <f t="shared" si="26"/>
        <v>3.3</v>
      </c>
      <c r="O130" s="136">
        <f t="shared" si="26"/>
        <v>3.3</v>
      </c>
      <c r="P130" s="136">
        <f t="shared" si="26"/>
        <v>3.3</v>
      </c>
      <c r="Q130" s="136">
        <f t="shared" si="26"/>
        <v>3.3</v>
      </c>
      <c r="R130" s="136">
        <f t="shared" si="25"/>
        <v>3.3</v>
      </c>
      <c r="S130" s="136">
        <f t="shared" si="25"/>
        <v>3.3</v>
      </c>
      <c r="T130" s="136">
        <f t="shared" si="25"/>
        <v>3.3</v>
      </c>
      <c r="U130" s="136">
        <f t="shared" si="25"/>
        <v>3.3</v>
      </c>
      <c r="V130" s="136">
        <f t="shared" si="27"/>
        <v>3.3</v>
      </c>
      <c r="W130" s="136">
        <f t="shared" si="27"/>
        <v>3.3</v>
      </c>
      <c r="X130" s="136">
        <f t="shared" si="27"/>
        <v>3.3</v>
      </c>
      <c r="Y130" s="136">
        <f t="shared" si="27"/>
        <v>3.3</v>
      </c>
      <c r="Z130" s="136">
        <f t="shared" si="27"/>
        <v>3.3</v>
      </c>
      <c r="AA130" s="136">
        <f t="shared" si="27"/>
        <v>3.3</v>
      </c>
      <c r="AB130" s="136">
        <f t="shared" si="27"/>
        <v>3.3</v>
      </c>
      <c r="AC130" s="136">
        <f t="shared" si="27"/>
        <v>3.3</v>
      </c>
      <c r="AD130" s="136">
        <f t="shared" si="27"/>
        <v>3.3</v>
      </c>
      <c r="AE130" s="136">
        <f t="shared" si="27"/>
        <v>3.3</v>
      </c>
      <c r="AF130" s="136">
        <f t="shared" si="27"/>
        <v>3.3</v>
      </c>
      <c r="AG130" s="138">
        <v>3.33</v>
      </c>
      <c r="AH130" s="52"/>
      <c r="AI130" s="53"/>
      <c r="AK130" s="54"/>
    </row>
    <row r="131" spans="1:37" x14ac:dyDescent="0.25">
      <c r="A131" s="124" t="s">
        <v>136</v>
      </c>
      <c r="B131" s="135">
        <v>1.76</v>
      </c>
      <c r="C131" s="136">
        <f t="shared" si="26"/>
        <v>1.76</v>
      </c>
      <c r="D131" s="136">
        <f t="shared" si="26"/>
        <v>1.76</v>
      </c>
      <c r="E131" s="136">
        <f t="shared" si="26"/>
        <v>1.76</v>
      </c>
      <c r="F131" s="136">
        <f t="shared" si="26"/>
        <v>1.76</v>
      </c>
      <c r="G131" s="136">
        <f t="shared" si="26"/>
        <v>1.76</v>
      </c>
      <c r="H131" s="136">
        <f t="shared" si="26"/>
        <v>1.76</v>
      </c>
      <c r="I131" s="136">
        <f t="shared" si="26"/>
        <v>1.76</v>
      </c>
      <c r="J131" s="136">
        <f t="shared" si="26"/>
        <v>1.76</v>
      </c>
      <c r="K131" s="136">
        <f t="shared" si="26"/>
        <v>1.76</v>
      </c>
      <c r="L131" s="136">
        <f t="shared" si="26"/>
        <v>1.76</v>
      </c>
      <c r="M131" s="136">
        <f t="shared" si="26"/>
        <v>1.76</v>
      </c>
      <c r="N131" s="136">
        <f t="shared" si="26"/>
        <v>1.76</v>
      </c>
      <c r="O131" s="136">
        <f t="shared" si="26"/>
        <v>1.76</v>
      </c>
      <c r="P131" s="136">
        <f t="shared" si="26"/>
        <v>1.76</v>
      </c>
      <c r="Q131" s="136">
        <f t="shared" si="26"/>
        <v>1.76</v>
      </c>
      <c r="R131" s="136">
        <f t="shared" si="25"/>
        <v>1.76</v>
      </c>
      <c r="S131" s="136">
        <f t="shared" si="25"/>
        <v>1.76</v>
      </c>
      <c r="T131" s="136">
        <f t="shared" si="25"/>
        <v>1.76</v>
      </c>
      <c r="U131" s="136">
        <f t="shared" si="25"/>
        <v>1.76</v>
      </c>
      <c r="V131" s="136">
        <f t="shared" si="27"/>
        <v>1.76</v>
      </c>
      <c r="W131" s="136">
        <f t="shared" si="27"/>
        <v>1.76</v>
      </c>
      <c r="X131" s="136">
        <f t="shared" si="27"/>
        <v>1.76</v>
      </c>
      <c r="Y131" s="136">
        <f t="shared" si="27"/>
        <v>1.76</v>
      </c>
      <c r="Z131" s="136">
        <f t="shared" si="27"/>
        <v>1.76</v>
      </c>
      <c r="AA131" s="136">
        <f t="shared" si="27"/>
        <v>1.76</v>
      </c>
      <c r="AB131" s="136">
        <f t="shared" si="27"/>
        <v>1.76</v>
      </c>
      <c r="AC131" s="136">
        <f t="shared" si="27"/>
        <v>1.76</v>
      </c>
      <c r="AD131" s="136">
        <f t="shared" si="27"/>
        <v>1.76</v>
      </c>
      <c r="AE131" s="136">
        <f t="shared" si="27"/>
        <v>1.76</v>
      </c>
      <c r="AF131" s="136">
        <f t="shared" si="27"/>
        <v>1.76</v>
      </c>
      <c r="AG131" s="138">
        <v>3</v>
      </c>
      <c r="AH131" s="52"/>
      <c r="AI131" s="53"/>
      <c r="AK131" s="54"/>
    </row>
    <row r="132" spans="1:37" x14ac:dyDescent="0.25">
      <c r="A132" s="124" t="s">
        <v>137</v>
      </c>
      <c r="B132" s="135">
        <v>0</v>
      </c>
      <c r="C132" s="136">
        <f t="shared" si="26"/>
        <v>0</v>
      </c>
      <c r="D132" s="136">
        <f t="shared" si="26"/>
        <v>0</v>
      </c>
      <c r="E132" s="136">
        <f t="shared" si="26"/>
        <v>0</v>
      </c>
      <c r="F132" s="136">
        <f t="shared" si="26"/>
        <v>0</v>
      </c>
      <c r="G132" s="136">
        <f t="shared" si="26"/>
        <v>0</v>
      </c>
      <c r="H132" s="136">
        <f t="shared" si="26"/>
        <v>0</v>
      </c>
      <c r="I132" s="136">
        <f t="shared" si="26"/>
        <v>0</v>
      </c>
      <c r="J132" s="136">
        <f t="shared" si="26"/>
        <v>0</v>
      </c>
      <c r="K132" s="136">
        <f t="shared" si="26"/>
        <v>0</v>
      </c>
      <c r="L132" s="136">
        <f t="shared" si="26"/>
        <v>0</v>
      </c>
      <c r="M132" s="136">
        <f t="shared" si="26"/>
        <v>0</v>
      </c>
      <c r="N132" s="136">
        <f t="shared" si="26"/>
        <v>0</v>
      </c>
      <c r="O132" s="136">
        <f t="shared" si="26"/>
        <v>0</v>
      </c>
      <c r="P132" s="136">
        <f t="shared" si="26"/>
        <v>0</v>
      </c>
      <c r="Q132" s="136">
        <f t="shared" si="26"/>
        <v>0</v>
      </c>
      <c r="R132" s="136">
        <f t="shared" si="25"/>
        <v>0</v>
      </c>
      <c r="S132" s="136">
        <f t="shared" si="25"/>
        <v>0</v>
      </c>
      <c r="T132" s="136">
        <f t="shared" si="25"/>
        <v>0</v>
      </c>
      <c r="U132" s="136">
        <f t="shared" si="25"/>
        <v>0</v>
      </c>
      <c r="V132" s="136">
        <f t="shared" si="27"/>
        <v>0</v>
      </c>
      <c r="W132" s="136">
        <f t="shared" si="27"/>
        <v>0</v>
      </c>
      <c r="X132" s="136">
        <f t="shared" si="27"/>
        <v>0</v>
      </c>
      <c r="Y132" s="136">
        <f t="shared" si="27"/>
        <v>0</v>
      </c>
      <c r="Z132" s="136">
        <f t="shared" si="27"/>
        <v>0</v>
      </c>
      <c r="AA132" s="136">
        <f t="shared" si="27"/>
        <v>0</v>
      </c>
      <c r="AB132" s="136">
        <f t="shared" si="27"/>
        <v>0</v>
      </c>
      <c r="AC132" s="136">
        <f t="shared" si="27"/>
        <v>0</v>
      </c>
      <c r="AD132" s="136">
        <f t="shared" si="27"/>
        <v>0</v>
      </c>
      <c r="AE132" s="136">
        <f t="shared" si="27"/>
        <v>0</v>
      </c>
      <c r="AF132" s="136">
        <f t="shared" si="27"/>
        <v>0</v>
      </c>
      <c r="AG132" s="138">
        <v>3</v>
      </c>
      <c r="AH132" s="52"/>
      <c r="AI132" s="53"/>
      <c r="AK132" s="54"/>
    </row>
    <row r="133" spans="1:37" x14ac:dyDescent="0.25">
      <c r="A133" s="124" t="s">
        <v>138</v>
      </c>
      <c r="B133" s="135">
        <v>0.1</v>
      </c>
      <c r="C133" s="136">
        <f t="shared" si="26"/>
        <v>0.1</v>
      </c>
      <c r="D133" s="136">
        <f t="shared" si="26"/>
        <v>0.1</v>
      </c>
      <c r="E133" s="136">
        <f t="shared" si="26"/>
        <v>0.1</v>
      </c>
      <c r="F133" s="136">
        <f t="shared" si="26"/>
        <v>0.1</v>
      </c>
      <c r="G133" s="136">
        <f t="shared" si="26"/>
        <v>0.1</v>
      </c>
      <c r="H133" s="136">
        <f t="shared" si="26"/>
        <v>0.1</v>
      </c>
      <c r="I133" s="136">
        <f t="shared" si="26"/>
        <v>0.1</v>
      </c>
      <c r="J133" s="136">
        <f t="shared" si="26"/>
        <v>0.1</v>
      </c>
      <c r="K133" s="136">
        <f t="shared" si="26"/>
        <v>0.1</v>
      </c>
      <c r="L133" s="136">
        <f t="shared" si="26"/>
        <v>0.1</v>
      </c>
      <c r="M133" s="136">
        <f t="shared" si="26"/>
        <v>0.1</v>
      </c>
      <c r="N133" s="136">
        <f t="shared" si="26"/>
        <v>0.1</v>
      </c>
      <c r="O133" s="136">
        <f t="shared" si="26"/>
        <v>0.1</v>
      </c>
      <c r="P133" s="136">
        <f t="shared" si="26"/>
        <v>0.1</v>
      </c>
      <c r="Q133" s="136">
        <f t="shared" si="26"/>
        <v>0.1</v>
      </c>
      <c r="R133" s="136">
        <f t="shared" si="25"/>
        <v>0.1</v>
      </c>
      <c r="S133" s="136">
        <f t="shared" si="25"/>
        <v>0.1</v>
      </c>
      <c r="T133" s="136">
        <f t="shared" si="25"/>
        <v>0.1</v>
      </c>
      <c r="U133" s="136">
        <f t="shared" si="25"/>
        <v>0.1</v>
      </c>
      <c r="V133" s="136">
        <f t="shared" si="27"/>
        <v>0.1</v>
      </c>
      <c r="W133" s="136">
        <f t="shared" si="27"/>
        <v>0.1</v>
      </c>
      <c r="X133" s="136">
        <f t="shared" si="27"/>
        <v>0.1</v>
      </c>
      <c r="Y133" s="136">
        <f t="shared" si="27"/>
        <v>0.1</v>
      </c>
      <c r="Z133" s="136">
        <f t="shared" si="27"/>
        <v>0.1</v>
      </c>
      <c r="AA133" s="136">
        <f t="shared" si="27"/>
        <v>0.1</v>
      </c>
      <c r="AB133" s="136">
        <f t="shared" si="27"/>
        <v>0.1</v>
      </c>
      <c r="AC133" s="136">
        <f t="shared" si="27"/>
        <v>0.1</v>
      </c>
      <c r="AD133" s="136">
        <f t="shared" si="27"/>
        <v>0.1</v>
      </c>
      <c r="AE133" s="136">
        <f t="shared" si="27"/>
        <v>0.1</v>
      </c>
      <c r="AF133" s="136">
        <f t="shared" si="27"/>
        <v>0.1</v>
      </c>
      <c r="AG133" s="138">
        <v>3</v>
      </c>
      <c r="AH133" s="52"/>
      <c r="AI133" s="53"/>
      <c r="AK133" s="54"/>
    </row>
    <row r="134" spans="1:37" x14ac:dyDescent="0.25">
      <c r="A134" s="124" t="s">
        <v>139</v>
      </c>
      <c r="B134" s="135">
        <v>2.0499999999999998</v>
      </c>
      <c r="C134" s="136">
        <f t="shared" si="26"/>
        <v>2.0499999999999998</v>
      </c>
      <c r="D134" s="136">
        <f t="shared" si="26"/>
        <v>2.0499999999999998</v>
      </c>
      <c r="E134" s="136">
        <f t="shared" si="26"/>
        <v>2.0499999999999998</v>
      </c>
      <c r="F134" s="136">
        <f t="shared" si="26"/>
        <v>2.0499999999999998</v>
      </c>
      <c r="G134" s="136">
        <f t="shared" si="26"/>
        <v>2.0499999999999998</v>
      </c>
      <c r="H134" s="136">
        <f t="shared" si="26"/>
        <v>2.0499999999999998</v>
      </c>
      <c r="I134" s="136">
        <f t="shared" si="26"/>
        <v>2.0499999999999998</v>
      </c>
      <c r="J134" s="136">
        <f t="shared" si="26"/>
        <v>2.0499999999999998</v>
      </c>
      <c r="K134" s="136">
        <f t="shared" si="26"/>
        <v>2.0499999999999998</v>
      </c>
      <c r="L134" s="136">
        <f t="shared" si="26"/>
        <v>2.0499999999999998</v>
      </c>
      <c r="M134" s="136">
        <f t="shared" si="26"/>
        <v>2.0499999999999998</v>
      </c>
      <c r="N134" s="136">
        <f t="shared" si="26"/>
        <v>2.0499999999999998</v>
      </c>
      <c r="O134" s="136">
        <f t="shared" si="26"/>
        <v>2.0499999999999998</v>
      </c>
      <c r="P134" s="136">
        <f t="shared" si="26"/>
        <v>2.0499999999999998</v>
      </c>
      <c r="Q134" s="136">
        <f t="shared" si="26"/>
        <v>2.0499999999999998</v>
      </c>
      <c r="R134" s="136">
        <f t="shared" si="25"/>
        <v>2.0499999999999998</v>
      </c>
      <c r="S134" s="136">
        <f t="shared" si="25"/>
        <v>2.0499999999999998</v>
      </c>
      <c r="T134" s="136">
        <f t="shared" si="25"/>
        <v>2.0499999999999998</v>
      </c>
      <c r="U134" s="136">
        <f t="shared" si="25"/>
        <v>2.0499999999999998</v>
      </c>
      <c r="V134" s="136">
        <f t="shared" si="27"/>
        <v>2.0499999999999998</v>
      </c>
      <c r="W134" s="136">
        <f t="shared" si="27"/>
        <v>2.0499999999999998</v>
      </c>
      <c r="X134" s="136">
        <f t="shared" si="27"/>
        <v>2.0499999999999998</v>
      </c>
      <c r="Y134" s="136">
        <f t="shared" si="27"/>
        <v>2.0499999999999998</v>
      </c>
      <c r="Z134" s="136">
        <f t="shared" si="27"/>
        <v>2.0499999999999998</v>
      </c>
      <c r="AA134" s="136">
        <f t="shared" si="27"/>
        <v>2.0499999999999998</v>
      </c>
      <c r="AB134" s="136">
        <f t="shared" si="27"/>
        <v>2.0499999999999998</v>
      </c>
      <c r="AC134" s="136">
        <f t="shared" si="27"/>
        <v>2.0499999999999998</v>
      </c>
      <c r="AD134" s="136">
        <f t="shared" si="27"/>
        <v>2.0499999999999998</v>
      </c>
      <c r="AE134" s="136">
        <f t="shared" si="27"/>
        <v>2.0499999999999998</v>
      </c>
      <c r="AF134" s="136">
        <f t="shared" si="27"/>
        <v>2.0499999999999998</v>
      </c>
      <c r="AG134" s="138">
        <v>3</v>
      </c>
      <c r="AH134" s="52"/>
      <c r="AI134" s="53"/>
      <c r="AK134" s="54"/>
    </row>
    <row r="135" spans="1:37" x14ac:dyDescent="0.25">
      <c r="A135" s="124" t="s">
        <v>140</v>
      </c>
      <c r="B135" s="135">
        <v>2.15</v>
      </c>
      <c r="C135" s="136">
        <f t="shared" si="26"/>
        <v>2.15</v>
      </c>
      <c r="D135" s="136">
        <f t="shared" si="26"/>
        <v>2.15</v>
      </c>
      <c r="E135" s="136">
        <f t="shared" si="26"/>
        <v>2.15</v>
      </c>
      <c r="F135" s="136">
        <f t="shared" si="26"/>
        <v>2.15</v>
      </c>
      <c r="G135" s="136">
        <f t="shared" si="26"/>
        <v>2.15</v>
      </c>
      <c r="H135" s="136">
        <f t="shared" si="26"/>
        <v>2.15</v>
      </c>
      <c r="I135" s="136">
        <f t="shared" si="26"/>
        <v>2.15</v>
      </c>
      <c r="J135" s="136">
        <f t="shared" si="26"/>
        <v>2.15</v>
      </c>
      <c r="K135" s="136">
        <f t="shared" si="26"/>
        <v>2.15</v>
      </c>
      <c r="L135" s="136">
        <f t="shared" si="26"/>
        <v>2.15</v>
      </c>
      <c r="M135" s="136">
        <f t="shared" si="26"/>
        <v>2.15</v>
      </c>
      <c r="N135" s="136">
        <f t="shared" si="26"/>
        <v>2.15</v>
      </c>
      <c r="O135" s="136">
        <f t="shared" si="26"/>
        <v>2.15</v>
      </c>
      <c r="P135" s="136">
        <f t="shared" si="26"/>
        <v>2.15</v>
      </c>
      <c r="Q135" s="136">
        <f t="shared" si="26"/>
        <v>2.15</v>
      </c>
      <c r="R135" s="136">
        <f t="shared" si="25"/>
        <v>2.15</v>
      </c>
      <c r="S135" s="136">
        <f t="shared" si="25"/>
        <v>2.15</v>
      </c>
      <c r="T135" s="136">
        <f t="shared" si="25"/>
        <v>2.15</v>
      </c>
      <c r="U135" s="136">
        <f t="shared" si="25"/>
        <v>2.15</v>
      </c>
      <c r="V135" s="136">
        <f t="shared" si="27"/>
        <v>2.15</v>
      </c>
      <c r="W135" s="136">
        <f t="shared" si="27"/>
        <v>2.15</v>
      </c>
      <c r="X135" s="136">
        <f t="shared" si="27"/>
        <v>2.15</v>
      </c>
      <c r="Y135" s="136">
        <f t="shared" si="27"/>
        <v>2.15</v>
      </c>
      <c r="Z135" s="136">
        <f t="shared" si="27"/>
        <v>2.15</v>
      </c>
      <c r="AA135" s="136">
        <f t="shared" si="27"/>
        <v>2.15</v>
      </c>
      <c r="AB135" s="136">
        <f t="shared" si="27"/>
        <v>2.15</v>
      </c>
      <c r="AC135" s="136">
        <f t="shared" si="27"/>
        <v>2.15</v>
      </c>
      <c r="AD135" s="136">
        <f t="shared" si="27"/>
        <v>2.15</v>
      </c>
      <c r="AE135" s="136">
        <f t="shared" si="27"/>
        <v>2.15</v>
      </c>
      <c r="AF135" s="136">
        <f t="shared" si="27"/>
        <v>2.15</v>
      </c>
      <c r="AG135" s="138">
        <v>3</v>
      </c>
      <c r="AH135" s="52"/>
      <c r="AI135" s="53"/>
      <c r="AK135" s="54"/>
    </row>
    <row r="136" spans="1:37" x14ac:dyDescent="0.25">
      <c r="A136" s="124" t="s">
        <v>141</v>
      </c>
      <c r="B136" s="135">
        <v>2.7</v>
      </c>
      <c r="C136" s="136">
        <f t="shared" si="26"/>
        <v>2.7</v>
      </c>
      <c r="D136" s="136">
        <f t="shared" si="26"/>
        <v>2.7</v>
      </c>
      <c r="E136" s="136">
        <f t="shared" si="26"/>
        <v>2.7</v>
      </c>
      <c r="F136" s="136">
        <f t="shared" si="26"/>
        <v>2.7</v>
      </c>
      <c r="G136" s="136">
        <f t="shared" si="26"/>
        <v>2.7</v>
      </c>
      <c r="H136" s="136">
        <f t="shared" si="26"/>
        <v>2.7</v>
      </c>
      <c r="I136" s="136">
        <f t="shared" si="26"/>
        <v>2.7</v>
      </c>
      <c r="J136" s="136">
        <f t="shared" si="26"/>
        <v>2.7</v>
      </c>
      <c r="K136" s="136">
        <f t="shared" si="26"/>
        <v>2.7</v>
      </c>
      <c r="L136" s="136">
        <f t="shared" si="26"/>
        <v>2.7</v>
      </c>
      <c r="M136" s="136">
        <f t="shared" si="26"/>
        <v>2.7</v>
      </c>
      <c r="N136" s="136">
        <f t="shared" si="26"/>
        <v>2.7</v>
      </c>
      <c r="O136" s="136">
        <f t="shared" si="26"/>
        <v>2.7</v>
      </c>
      <c r="P136" s="136">
        <f t="shared" si="26"/>
        <v>2.7</v>
      </c>
      <c r="Q136" s="136">
        <f t="shared" si="26"/>
        <v>2.7</v>
      </c>
      <c r="R136" s="136">
        <f t="shared" si="25"/>
        <v>2.7</v>
      </c>
      <c r="S136" s="136">
        <f t="shared" si="25"/>
        <v>2.7</v>
      </c>
      <c r="T136" s="136">
        <f t="shared" si="25"/>
        <v>2.7</v>
      </c>
      <c r="U136" s="136">
        <f t="shared" si="25"/>
        <v>2.7</v>
      </c>
      <c r="V136" s="136">
        <f t="shared" si="27"/>
        <v>2.7</v>
      </c>
      <c r="W136" s="136">
        <f t="shared" si="27"/>
        <v>2.7</v>
      </c>
      <c r="X136" s="136">
        <f t="shared" si="27"/>
        <v>2.7</v>
      </c>
      <c r="Y136" s="136">
        <f t="shared" si="27"/>
        <v>2.7</v>
      </c>
      <c r="Z136" s="136">
        <f t="shared" si="27"/>
        <v>2.7</v>
      </c>
      <c r="AA136" s="136">
        <f t="shared" si="27"/>
        <v>2.7</v>
      </c>
      <c r="AB136" s="136">
        <f t="shared" si="27"/>
        <v>2.7</v>
      </c>
      <c r="AC136" s="136">
        <f t="shared" si="27"/>
        <v>2.7</v>
      </c>
      <c r="AD136" s="136">
        <f t="shared" si="27"/>
        <v>2.7</v>
      </c>
      <c r="AE136" s="136">
        <f t="shared" si="27"/>
        <v>2.7</v>
      </c>
      <c r="AF136" s="136">
        <f t="shared" si="27"/>
        <v>2.7</v>
      </c>
      <c r="AG136" s="138">
        <v>3</v>
      </c>
      <c r="AH136" s="52"/>
      <c r="AI136" s="53"/>
      <c r="AK136" s="54"/>
    </row>
    <row r="137" spans="1:37" x14ac:dyDescent="0.25">
      <c r="A137" s="124" t="s">
        <v>142</v>
      </c>
      <c r="B137" s="135">
        <v>0.9</v>
      </c>
      <c r="C137" s="136">
        <f t="shared" si="26"/>
        <v>0.9</v>
      </c>
      <c r="D137" s="136">
        <f t="shared" si="26"/>
        <v>0.9</v>
      </c>
      <c r="E137" s="136">
        <f t="shared" si="26"/>
        <v>0.9</v>
      </c>
      <c r="F137" s="136">
        <f t="shared" si="26"/>
        <v>0.9</v>
      </c>
      <c r="G137" s="136">
        <f t="shared" si="26"/>
        <v>0.9</v>
      </c>
      <c r="H137" s="136">
        <f t="shared" si="26"/>
        <v>0.9</v>
      </c>
      <c r="I137" s="136">
        <f t="shared" si="26"/>
        <v>0.9</v>
      </c>
      <c r="J137" s="136">
        <f t="shared" si="26"/>
        <v>0.9</v>
      </c>
      <c r="K137" s="136">
        <f t="shared" si="26"/>
        <v>0.9</v>
      </c>
      <c r="L137" s="136">
        <f t="shared" si="26"/>
        <v>0.9</v>
      </c>
      <c r="M137" s="136">
        <f t="shared" si="26"/>
        <v>0.9</v>
      </c>
      <c r="N137" s="136">
        <f t="shared" si="26"/>
        <v>0.9</v>
      </c>
      <c r="O137" s="136">
        <f t="shared" si="26"/>
        <v>0.9</v>
      </c>
      <c r="P137" s="136">
        <f t="shared" si="26"/>
        <v>0.9</v>
      </c>
      <c r="Q137" s="136">
        <f t="shared" si="26"/>
        <v>0.9</v>
      </c>
      <c r="R137" s="136">
        <f t="shared" si="25"/>
        <v>0.9</v>
      </c>
      <c r="S137" s="136">
        <f t="shared" si="25"/>
        <v>0.9</v>
      </c>
      <c r="T137" s="136">
        <f t="shared" si="25"/>
        <v>0.9</v>
      </c>
      <c r="U137" s="136">
        <f t="shared" si="25"/>
        <v>0.9</v>
      </c>
      <c r="V137" s="136">
        <f t="shared" si="27"/>
        <v>0.9</v>
      </c>
      <c r="W137" s="136">
        <f t="shared" si="27"/>
        <v>0.9</v>
      </c>
      <c r="X137" s="136">
        <f t="shared" si="27"/>
        <v>0.9</v>
      </c>
      <c r="Y137" s="136">
        <f t="shared" si="27"/>
        <v>0.9</v>
      </c>
      <c r="Z137" s="136">
        <f t="shared" si="27"/>
        <v>0.9</v>
      </c>
      <c r="AA137" s="136">
        <f t="shared" si="27"/>
        <v>0.9</v>
      </c>
      <c r="AB137" s="136">
        <f t="shared" si="27"/>
        <v>0.9</v>
      </c>
      <c r="AC137" s="136">
        <f t="shared" si="27"/>
        <v>0.9</v>
      </c>
      <c r="AD137" s="136">
        <f t="shared" si="27"/>
        <v>0.9</v>
      </c>
      <c r="AE137" s="136">
        <f t="shared" si="27"/>
        <v>0.9</v>
      </c>
      <c r="AF137" s="136">
        <f t="shared" si="27"/>
        <v>0.9</v>
      </c>
      <c r="AG137" s="138">
        <v>2.83</v>
      </c>
      <c r="AH137" s="52"/>
      <c r="AI137" s="53"/>
      <c r="AK137" s="54"/>
    </row>
    <row r="138" spans="1:37" x14ac:dyDescent="0.25">
      <c r="A138" s="124" t="s">
        <v>143</v>
      </c>
      <c r="B138" s="135">
        <v>1.08</v>
      </c>
      <c r="C138" s="136">
        <f t="shared" si="26"/>
        <v>1.08</v>
      </c>
      <c r="D138" s="136">
        <f t="shared" si="26"/>
        <v>1.08</v>
      </c>
      <c r="E138" s="136">
        <f t="shared" si="26"/>
        <v>1.08</v>
      </c>
      <c r="F138" s="136">
        <f t="shared" si="26"/>
        <v>1.08</v>
      </c>
      <c r="G138" s="136">
        <f t="shared" si="26"/>
        <v>1.08</v>
      </c>
      <c r="H138" s="136">
        <f t="shared" si="26"/>
        <v>1.08</v>
      </c>
      <c r="I138" s="136">
        <f t="shared" si="26"/>
        <v>1.08</v>
      </c>
      <c r="J138" s="136">
        <f t="shared" si="26"/>
        <v>1.08</v>
      </c>
      <c r="K138" s="136">
        <f t="shared" si="26"/>
        <v>1.08</v>
      </c>
      <c r="L138" s="136">
        <f t="shared" si="26"/>
        <v>1.08</v>
      </c>
      <c r="M138" s="136">
        <f t="shared" si="26"/>
        <v>1.08</v>
      </c>
      <c r="N138" s="136">
        <f t="shared" si="26"/>
        <v>1.08</v>
      </c>
      <c r="O138" s="136">
        <f t="shared" si="26"/>
        <v>1.08</v>
      </c>
      <c r="P138" s="136">
        <f t="shared" si="26"/>
        <v>1.08</v>
      </c>
      <c r="Q138" s="136">
        <f t="shared" si="26"/>
        <v>1.08</v>
      </c>
      <c r="R138" s="136">
        <f t="shared" si="25"/>
        <v>1.08</v>
      </c>
      <c r="S138" s="136">
        <f t="shared" si="25"/>
        <v>1.08</v>
      </c>
      <c r="T138" s="136">
        <f t="shared" si="25"/>
        <v>1.08</v>
      </c>
      <c r="U138" s="136">
        <f t="shared" si="25"/>
        <v>1.08</v>
      </c>
      <c r="V138" s="136">
        <f t="shared" si="27"/>
        <v>1.08</v>
      </c>
      <c r="W138" s="136">
        <f t="shared" si="27"/>
        <v>1.08</v>
      </c>
      <c r="X138" s="136">
        <f t="shared" si="27"/>
        <v>1.08</v>
      </c>
      <c r="Y138" s="136">
        <f t="shared" si="27"/>
        <v>1.08</v>
      </c>
      <c r="Z138" s="136">
        <f t="shared" si="27"/>
        <v>1.08</v>
      </c>
      <c r="AA138" s="136">
        <f t="shared" si="27"/>
        <v>1.08</v>
      </c>
      <c r="AB138" s="136">
        <f t="shared" si="27"/>
        <v>1.08</v>
      </c>
      <c r="AC138" s="136">
        <f t="shared" si="27"/>
        <v>1.08</v>
      </c>
      <c r="AD138" s="136">
        <f t="shared" si="27"/>
        <v>1.08</v>
      </c>
      <c r="AE138" s="136">
        <f t="shared" si="27"/>
        <v>1.08</v>
      </c>
      <c r="AF138" s="136">
        <f t="shared" si="27"/>
        <v>1.08</v>
      </c>
      <c r="AG138" s="138">
        <v>2.5</v>
      </c>
      <c r="AH138" s="52"/>
      <c r="AI138" s="53"/>
      <c r="AK138" s="54"/>
    </row>
    <row r="139" spans="1:37" x14ac:dyDescent="0.25">
      <c r="A139" s="124" t="s">
        <v>144</v>
      </c>
      <c r="B139" s="135">
        <v>2.37</v>
      </c>
      <c r="C139" s="136">
        <f t="shared" ref="C139:Q155" si="28">B139</f>
        <v>2.37</v>
      </c>
      <c r="D139" s="136">
        <f t="shared" si="28"/>
        <v>2.37</v>
      </c>
      <c r="E139" s="136">
        <f t="shared" si="28"/>
        <v>2.37</v>
      </c>
      <c r="F139" s="136">
        <f t="shared" si="28"/>
        <v>2.37</v>
      </c>
      <c r="G139" s="136">
        <f t="shared" si="28"/>
        <v>2.37</v>
      </c>
      <c r="H139" s="136">
        <f t="shared" si="28"/>
        <v>2.37</v>
      </c>
      <c r="I139" s="136">
        <f t="shared" si="28"/>
        <v>2.37</v>
      </c>
      <c r="J139" s="136">
        <f t="shared" si="28"/>
        <v>2.37</v>
      </c>
      <c r="K139" s="136">
        <f t="shared" si="28"/>
        <v>2.37</v>
      </c>
      <c r="L139" s="136">
        <f t="shared" si="28"/>
        <v>2.37</v>
      </c>
      <c r="M139" s="136">
        <f t="shared" si="28"/>
        <v>2.37</v>
      </c>
      <c r="N139" s="136">
        <f t="shared" si="28"/>
        <v>2.37</v>
      </c>
      <c r="O139" s="136">
        <f t="shared" si="28"/>
        <v>2.37</v>
      </c>
      <c r="P139" s="136">
        <f t="shared" si="28"/>
        <v>2.37</v>
      </c>
      <c r="Q139" s="136">
        <f t="shared" si="28"/>
        <v>2.37</v>
      </c>
      <c r="R139" s="136">
        <f t="shared" si="25"/>
        <v>2.37</v>
      </c>
      <c r="S139" s="136">
        <f t="shared" si="25"/>
        <v>2.37</v>
      </c>
      <c r="T139" s="136">
        <f t="shared" si="25"/>
        <v>2.37</v>
      </c>
      <c r="U139" s="136">
        <f t="shared" si="25"/>
        <v>2.37</v>
      </c>
      <c r="V139" s="136">
        <f t="shared" si="27"/>
        <v>2.37</v>
      </c>
      <c r="W139" s="136">
        <f t="shared" si="27"/>
        <v>2.37</v>
      </c>
      <c r="X139" s="136">
        <f t="shared" si="27"/>
        <v>2.37</v>
      </c>
      <c r="Y139" s="136">
        <f t="shared" si="27"/>
        <v>2.37</v>
      </c>
      <c r="Z139" s="136">
        <f t="shared" si="27"/>
        <v>2.37</v>
      </c>
      <c r="AA139" s="136">
        <f t="shared" si="27"/>
        <v>2.37</v>
      </c>
      <c r="AB139" s="136">
        <f t="shared" si="27"/>
        <v>2.37</v>
      </c>
      <c r="AC139" s="136">
        <f t="shared" si="27"/>
        <v>2.37</v>
      </c>
      <c r="AD139" s="136">
        <f t="shared" si="27"/>
        <v>2.37</v>
      </c>
      <c r="AE139" s="136">
        <f t="shared" si="27"/>
        <v>2.37</v>
      </c>
      <c r="AF139" s="136">
        <f t="shared" si="27"/>
        <v>2.37</v>
      </c>
      <c r="AG139" s="138">
        <v>2.5</v>
      </c>
      <c r="AH139" s="52"/>
      <c r="AI139" s="53"/>
      <c r="AK139" s="54"/>
    </row>
    <row r="140" spans="1:37" x14ac:dyDescent="0.25">
      <c r="A140" s="124" t="s">
        <v>145</v>
      </c>
      <c r="B140" s="135">
        <v>1.81</v>
      </c>
      <c r="C140" s="136">
        <f t="shared" si="28"/>
        <v>1.81</v>
      </c>
      <c r="D140" s="136">
        <f t="shared" si="28"/>
        <v>1.81</v>
      </c>
      <c r="E140" s="136">
        <f t="shared" si="28"/>
        <v>1.81</v>
      </c>
      <c r="F140" s="136">
        <f t="shared" si="28"/>
        <v>1.81</v>
      </c>
      <c r="G140" s="136">
        <f t="shared" si="28"/>
        <v>1.81</v>
      </c>
      <c r="H140" s="136">
        <f t="shared" si="28"/>
        <v>1.81</v>
      </c>
      <c r="I140" s="136">
        <f t="shared" si="28"/>
        <v>1.81</v>
      </c>
      <c r="J140" s="136">
        <f t="shared" si="28"/>
        <v>1.81</v>
      </c>
      <c r="K140" s="136">
        <f t="shared" si="28"/>
        <v>1.81</v>
      </c>
      <c r="L140" s="136">
        <f t="shared" si="28"/>
        <v>1.81</v>
      </c>
      <c r="M140" s="136">
        <f t="shared" si="28"/>
        <v>1.81</v>
      </c>
      <c r="N140" s="136">
        <f t="shared" si="28"/>
        <v>1.81</v>
      </c>
      <c r="O140" s="136">
        <f t="shared" si="28"/>
        <v>1.81</v>
      </c>
      <c r="P140" s="136">
        <f t="shared" si="28"/>
        <v>1.81</v>
      </c>
      <c r="Q140" s="136">
        <f t="shared" si="28"/>
        <v>1.81</v>
      </c>
      <c r="R140" s="136">
        <f t="shared" si="25"/>
        <v>1.81</v>
      </c>
      <c r="S140" s="136">
        <f t="shared" si="25"/>
        <v>1.81</v>
      </c>
      <c r="T140" s="136">
        <f t="shared" si="25"/>
        <v>1.81</v>
      </c>
      <c r="U140" s="136">
        <f t="shared" si="25"/>
        <v>1.81</v>
      </c>
      <c r="V140" s="136">
        <f t="shared" si="27"/>
        <v>1.81</v>
      </c>
      <c r="W140" s="136">
        <f t="shared" si="27"/>
        <v>1.81</v>
      </c>
      <c r="X140" s="136">
        <f t="shared" si="27"/>
        <v>1.81</v>
      </c>
      <c r="Y140" s="136">
        <f t="shared" si="27"/>
        <v>1.81</v>
      </c>
      <c r="Z140" s="136">
        <f t="shared" si="27"/>
        <v>1.81</v>
      </c>
      <c r="AA140" s="136">
        <f t="shared" si="27"/>
        <v>1.81</v>
      </c>
      <c r="AB140" s="136">
        <f t="shared" si="27"/>
        <v>1.81</v>
      </c>
      <c r="AC140" s="136">
        <f t="shared" si="27"/>
        <v>1.81</v>
      </c>
      <c r="AD140" s="136">
        <f t="shared" si="27"/>
        <v>1.81</v>
      </c>
      <c r="AE140" s="136">
        <f t="shared" si="27"/>
        <v>1.81</v>
      </c>
      <c r="AF140" s="136">
        <f t="shared" si="27"/>
        <v>1.81</v>
      </c>
      <c r="AG140" s="138">
        <v>2.4</v>
      </c>
      <c r="AH140" s="52"/>
      <c r="AI140" s="53"/>
      <c r="AK140" s="54"/>
    </row>
    <row r="141" spans="1:37" x14ac:dyDescent="0.25">
      <c r="A141" s="124" t="s">
        <v>146</v>
      </c>
      <c r="B141" s="135">
        <v>1.0900000000000001</v>
      </c>
      <c r="C141" s="136">
        <f t="shared" si="28"/>
        <v>1.0900000000000001</v>
      </c>
      <c r="D141" s="136">
        <f t="shared" si="28"/>
        <v>1.0900000000000001</v>
      </c>
      <c r="E141" s="136">
        <f t="shared" si="28"/>
        <v>1.0900000000000001</v>
      </c>
      <c r="F141" s="136">
        <f t="shared" si="28"/>
        <v>1.0900000000000001</v>
      </c>
      <c r="G141" s="136">
        <f t="shared" si="28"/>
        <v>1.0900000000000001</v>
      </c>
      <c r="H141" s="136">
        <f t="shared" si="28"/>
        <v>1.0900000000000001</v>
      </c>
      <c r="I141" s="136">
        <f t="shared" si="28"/>
        <v>1.0900000000000001</v>
      </c>
      <c r="J141" s="136">
        <f t="shared" si="28"/>
        <v>1.0900000000000001</v>
      </c>
      <c r="K141" s="136">
        <f t="shared" si="28"/>
        <v>1.0900000000000001</v>
      </c>
      <c r="L141" s="136">
        <f t="shared" si="28"/>
        <v>1.0900000000000001</v>
      </c>
      <c r="M141" s="136">
        <f t="shared" si="28"/>
        <v>1.0900000000000001</v>
      </c>
      <c r="N141" s="136">
        <f t="shared" si="28"/>
        <v>1.0900000000000001</v>
      </c>
      <c r="O141" s="136">
        <f t="shared" si="28"/>
        <v>1.0900000000000001</v>
      </c>
      <c r="P141" s="136">
        <f t="shared" si="28"/>
        <v>1.0900000000000001</v>
      </c>
      <c r="Q141" s="136">
        <f t="shared" si="28"/>
        <v>1.0900000000000001</v>
      </c>
      <c r="R141" s="136">
        <f t="shared" si="25"/>
        <v>1.0900000000000001</v>
      </c>
      <c r="S141" s="136">
        <f t="shared" si="25"/>
        <v>1.0900000000000001</v>
      </c>
      <c r="T141" s="136">
        <f t="shared" si="25"/>
        <v>1.0900000000000001</v>
      </c>
      <c r="U141" s="136">
        <f t="shared" si="25"/>
        <v>1.0900000000000001</v>
      </c>
      <c r="V141" s="136">
        <f t="shared" si="27"/>
        <v>1.0900000000000001</v>
      </c>
      <c r="W141" s="136">
        <f t="shared" si="27"/>
        <v>1.0900000000000001</v>
      </c>
      <c r="X141" s="136">
        <f t="shared" si="27"/>
        <v>1.0900000000000001</v>
      </c>
      <c r="Y141" s="136">
        <f t="shared" si="27"/>
        <v>1.0900000000000001</v>
      </c>
      <c r="Z141" s="136">
        <f t="shared" si="27"/>
        <v>1.0900000000000001</v>
      </c>
      <c r="AA141" s="136">
        <f t="shared" si="27"/>
        <v>1.0900000000000001</v>
      </c>
      <c r="AB141" s="136">
        <f t="shared" si="27"/>
        <v>1.0900000000000001</v>
      </c>
      <c r="AC141" s="136">
        <f t="shared" si="27"/>
        <v>1.0900000000000001</v>
      </c>
      <c r="AD141" s="136">
        <f t="shared" si="27"/>
        <v>1.0900000000000001</v>
      </c>
      <c r="AE141" s="136">
        <f t="shared" si="27"/>
        <v>1.0900000000000001</v>
      </c>
      <c r="AF141" s="136">
        <f t="shared" si="27"/>
        <v>1.0900000000000001</v>
      </c>
      <c r="AG141" s="138">
        <v>2.2000000000000002</v>
      </c>
      <c r="AH141" s="52"/>
      <c r="AI141" s="53"/>
      <c r="AK141" s="54"/>
    </row>
    <row r="142" spans="1:37" x14ac:dyDescent="0.25">
      <c r="A142" s="124" t="s">
        <v>147</v>
      </c>
      <c r="B142" s="135">
        <v>1.58</v>
      </c>
      <c r="C142" s="136">
        <f t="shared" si="28"/>
        <v>1.58</v>
      </c>
      <c r="D142" s="136">
        <f t="shared" si="28"/>
        <v>1.58</v>
      </c>
      <c r="E142" s="136">
        <f t="shared" si="28"/>
        <v>1.58</v>
      </c>
      <c r="F142" s="136">
        <f t="shared" si="28"/>
        <v>1.58</v>
      </c>
      <c r="G142" s="136">
        <f t="shared" si="28"/>
        <v>1.58</v>
      </c>
      <c r="H142" s="136">
        <f t="shared" si="28"/>
        <v>1.58</v>
      </c>
      <c r="I142" s="136">
        <f t="shared" si="28"/>
        <v>1.58</v>
      </c>
      <c r="J142" s="136">
        <f t="shared" si="28"/>
        <v>1.58</v>
      </c>
      <c r="K142" s="136">
        <f t="shared" si="28"/>
        <v>1.58</v>
      </c>
      <c r="L142" s="136">
        <f t="shared" si="28"/>
        <v>1.58</v>
      </c>
      <c r="M142" s="136">
        <f t="shared" si="28"/>
        <v>1.58</v>
      </c>
      <c r="N142" s="136">
        <f t="shared" si="28"/>
        <v>1.58</v>
      </c>
      <c r="O142" s="136">
        <f t="shared" si="28"/>
        <v>1.58</v>
      </c>
      <c r="P142" s="136">
        <f t="shared" si="28"/>
        <v>1.58</v>
      </c>
      <c r="Q142" s="136">
        <f t="shared" si="28"/>
        <v>1.58</v>
      </c>
      <c r="R142" s="136">
        <f t="shared" si="25"/>
        <v>1.58</v>
      </c>
      <c r="S142" s="136">
        <f t="shared" si="25"/>
        <v>1.58</v>
      </c>
      <c r="T142" s="136">
        <f t="shared" si="25"/>
        <v>1.58</v>
      </c>
      <c r="U142" s="136">
        <f t="shared" si="25"/>
        <v>1.58</v>
      </c>
      <c r="V142" s="136">
        <f t="shared" si="27"/>
        <v>1.58</v>
      </c>
      <c r="W142" s="136">
        <f t="shared" si="27"/>
        <v>1.58</v>
      </c>
      <c r="X142" s="136">
        <f t="shared" si="27"/>
        <v>1.58</v>
      </c>
      <c r="Y142" s="136">
        <f t="shared" si="27"/>
        <v>1.58</v>
      </c>
      <c r="Z142" s="136">
        <f t="shared" si="27"/>
        <v>1.58</v>
      </c>
      <c r="AA142" s="136">
        <f t="shared" si="27"/>
        <v>1.58</v>
      </c>
      <c r="AB142" s="136">
        <f t="shared" si="27"/>
        <v>1.58</v>
      </c>
      <c r="AC142" s="136">
        <f t="shared" si="27"/>
        <v>1.58</v>
      </c>
      <c r="AD142" s="136">
        <f t="shared" si="27"/>
        <v>1.58</v>
      </c>
      <c r="AE142" s="136">
        <f t="shared" si="27"/>
        <v>1.58</v>
      </c>
      <c r="AF142" s="136">
        <f t="shared" si="27"/>
        <v>1.58</v>
      </c>
      <c r="AG142" s="138">
        <v>2</v>
      </c>
      <c r="AH142" s="52"/>
      <c r="AI142" s="53"/>
      <c r="AK142" s="54"/>
    </row>
    <row r="143" spans="1:37" x14ac:dyDescent="0.25">
      <c r="A143" s="124" t="s">
        <v>148</v>
      </c>
      <c r="B143" s="135">
        <v>2</v>
      </c>
      <c r="C143" s="136">
        <f t="shared" si="28"/>
        <v>2</v>
      </c>
      <c r="D143" s="136">
        <f t="shared" si="28"/>
        <v>2</v>
      </c>
      <c r="E143" s="136">
        <f t="shared" si="28"/>
        <v>2</v>
      </c>
      <c r="F143" s="136">
        <f t="shared" si="28"/>
        <v>2</v>
      </c>
      <c r="G143" s="136">
        <f t="shared" si="28"/>
        <v>2</v>
      </c>
      <c r="H143" s="136">
        <f t="shared" si="28"/>
        <v>2</v>
      </c>
      <c r="I143" s="136">
        <f t="shared" si="28"/>
        <v>2</v>
      </c>
      <c r="J143" s="136">
        <f t="shared" si="28"/>
        <v>2</v>
      </c>
      <c r="K143" s="136">
        <f t="shared" si="28"/>
        <v>2</v>
      </c>
      <c r="L143" s="136">
        <f t="shared" si="28"/>
        <v>2</v>
      </c>
      <c r="M143" s="136">
        <f t="shared" si="28"/>
        <v>2</v>
      </c>
      <c r="N143" s="136">
        <f t="shared" si="28"/>
        <v>2</v>
      </c>
      <c r="O143" s="136">
        <f t="shared" si="28"/>
        <v>2</v>
      </c>
      <c r="P143" s="136">
        <f t="shared" si="28"/>
        <v>2</v>
      </c>
      <c r="Q143" s="136">
        <f t="shared" si="28"/>
        <v>2</v>
      </c>
      <c r="R143" s="136">
        <f t="shared" si="25"/>
        <v>2</v>
      </c>
      <c r="S143" s="136">
        <f t="shared" si="25"/>
        <v>2</v>
      </c>
      <c r="T143" s="136">
        <f t="shared" si="25"/>
        <v>2</v>
      </c>
      <c r="U143" s="136">
        <f t="shared" si="25"/>
        <v>2</v>
      </c>
      <c r="V143" s="136">
        <f t="shared" si="27"/>
        <v>2</v>
      </c>
      <c r="W143" s="136">
        <f t="shared" si="27"/>
        <v>2</v>
      </c>
      <c r="X143" s="136">
        <f t="shared" si="27"/>
        <v>2</v>
      </c>
      <c r="Y143" s="136">
        <f t="shared" si="27"/>
        <v>2</v>
      </c>
      <c r="Z143" s="136">
        <f t="shared" si="27"/>
        <v>2</v>
      </c>
      <c r="AA143" s="136">
        <f t="shared" si="27"/>
        <v>2</v>
      </c>
      <c r="AB143" s="136">
        <f t="shared" si="27"/>
        <v>2</v>
      </c>
      <c r="AC143" s="136">
        <f t="shared" si="27"/>
        <v>2</v>
      </c>
      <c r="AD143" s="136">
        <f t="shared" si="27"/>
        <v>2</v>
      </c>
      <c r="AE143" s="136">
        <f t="shared" si="27"/>
        <v>2</v>
      </c>
      <c r="AF143" s="136">
        <f t="shared" si="27"/>
        <v>2</v>
      </c>
      <c r="AG143" s="138">
        <v>2</v>
      </c>
      <c r="AH143" s="52"/>
      <c r="AI143" s="53"/>
      <c r="AK143" s="54"/>
    </row>
    <row r="144" spans="1:37" x14ac:dyDescent="0.25">
      <c r="A144" s="124" t="s">
        <v>149</v>
      </c>
      <c r="B144" s="135">
        <v>0.47</v>
      </c>
      <c r="C144" s="136">
        <f t="shared" si="28"/>
        <v>0.47</v>
      </c>
      <c r="D144" s="136">
        <f t="shared" si="28"/>
        <v>0.47</v>
      </c>
      <c r="E144" s="136">
        <f t="shared" si="28"/>
        <v>0.47</v>
      </c>
      <c r="F144" s="136">
        <f t="shared" si="28"/>
        <v>0.47</v>
      </c>
      <c r="G144" s="136">
        <f t="shared" si="28"/>
        <v>0.47</v>
      </c>
      <c r="H144" s="136">
        <f t="shared" si="28"/>
        <v>0.47</v>
      </c>
      <c r="I144" s="136">
        <f t="shared" si="28"/>
        <v>0.47</v>
      </c>
      <c r="J144" s="136">
        <f t="shared" si="28"/>
        <v>0.47</v>
      </c>
      <c r="K144" s="136">
        <f t="shared" si="28"/>
        <v>0.47</v>
      </c>
      <c r="L144" s="136">
        <f t="shared" si="28"/>
        <v>0.47</v>
      </c>
      <c r="M144" s="136">
        <f t="shared" si="28"/>
        <v>0.47</v>
      </c>
      <c r="N144" s="136">
        <f t="shared" si="28"/>
        <v>0.47</v>
      </c>
      <c r="O144" s="136">
        <f t="shared" si="28"/>
        <v>0.47</v>
      </c>
      <c r="P144" s="136">
        <f t="shared" si="28"/>
        <v>0.47</v>
      </c>
      <c r="Q144" s="136">
        <f t="shared" si="28"/>
        <v>0.47</v>
      </c>
      <c r="R144" s="136">
        <f t="shared" si="25"/>
        <v>0.47</v>
      </c>
      <c r="S144" s="136">
        <f t="shared" si="25"/>
        <v>0.47</v>
      </c>
      <c r="T144" s="136">
        <f t="shared" si="25"/>
        <v>0.47</v>
      </c>
      <c r="U144" s="136">
        <f t="shared" si="25"/>
        <v>0.47</v>
      </c>
      <c r="V144" s="136">
        <f t="shared" si="27"/>
        <v>0.47</v>
      </c>
      <c r="W144" s="136">
        <f t="shared" si="27"/>
        <v>0.47</v>
      </c>
      <c r="X144" s="136">
        <f t="shared" si="27"/>
        <v>0.47</v>
      </c>
      <c r="Y144" s="136">
        <f t="shared" si="27"/>
        <v>0.47</v>
      </c>
      <c r="Z144" s="136">
        <f t="shared" si="27"/>
        <v>0.47</v>
      </c>
      <c r="AA144" s="136">
        <f t="shared" si="27"/>
        <v>0.47</v>
      </c>
      <c r="AB144" s="136">
        <f t="shared" si="27"/>
        <v>0.47</v>
      </c>
      <c r="AC144" s="136">
        <f t="shared" si="27"/>
        <v>0.47</v>
      </c>
      <c r="AD144" s="136">
        <f t="shared" si="27"/>
        <v>0.47</v>
      </c>
      <c r="AE144" s="136">
        <f t="shared" si="27"/>
        <v>0.47</v>
      </c>
      <c r="AF144" s="136">
        <f t="shared" si="27"/>
        <v>0.47</v>
      </c>
      <c r="AG144" s="138">
        <v>2</v>
      </c>
      <c r="AH144" s="52"/>
      <c r="AI144" s="53"/>
      <c r="AK144" s="54"/>
    </row>
    <row r="145" spans="1:37" x14ac:dyDescent="0.25">
      <c r="A145" s="124" t="s">
        <v>150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151</v>
      </c>
      <c r="B146" s="135">
        <v>0</v>
      </c>
      <c r="C146" s="136">
        <f t="shared" si="28"/>
        <v>0</v>
      </c>
      <c r="D146" s="136">
        <f t="shared" si="28"/>
        <v>0</v>
      </c>
      <c r="E146" s="136">
        <f t="shared" si="28"/>
        <v>0</v>
      </c>
      <c r="F146" s="136">
        <f t="shared" si="28"/>
        <v>0</v>
      </c>
      <c r="G146" s="136">
        <f t="shared" si="28"/>
        <v>0</v>
      </c>
      <c r="H146" s="136">
        <f t="shared" si="28"/>
        <v>0</v>
      </c>
      <c r="I146" s="136">
        <f t="shared" si="28"/>
        <v>0</v>
      </c>
      <c r="J146" s="136">
        <f t="shared" si="28"/>
        <v>0</v>
      </c>
      <c r="K146" s="136">
        <f t="shared" si="28"/>
        <v>0</v>
      </c>
      <c r="L146" s="136">
        <f t="shared" si="28"/>
        <v>0</v>
      </c>
      <c r="M146" s="136">
        <f t="shared" si="28"/>
        <v>0</v>
      </c>
      <c r="N146" s="136">
        <f t="shared" si="28"/>
        <v>0</v>
      </c>
      <c r="O146" s="136">
        <f t="shared" si="28"/>
        <v>0</v>
      </c>
      <c r="P146" s="136">
        <f t="shared" si="28"/>
        <v>0</v>
      </c>
      <c r="Q146" s="136">
        <f t="shared" si="28"/>
        <v>0</v>
      </c>
      <c r="R146" s="136">
        <f t="shared" si="25"/>
        <v>0</v>
      </c>
      <c r="S146" s="136">
        <f t="shared" si="25"/>
        <v>0</v>
      </c>
      <c r="T146" s="136">
        <f t="shared" si="25"/>
        <v>0</v>
      </c>
      <c r="U146" s="136">
        <f t="shared" si="25"/>
        <v>0</v>
      </c>
      <c r="V146" s="136">
        <f t="shared" si="27"/>
        <v>0</v>
      </c>
      <c r="W146" s="136">
        <f t="shared" si="27"/>
        <v>0</v>
      </c>
      <c r="X146" s="136">
        <f t="shared" si="27"/>
        <v>0</v>
      </c>
      <c r="Y146" s="136">
        <f t="shared" si="27"/>
        <v>0</v>
      </c>
      <c r="Z146" s="136">
        <f t="shared" si="27"/>
        <v>0</v>
      </c>
      <c r="AA146" s="136">
        <f t="shared" si="27"/>
        <v>0</v>
      </c>
      <c r="AB146" s="136">
        <f t="shared" si="27"/>
        <v>0</v>
      </c>
      <c r="AC146" s="136">
        <f t="shared" si="27"/>
        <v>0</v>
      </c>
      <c r="AD146" s="136">
        <f t="shared" si="27"/>
        <v>0</v>
      </c>
      <c r="AE146" s="136">
        <f t="shared" si="27"/>
        <v>0</v>
      </c>
      <c r="AF146" s="136">
        <f t="shared" si="27"/>
        <v>0</v>
      </c>
      <c r="AG146" s="138">
        <v>1.8</v>
      </c>
      <c r="AH146" s="52"/>
      <c r="AI146" s="53"/>
      <c r="AK146" s="54"/>
    </row>
    <row r="147" spans="1:37" x14ac:dyDescent="0.25">
      <c r="A147" s="124" t="s">
        <v>152</v>
      </c>
      <c r="B147" s="135">
        <v>0.8</v>
      </c>
      <c r="C147" s="136">
        <f t="shared" si="28"/>
        <v>0.8</v>
      </c>
      <c r="D147" s="136">
        <f t="shared" si="28"/>
        <v>0.8</v>
      </c>
      <c r="E147" s="136">
        <f t="shared" si="28"/>
        <v>0.8</v>
      </c>
      <c r="F147" s="136">
        <f t="shared" si="28"/>
        <v>0.8</v>
      </c>
      <c r="G147" s="136">
        <f t="shared" si="28"/>
        <v>0.8</v>
      </c>
      <c r="H147" s="136">
        <f t="shared" si="28"/>
        <v>0.8</v>
      </c>
      <c r="I147" s="136">
        <f t="shared" si="28"/>
        <v>0.8</v>
      </c>
      <c r="J147" s="136">
        <f t="shared" si="28"/>
        <v>0.8</v>
      </c>
      <c r="K147" s="136">
        <f t="shared" si="28"/>
        <v>0.8</v>
      </c>
      <c r="L147" s="136">
        <f t="shared" si="28"/>
        <v>0.8</v>
      </c>
      <c r="M147" s="136">
        <f t="shared" si="28"/>
        <v>0.8</v>
      </c>
      <c r="N147" s="136">
        <f t="shared" si="28"/>
        <v>0.8</v>
      </c>
      <c r="O147" s="136">
        <f t="shared" si="28"/>
        <v>0.8</v>
      </c>
      <c r="P147" s="136">
        <f t="shared" si="28"/>
        <v>0.8</v>
      </c>
      <c r="Q147" s="136">
        <f t="shared" si="28"/>
        <v>0.8</v>
      </c>
      <c r="R147" s="136">
        <f t="shared" si="25"/>
        <v>0.8</v>
      </c>
      <c r="S147" s="136">
        <f t="shared" si="25"/>
        <v>0.8</v>
      </c>
      <c r="T147" s="136">
        <f t="shared" si="25"/>
        <v>0.8</v>
      </c>
      <c r="U147" s="136">
        <f t="shared" si="25"/>
        <v>0.8</v>
      </c>
      <c r="V147" s="136">
        <f t="shared" si="27"/>
        <v>0.8</v>
      </c>
      <c r="W147" s="136">
        <f t="shared" si="27"/>
        <v>0.8</v>
      </c>
      <c r="X147" s="136">
        <f t="shared" ref="X147:AF171" si="29">W147</f>
        <v>0.8</v>
      </c>
      <c r="Y147" s="136">
        <f t="shared" si="29"/>
        <v>0.8</v>
      </c>
      <c r="Z147" s="136">
        <f t="shared" si="29"/>
        <v>0.8</v>
      </c>
      <c r="AA147" s="136">
        <f t="shared" si="29"/>
        <v>0.8</v>
      </c>
      <c r="AB147" s="136">
        <f t="shared" si="29"/>
        <v>0.8</v>
      </c>
      <c r="AC147" s="136">
        <f t="shared" si="29"/>
        <v>0.8</v>
      </c>
      <c r="AD147" s="136">
        <f t="shared" si="29"/>
        <v>0.8</v>
      </c>
      <c r="AE147" s="136">
        <f t="shared" si="29"/>
        <v>0.8</v>
      </c>
      <c r="AF147" s="136">
        <f t="shared" si="29"/>
        <v>0.8</v>
      </c>
      <c r="AG147" s="138">
        <v>1.65</v>
      </c>
      <c r="AH147" s="52"/>
      <c r="AI147" s="53"/>
      <c r="AK147" s="54"/>
    </row>
    <row r="148" spans="1:37" x14ac:dyDescent="0.25">
      <c r="A148" s="124" t="s">
        <v>153</v>
      </c>
      <c r="B148" s="135">
        <v>1.5</v>
      </c>
      <c r="C148" s="136">
        <f t="shared" si="28"/>
        <v>1.5</v>
      </c>
      <c r="D148" s="136">
        <f t="shared" si="28"/>
        <v>1.5</v>
      </c>
      <c r="E148" s="136">
        <f t="shared" si="28"/>
        <v>1.5</v>
      </c>
      <c r="F148" s="136">
        <f t="shared" si="28"/>
        <v>1.5</v>
      </c>
      <c r="G148" s="136">
        <f t="shared" si="28"/>
        <v>1.5</v>
      </c>
      <c r="H148" s="136">
        <f t="shared" si="28"/>
        <v>1.5</v>
      </c>
      <c r="I148" s="136">
        <f t="shared" si="28"/>
        <v>1.5</v>
      </c>
      <c r="J148" s="136">
        <f t="shared" si="28"/>
        <v>1.5</v>
      </c>
      <c r="K148" s="136">
        <f t="shared" si="28"/>
        <v>1.5</v>
      </c>
      <c r="L148" s="136">
        <f t="shared" si="28"/>
        <v>1.5</v>
      </c>
      <c r="M148" s="136">
        <f t="shared" si="28"/>
        <v>1.5</v>
      </c>
      <c r="N148" s="136">
        <f t="shared" si="28"/>
        <v>1.5</v>
      </c>
      <c r="O148" s="136">
        <f t="shared" si="28"/>
        <v>1.5</v>
      </c>
      <c r="P148" s="136">
        <f t="shared" si="28"/>
        <v>1.5</v>
      </c>
      <c r="Q148" s="136">
        <f t="shared" si="28"/>
        <v>1.5</v>
      </c>
      <c r="R148" s="136">
        <f t="shared" si="25"/>
        <v>1.5</v>
      </c>
      <c r="S148" s="136">
        <f t="shared" si="25"/>
        <v>1.5</v>
      </c>
      <c r="T148" s="136">
        <f t="shared" si="25"/>
        <v>1.5</v>
      </c>
      <c r="U148" s="136">
        <f t="shared" si="25"/>
        <v>1.5</v>
      </c>
      <c r="V148" s="136">
        <f t="shared" si="25"/>
        <v>1.5</v>
      </c>
      <c r="W148" s="136">
        <f t="shared" si="25"/>
        <v>1.5</v>
      </c>
      <c r="X148" s="136">
        <f t="shared" si="29"/>
        <v>1.5</v>
      </c>
      <c r="Y148" s="136">
        <f t="shared" si="29"/>
        <v>1.5</v>
      </c>
      <c r="Z148" s="136">
        <f t="shared" si="29"/>
        <v>1.5</v>
      </c>
      <c r="AA148" s="136">
        <f t="shared" si="29"/>
        <v>1.5</v>
      </c>
      <c r="AB148" s="136">
        <f t="shared" si="29"/>
        <v>1.5</v>
      </c>
      <c r="AC148" s="136">
        <f t="shared" si="29"/>
        <v>1.5</v>
      </c>
      <c r="AD148" s="136">
        <f t="shared" si="29"/>
        <v>1.5</v>
      </c>
      <c r="AE148" s="136">
        <f t="shared" si="29"/>
        <v>1.5</v>
      </c>
      <c r="AF148" s="136">
        <f t="shared" si="29"/>
        <v>1.5</v>
      </c>
      <c r="AG148" s="138">
        <v>1.5</v>
      </c>
      <c r="AH148" s="52"/>
      <c r="AI148" s="53"/>
      <c r="AK148" s="54"/>
    </row>
    <row r="149" spans="1:37" x14ac:dyDescent="0.25">
      <c r="A149" s="124" t="s">
        <v>154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0.998</v>
      </c>
      <c r="AH149" s="52"/>
      <c r="AI149" s="53"/>
      <c r="AK149" s="54"/>
    </row>
    <row r="150" spans="1:37" x14ac:dyDescent="0.25">
      <c r="A150" s="124" t="s">
        <v>155</v>
      </c>
      <c r="B150" s="135">
        <v>1</v>
      </c>
      <c r="C150" s="136">
        <f t="shared" si="28"/>
        <v>1</v>
      </c>
      <c r="D150" s="136">
        <f t="shared" si="28"/>
        <v>1</v>
      </c>
      <c r="E150" s="136">
        <f t="shared" si="28"/>
        <v>1</v>
      </c>
      <c r="F150" s="136">
        <f t="shared" si="28"/>
        <v>1</v>
      </c>
      <c r="G150" s="136">
        <f t="shared" si="28"/>
        <v>1</v>
      </c>
      <c r="H150" s="136">
        <f t="shared" si="28"/>
        <v>1</v>
      </c>
      <c r="I150" s="136">
        <f t="shared" si="28"/>
        <v>1</v>
      </c>
      <c r="J150" s="136">
        <f t="shared" si="28"/>
        <v>1</v>
      </c>
      <c r="K150" s="136">
        <f t="shared" si="28"/>
        <v>1</v>
      </c>
      <c r="L150" s="136">
        <f t="shared" si="28"/>
        <v>1</v>
      </c>
      <c r="M150" s="136">
        <f t="shared" si="28"/>
        <v>1</v>
      </c>
      <c r="N150" s="136">
        <f t="shared" si="28"/>
        <v>1</v>
      </c>
      <c r="O150" s="136">
        <f t="shared" si="28"/>
        <v>1</v>
      </c>
      <c r="P150" s="136">
        <f t="shared" si="28"/>
        <v>1</v>
      </c>
      <c r="Q150" s="136">
        <f t="shared" si="28"/>
        <v>1</v>
      </c>
      <c r="R150" s="136">
        <f t="shared" si="25"/>
        <v>1</v>
      </c>
      <c r="S150" s="136">
        <f t="shared" si="25"/>
        <v>1</v>
      </c>
      <c r="T150" s="136">
        <f t="shared" si="25"/>
        <v>1</v>
      </c>
      <c r="U150" s="136">
        <f t="shared" si="25"/>
        <v>1</v>
      </c>
      <c r="V150" s="136">
        <f t="shared" si="25"/>
        <v>1</v>
      </c>
      <c r="W150" s="136">
        <f t="shared" si="25"/>
        <v>1</v>
      </c>
      <c r="X150" s="136">
        <f t="shared" si="29"/>
        <v>1</v>
      </c>
      <c r="Y150" s="136">
        <f t="shared" si="29"/>
        <v>1</v>
      </c>
      <c r="Z150" s="136">
        <f t="shared" si="29"/>
        <v>1</v>
      </c>
      <c r="AA150" s="136">
        <f t="shared" si="29"/>
        <v>1</v>
      </c>
      <c r="AB150" s="136">
        <f t="shared" si="29"/>
        <v>1</v>
      </c>
      <c r="AC150" s="136">
        <f t="shared" si="29"/>
        <v>1</v>
      </c>
      <c r="AD150" s="136">
        <f t="shared" si="29"/>
        <v>1</v>
      </c>
      <c r="AE150" s="136">
        <f t="shared" si="29"/>
        <v>1</v>
      </c>
      <c r="AF150" s="136">
        <f t="shared" si="29"/>
        <v>1</v>
      </c>
      <c r="AG150" s="138">
        <v>0.997</v>
      </c>
      <c r="AH150" s="52"/>
      <c r="AI150" s="53"/>
      <c r="AK150" s="54"/>
    </row>
    <row r="151" spans="1:37" x14ac:dyDescent="0.25">
      <c r="A151" s="124" t="s">
        <v>156</v>
      </c>
      <c r="B151" s="135">
        <v>0.42</v>
      </c>
      <c r="C151" s="136">
        <f t="shared" si="28"/>
        <v>0.42</v>
      </c>
      <c r="D151" s="136">
        <f t="shared" si="28"/>
        <v>0.42</v>
      </c>
      <c r="E151" s="136">
        <f t="shared" si="28"/>
        <v>0.42</v>
      </c>
      <c r="F151" s="136">
        <f t="shared" si="28"/>
        <v>0.42</v>
      </c>
      <c r="G151" s="136">
        <f t="shared" si="28"/>
        <v>0.42</v>
      </c>
      <c r="H151" s="136">
        <f t="shared" si="28"/>
        <v>0.42</v>
      </c>
      <c r="I151" s="136">
        <f t="shared" si="28"/>
        <v>0.42</v>
      </c>
      <c r="J151" s="136">
        <f t="shared" si="28"/>
        <v>0.42</v>
      </c>
      <c r="K151" s="136">
        <f t="shared" si="28"/>
        <v>0.42</v>
      </c>
      <c r="L151" s="136">
        <f t="shared" si="28"/>
        <v>0.42</v>
      </c>
      <c r="M151" s="136">
        <f t="shared" si="28"/>
        <v>0.42</v>
      </c>
      <c r="N151" s="136">
        <f t="shared" si="28"/>
        <v>0.42</v>
      </c>
      <c r="O151" s="136">
        <f t="shared" si="28"/>
        <v>0.42</v>
      </c>
      <c r="P151" s="136">
        <f t="shared" si="28"/>
        <v>0.42</v>
      </c>
      <c r="Q151" s="136">
        <f t="shared" si="28"/>
        <v>0.42</v>
      </c>
      <c r="R151" s="136">
        <f t="shared" si="25"/>
        <v>0.42</v>
      </c>
      <c r="S151" s="136">
        <f t="shared" si="25"/>
        <v>0.42</v>
      </c>
      <c r="T151" s="136">
        <f t="shared" si="25"/>
        <v>0.42</v>
      </c>
      <c r="U151" s="136">
        <f t="shared" si="25"/>
        <v>0.42</v>
      </c>
      <c r="V151" s="136">
        <f t="shared" si="25"/>
        <v>0.42</v>
      </c>
      <c r="W151" s="136">
        <f t="shared" si="25"/>
        <v>0.42</v>
      </c>
      <c r="X151" s="136">
        <f t="shared" si="29"/>
        <v>0.42</v>
      </c>
      <c r="Y151" s="136">
        <f t="shared" si="29"/>
        <v>0.42</v>
      </c>
      <c r="Z151" s="136">
        <f t="shared" si="29"/>
        <v>0.42</v>
      </c>
      <c r="AA151" s="136">
        <f t="shared" si="29"/>
        <v>0.42</v>
      </c>
      <c r="AB151" s="136">
        <f t="shared" si="29"/>
        <v>0.42</v>
      </c>
      <c r="AC151" s="136">
        <f t="shared" si="29"/>
        <v>0.42</v>
      </c>
      <c r="AD151" s="136">
        <f t="shared" si="29"/>
        <v>0.42</v>
      </c>
      <c r="AE151" s="136">
        <f t="shared" si="29"/>
        <v>0.42</v>
      </c>
      <c r="AF151" s="136">
        <f t="shared" si="29"/>
        <v>0.42</v>
      </c>
      <c r="AG151" s="138">
        <v>0.996</v>
      </c>
      <c r="AH151" s="52"/>
      <c r="AI151" s="53"/>
      <c r="AK151" s="54"/>
    </row>
    <row r="152" spans="1:37" x14ac:dyDescent="0.25">
      <c r="A152" s="124" t="s">
        <v>157</v>
      </c>
      <c r="B152" s="135">
        <v>0.46</v>
      </c>
      <c r="C152" s="136">
        <f t="shared" si="28"/>
        <v>0.46</v>
      </c>
      <c r="D152" s="136">
        <f t="shared" si="28"/>
        <v>0.46</v>
      </c>
      <c r="E152" s="136">
        <f t="shared" si="28"/>
        <v>0.46</v>
      </c>
      <c r="F152" s="136">
        <f t="shared" si="28"/>
        <v>0.46</v>
      </c>
      <c r="G152" s="136">
        <f t="shared" si="28"/>
        <v>0.46</v>
      </c>
      <c r="H152" s="136">
        <f t="shared" si="28"/>
        <v>0.46</v>
      </c>
      <c r="I152" s="136">
        <f t="shared" si="28"/>
        <v>0.46</v>
      </c>
      <c r="J152" s="136">
        <f t="shared" si="28"/>
        <v>0.46</v>
      </c>
      <c r="K152" s="136">
        <f t="shared" si="28"/>
        <v>0.46</v>
      </c>
      <c r="L152" s="136">
        <f t="shared" si="28"/>
        <v>0.46</v>
      </c>
      <c r="M152" s="136">
        <f t="shared" si="28"/>
        <v>0.46</v>
      </c>
      <c r="N152" s="136">
        <f t="shared" si="28"/>
        <v>0.46</v>
      </c>
      <c r="O152" s="136">
        <f t="shared" si="28"/>
        <v>0.46</v>
      </c>
      <c r="P152" s="136">
        <f t="shared" si="28"/>
        <v>0.46</v>
      </c>
      <c r="Q152" s="136">
        <f t="shared" si="28"/>
        <v>0.46</v>
      </c>
      <c r="R152" s="136">
        <f t="shared" si="25"/>
        <v>0.46</v>
      </c>
      <c r="S152" s="136">
        <f t="shared" si="25"/>
        <v>0.46</v>
      </c>
      <c r="T152" s="136">
        <f t="shared" si="25"/>
        <v>0.46</v>
      </c>
      <c r="U152" s="136">
        <f t="shared" si="25"/>
        <v>0.46</v>
      </c>
      <c r="V152" s="136">
        <f t="shared" si="25"/>
        <v>0.46</v>
      </c>
      <c r="W152" s="136">
        <f t="shared" si="25"/>
        <v>0.46</v>
      </c>
      <c r="X152" s="136">
        <f t="shared" si="29"/>
        <v>0.46</v>
      </c>
      <c r="Y152" s="136">
        <f t="shared" si="29"/>
        <v>0.46</v>
      </c>
      <c r="Z152" s="136">
        <f t="shared" si="29"/>
        <v>0.46</v>
      </c>
      <c r="AA152" s="136">
        <f t="shared" si="29"/>
        <v>0.46</v>
      </c>
      <c r="AB152" s="136">
        <f t="shared" si="29"/>
        <v>0.46</v>
      </c>
      <c r="AC152" s="136">
        <f t="shared" si="29"/>
        <v>0.46</v>
      </c>
      <c r="AD152" s="136">
        <f t="shared" si="29"/>
        <v>0.46</v>
      </c>
      <c r="AE152" s="136">
        <f t="shared" si="29"/>
        <v>0.46</v>
      </c>
      <c r="AF152" s="136">
        <f t="shared" si="29"/>
        <v>0.46</v>
      </c>
      <c r="AG152" s="138">
        <v>0.996</v>
      </c>
      <c r="AH152" s="52"/>
      <c r="AI152" s="53"/>
      <c r="AK152" s="54"/>
    </row>
    <row r="153" spans="1:37" x14ac:dyDescent="0.25">
      <c r="A153" s="124" t="s">
        <v>158</v>
      </c>
      <c r="B153" s="135">
        <v>0.85</v>
      </c>
      <c r="C153" s="136">
        <f t="shared" si="28"/>
        <v>0.85</v>
      </c>
      <c r="D153" s="136">
        <f t="shared" si="28"/>
        <v>0.85</v>
      </c>
      <c r="E153" s="136">
        <f t="shared" si="28"/>
        <v>0.85</v>
      </c>
      <c r="F153" s="136">
        <f t="shared" si="28"/>
        <v>0.85</v>
      </c>
      <c r="G153" s="136">
        <f t="shared" si="28"/>
        <v>0.85</v>
      </c>
      <c r="H153" s="136">
        <f t="shared" si="28"/>
        <v>0.85</v>
      </c>
      <c r="I153" s="136">
        <f t="shared" si="28"/>
        <v>0.85</v>
      </c>
      <c r="J153" s="136">
        <f t="shared" si="28"/>
        <v>0.85</v>
      </c>
      <c r="K153" s="136">
        <f t="shared" si="28"/>
        <v>0.85</v>
      </c>
      <c r="L153" s="136">
        <f t="shared" si="28"/>
        <v>0.85</v>
      </c>
      <c r="M153" s="136">
        <f t="shared" si="28"/>
        <v>0.85</v>
      </c>
      <c r="N153" s="136">
        <f t="shared" si="28"/>
        <v>0.85</v>
      </c>
      <c r="O153" s="136">
        <f t="shared" si="28"/>
        <v>0.85</v>
      </c>
      <c r="P153" s="136">
        <f t="shared" si="28"/>
        <v>0.85</v>
      </c>
      <c r="Q153" s="136">
        <f t="shared" si="28"/>
        <v>0.85</v>
      </c>
      <c r="R153" s="136">
        <f t="shared" si="25"/>
        <v>0.85</v>
      </c>
      <c r="S153" s="136">
        <f t="shared" si="25"/>
        <v>0.85</v>
      </c>
      <c r="T153" s="136">
        <f t="shared" si="25"/>
        <v>0.85</v>
      </c>
      <c r="U153" s="136">
        <f t="shared" si="25"/>
        <v>0.85</v>
      </c>
      <c r="V153" s="136">
        <f t="shared" si="25"/>
        <v>0.85</v>
      </c>
      <c r="W153" s="136">
        <f t="shared" si="25"/>
        <v>0.85</v>
      </c>
      <c r="X153" s="136">
        <f t="shared" si="29"/>
        <v>0.85</v>
      </c>
      <c r="Y153" s="136">
        <f t="shared" si="29"/>
        <v>0.85</v>
      </c>
      <c r="Z153" s="136">
        <f t="shared" si="29"/>
        <v>0.85</v>
      </c>
      <c r="AA153" s="136">
        <f t="shared" si="29"/>
        <v>0.85</v>
      </c>
      <c r="AB153" s="136">
        <f t="shared" si="29"/>
        <v>0.85</v>
      </c>
      <c r="AC153" s="136">
        <f t="shared" si="29"/>
        <v>0.85</v>
      </c>
      <c r="AD153" s="136">
        <f t="shared" si="29"/>
        <v>0.85</v>
      </c>
      <c r="AE153" s="136">
        <f t="shared" si="29"/>
        <v>0.85</v>
      </c>
      <c r="AF153" s="136">
        <f t="shared" si="29"/>
        <v>0.85</v>
      </c>
      <c r="AG153" s="138">
        <v>0.996</v>
      </c>
      <c r="AH153" s="52"/>
      <c r="AI153" s="53"/>
      <c r="AK153" s="54"/>
    </row>
    <row r="154" spans="1:37" x14ac:dyDescent="0.25">
      <c r="A154" s="124" t="s">
        <v>159</v>
      </c>
      <c r="B154" s="135">
        <v>0.9</v>
      </c>
      <c r="C154" s="136">
        <f t="shared" si="28"/>
        <v>0.9</v>
      </c>
      <c r="D154" s="136">
        <f t="shared" si="28"/>
        <v>0.9</v>
      </c>
      <c r="E154" s="136">
        <f t="shared" si="28"/>
        <v>0.9</v>
      </c>
      <c r="F154" s="136">
        <f t="shared" si="28"/>
        <v>0.9</v>
      </c>
      <c r="G154" s="136">
        <f t="shared" si="28"/>
        <v>0.9</v>
      </c>
      <c r="H154" s="136">
        <f t="shared" si="28"/>
        <v>0.9</v>
      </c>
      <c r="I154" s="136">
        <f t="shared" si="28"/>
        <v>0.9</v>
      </c>
      <c r="J154" s="136">
        <f t="shared" si="28"/>
        <v>0.9</v>
      </c>
      <c r="K154" s="136">
        <f t="shared" si="28"/>
        <v>0.9</v>
      </c>
      <c r="L154" s="136">
        <f t="shared" si="28"/>
        <v>0.9</v>
      </c>
      <c r="M154" s="136">
        <f t="shared" si="28"/>
        <v>0.9</v>
      </c>
      <c r="N154" s="136">
        <f t="shared" si="28"/>
        <v>0.9</v>
      </c>
      <c r="O154" s="136">
        <f t="shared" si="28"/>
        <v>0.9</v>
      </c>
      <c r="P154" s="136">
        <f t="shared" si="28"/>
        <v>0.9</v>
      </c>
      <c r="Q154" s="136">
        <f t="shared" si="28"/>
        <v>0.9</v>
      </c>
      <c r="R154" s="136">
        <f t="shared" si="25"/>
        <v>0.9</v>
      </c>
      <c r="S154" s="136">
        <f t="shared" si="25"/>
        <v>0.9</v>
      </c>
      <c r="T154" s="136">
        <f t="shared" si="25"/>
        <v>0.9</v>
      </c>
      <c r="U154" s="136">
        <f t="shared" si="25"/>
        <v>0.9</v>
      </c>
      <c r="V154" s="136">
        <f t="shared" si="25"/>
        <v>0.9</v>
      </c>
      <c r="W154" s="136">
        <f t="shared" si="25"/>
        <v>0.9</v>
      </c>
      <c r="X154" s="136">
        <f t="shared" si="29"/>
        <v>0.9</v>
      </c>
      <c r="Y154" s="136">
        <f t="shared" si="29"/>
        <v>0.9</v>
      </c>
      <c r="Z154" s="136">
        <f t="shared" si="29"/>
        <v>0.9</v>
      </c>
      <c r="AA154" s="136">
        <f t="shared" si="29"/>
        <v>0.9</v>
      </c>
      <c r="AB154" s="136">
        <f t="shared" si="29"/>
        <v>0.9</v>
      </c>
      <c r="AC154" s="136">
        <f t="shared" si="29"/>
        <v>0.9</v>
      </c>
      <c r="AD154" s="136">
        <f t="shared" si="29"/>
        <v>0.9</v>
      </c>
      <c r="AE154" s="136">
        <f t="shared" si="29"/>
        <v>0.9</v>
      </c>
      <c r="AF154" s="136">
        <f t="shared" si="29"/>
        <v>0.9</v>
      </c>
      <c r="AG154" s="138">
        <v>0.995</v>
      </c>
      <c r="AH154" s="52"/>
      <c r="AI154" s="53"/>
      <c r="AK154" s="54"/>
    </row>
    <row r="155" spans="1:37" x14ac:dyDescent="0.25">
      <c r="A155" s="124" t="s">
        <v>160</v>
      </c>
      <c r="B155" s="135">
        <v>0.44</v>
      </c>
      <c r="C155" s="136">
        <f t="shared" si="28"/>
        <v>0.44</v>
      </c>
      <c r="D155" s="136">
        <f t="shared" si="28"/>
        <v>0.44</v>
      </c>
      <c r="E155" s="136">
        <f t="shared" si="28"/>
        <v>0.44</v>
      </c>
      <c r="F155" s="136">
        <f t="shared" si="28"/>
        <v>0.44</v>
      </c>
      <c r="G155" s="136">
        <f t="shared" si="28"/>
        <v>0.44</v>
      </c>
      <c r="H155" s="136">
        <f t="shared" si="28"/>
        <v>0.44</v>
      </c>
      <c r="I155" s="136">
        <f t="shared" si="28"/>
        <v>0.44</v>
      </c>
      <c r="J155" s="136">
        <f t="shared" si="28"/>
        <v>0.44</v>
      </c>
      <c r="K155" s="136">
        <f t="shared" si="28"/>
        <v>0.44</v>
      </c>
      <c r="L155" s="136">
        <f t="shared" si="28"/>
        <v>0.44</v>
      </c>
      <c r="M155" s="136">
        <f t="shared" si="28"/>
        <v>0.44</v>
      </c>
      <c r="N155" s="136">
        <f t="shared" si="28"/>
        <v>0.44</v>
      </c>
      <c r="O155" s="136">
        <f t="shared" si="28"/>
        <v>0.44</v>
      </c>
      <c r="P155" s="136">
        <f t="shared" si="28"/>
        <v>0.44</v>
      </c>
      <c r="Q155" s="136">
        <f t="shared" si="28"/>
        <v>0.44</v>
      </c>
      <c r="R155" s="136">
        <f t="shared" si="25"/>
        <v>0.44</v>
      </c>
      <c r="S155" s="136">
        <f t="shared" si="25"/>
        <v>0.44</v>
      </c>
      <c r="T155" s="136">
        <f t="shared" si="25"/>
        <v>0.44</v>
      </c>
      <c r="U155" s="136">
        <f t="shared" si="25"/>
        <v>0.44</v>
      </c>
      <c r="V155" s="136">
        <f t="shared" si="25"/>
        <v>0.44</v>
      </c>
      <c r="W155" s="136">
        <f t="shared" si="25"/>
        <v>0.44</v>
      </c>
      <c r="X155" s="136">
        <f t="shared" si="29"/>
        <v>0.44</v>
      </c>
      <c r="Y155" s="136">
        <f t="shared" si="29"/>
        <v>0.44</v>
      </c>
      <c r="Z155" s="136">
        <f t="shared" si="29"/>
        <v>0.44</v>
      </c>
      <c r="AA155" s="136">
        <f t="shared" si="29"/>
        <v>0.44</v>
      </c>
      <c r="AB155" s="136">
        <f t="shared" si="29"/>
        <v>0.44</v>
      </c>
      <c r="AC155" s="136">
        <f t="shared" si="29"/>
        <v>0.44</v>
      </c>
      <c r="AD155" s="136">
        <f t="shared" si="29"/>
        <v>0.44</v>
      </c>
      <c r="AE155" s="136">
        <f t="shared" si="29"/>
        <v>0.44</v>
      </c>
      <c r="AF155" s="136">
        <f t="shared" si="29"/>
        <v>0.44</v>
      </c>
      <c r="AG155" s="138">
        <v>0.99299999999999999</v>
      </c>
      <c r="AH155" s="52"/>
      <c r="AI155" s="53"/>
      <c r="AK155" s="54"/>
    </row>
    <row r="156" spans="1:37" x14ac:dyDescent="0.25">
      <c r="A156" s="124" t="s">
        <v>161</v>
      </c>
      <c r="B156" s="135">
        <v>0.9</v>
      </c>
      <c r="C156" s="136">
        <f t="shared" ref="C156:Q171" si="30">B156</f>
        <v>0.9</v>
      </c>
      <c r="D156" s="136">
        <f t="shared" si="30"/>
        <v>0.9</v>
      </c>
      <c r="E156" s="136">
        <f t="shared" si="30"/>
        <v>0.9</v>
      </c>
      <c r="F156" s="136">
        <f t="shared" si="30"/>
        <v>0.9</v>
      </c>
      <c r="G156" s="136">
        <f t="shared" si="30"/>
        <v>0.9</v>
      </c>
      <c r="H156" s="136">
        <f t="shared" si="30"/>
        <v>0.9</v>
      </c>
      <c r="I156" s="136">
        <f t="shared" si="30"/>
        <v>0.9</v>
      </c>
      <c r="J156" s="136">
        <f t="shared" si="30"/>
        <v>0.9</v>
      </c>
      <c r="K156" s="136">
        <f t="shared" si="30"/>
        <v>0.9</v>
      </c>
      <c r="L156" s="136">
        <f t="shared" si="30"/>
        <v>0.9</v>
      </c>
      <c r="M156" s="136">
        <f t="shared" si="30"/>
        <v>0.9</v>
      </c>
      <c r="N156" s="136">
        <f t="shared" si="30"/>
        <v>0.9</v>
      </c>
      <c r="O156" s="136">
        <f t="shared" si="30"/>
        <v>0.9</v>
      </c>
      <c r="P156" s="136">
        <f t="shared" si="30"/>
        <v>0.9</v>
      </c>
      <c r="Q156" s="136">
        <f t="shared" si="30"/>
        <v>0.9</v>
      </c>
      <c r="R156" s="136">
        <f t="shared" si="25"/>
        <v>0.9</v>
      </c>
      <c r="S156" s="136">
        <f t="shared" si="25"/>
        <v>0.9</v>
      </c>
      <c r="T156" s="136">
        <f t="shared" si="25"/>
        <v>0.9</v>
      </c>
      <c r="U156" s="136">
        <f t="shared" si="25"/>
        <v>0.9</v>
      </c>
      <c r="V156" s="136">
        <f t="shared" si="25"/>
        <v>0.9</v>
      </c>
      <c r="W156" s="136">
        <f t="shared" si="25"/>
        <v>0.9</v>
      </c>
      <c r="X156" s="136">
        <f t="shared" si="29"/>
        <v>0.9</v>
      </c>
      <c r="Y156" s="136">
        <f t="shared" si="29"/>
        <v>0.9</v>
      </c>
      <c r="Z156" s="136">
        <f t="shared" si="29"/>
        <v>0.9</v>
      </c>
      <c r="AA156" s="136">
        <f t="shared" si="29"/>
        <v>0.9</v>
      </c>
      <c r="AB156" s="136">
        <f t="shared" si="29"/>
        <v>0.9</v>
      </c>
      <c r="AC156" s="136">
        <f t="shared" si="29"/>
        <v>0.9</v>
      </c>
      <c r="AD156" s="136">
        <f t="shared" si="29"/>
        <v>0.9</v>
      </c>
      <c r="AE156" s="136">
        <f t="shared" si="29"/>
        <v>0.9</v>
      </c>
      <c r="AF156" s="136">
        <f t="shared" si="29"/>
        <v>0.9</v>
      </c>
      <c r="AG156" s="138">
        <v>0.99099999999999999</v>
      </c>
      <c r="AH156" s="52"/>
      <c r="AI156" s="53"/>
      <c r="AK156" s="54"/>
    </row>
    <row r="157" spans="1:37" x14ac:dyDescent="0.25">
      <c r="A157" s="124" t="s">
        <v>162</v>
      </c>
      <c r="B157" s="135">
        <v>2.1</v>
      </c>
      <c r="C157" s="136">
        <f t="shared" si="30"/>
        <v>2.1</v>
      </c>
      <c r="D157" s="136">
        <f t="shared" si="30"/>
        <v>2.1</v>
      </c>
      <c r="E157" s="136">
        <f t="shared" si="30"/>
        <v>2.1</v>
      </c>
      <c r="F157" s="136">
        <f t="shared" si="30"/>
        <v>2.1</v>
      </c>
      <c r="G157" s="136">
        <f t="shared" si="30"/>
        <v>2.1</v>
      </c>
      <c r="H157" s="136">
        <f t="shared" si="30"/>
        <v>2.1</v>
      </c>
      <c r="I157" s="136">
        <f t="shared" si="30"/>
        <v>2.1</v>
      </c>
      <c r="J157" s="136">
        <f t="shared" si="30"/>
        <v>2.1</v>
      </c>
      <c r="K157" s="136">
        <f t="shared" si="30"/>
        <v>2.1</v>
      </c>
      <c r="L157" s="136">
        <f t="shared" si="30"/>
        <v>2.1</v>
      </c>
      <c r="M157" s="136">
        <f t="shared" si="30"/>
        <v>2.1</v>
      </c>
      <c r="N157" s="136">
        <f t="shared" si="30"/>
        <v>2.1</v>
      </c>
      <c r="O157" s="136">
        <f t="shared" si="30"/>
        <v>2.1</v>
      </c>
      <c r="P157" s="136">
        <f t="shared" si="30"/>
        <v>2.1</v>
      </c>
      <c r="Q157" s="136">
        <f t="shared" si="30"/>
        <v>2.1</v>
      </c>
      <c r="R157" s="136">
        <f t="shared" si="25"/>
        <v>2.1</v>
      </c>
      <c r="S157" s="136">
        <f t="shared" si="25"/>
        <v>2.1</v>
      </c>
      <c r="T157" s="136">
        <f t="shared" si="25"/>
        <v>2.1</v>
      </c>
      <c r="U157" s="136">
        <f t="shared" si="25"/>
        <v>2.1</v>
      </c>
      <c r="V157" s="136">
        <f t="shared" si="25"/>
        <v>2.1</v>
      </c>
      <c r="W157" s="136">
        <f t="shared" si="25"/>
        <v>2.1</v>
      </c>
      <c r="X157" s="136">
        <f t="shared" si="29"/>
        <v>2.1</v>
      </c>
      <c r="Y157" s="136">
        <f t="shared" si="29"/>
        <v>2.1</v>
      </c>
      <c r="Z157" s="136">
        <f t="shared" si="29"/>
        <v>2.1</v>
      </c>
      <c r="AA157" s="136">
        <f t="shared" si="29"/>
        <v>2.1</v>
      </c>
      <c r="AB157" s="136">
        <f t="shared" si="29"/>
        <v>2.1</v>
      </c>
      <c r="AC157" s="136">
        <f t="shared" si="29"/>
        <v>2.1</v>
      </c>
      <c r="AD157" s="136">
        <f t="shared" si="29"/>
        <v>2.1</v>
      </c>
      <c r="AE157" s="136">
        <f t="shared" si="29"/>
        <v>2.1</v>
      </c>
      <c r="AF157" s="136">
        <f t="shared" si="29"/>
        <v>2.1</v>
      </c>
      <c r="AG157" s="138">
        <v>0.99</v>
      </c>
      <c r="AH157" s="52"/>
      <c r="AI157" s="53"/>
      <c r="AK157" s="54"/>
    </row>
    <row r="158" spans="1:37" x14ac:dyDescent="0.25">
      <c r="A158" s="124" t="s">
        <v>163</v>
      </c>
      <c r="B158" s="135">
        <v>0.9</v>
      </c>
      <c r="C158" s="136">
        <f t="shared" si="30"/>
        <v>0.9</v>
      </c>
      <c r="D158" s="136">
        <f t="shared" si="30"/>
        <v>0.9</v>
      </c>
      <c r="E158" s="136">
        <f t="shared" si="30"/>
        <v>0.9</v>
      </c>
      <c r="F158" s="136">
        <f t="shared" si="30"/>
        <v>0.9</v>
      </c>
      <c r="G158" s="136">
        <f t="shared" si="30"/>
        <v>0.9</v>
      </c>
      <c r="H158" s="136">
        <f t="shared" si="30"/>
        <v>0.9</v>
      </c>
      <c r="I158" s="136">
        <f t="shared" si="30"/>
        <v>0.9</v>
      </c>
      <c r="J158" s="136">
        <f t="shared" si="30"/>
        <v>0.9</v>
      </c>
      <c r="K158" s="136">
        <f t="shared" si="30"/>
        <v>0.9</v>
      </c>
      <c r="L158" s="136">
        <f t="shared" si="30"/>
        <v>0.9</v>
      </c>
      <c r="M158" s="136">
        <f t="shared" si="30"/>
        <v>0.9</v>
      </c>
      <c r="N158" s="136">
        <f t="shared" si="30"/>
        <v>0.9</v>
      </c>
      <c r="O158" s="136">
        <f t="shared" si="30"/>
        <v>0.9</v>
      </c>
      <c r="P158" s="136">
        <f t="shared" si="30"/>
        <v>0.9</v>
      </c>
      <c r="Q158" s="136">
        <f t="shared" si="30"/>
        <v>0.9</v>
      </c>
      <c r="R158" s="136">
        <f t="shared" si="25"/>
        <v>0.9</v>
      </c>
      <c r="S158" s="136">
        <f t="shared" si="25"/>
        <v>0.9</v>
      </c>
      <c r="T158" s="136">
        <f t="shared" si="25"/>
        <v>0.9</v>
      </c>
      <c r="U158" s="136">
        <f t="shared" si="25"/>
        <v>0.9</v>
      </c>
      <c r="V158" s="136">
        <f t="shared" si="25"/>
        <v>0.9</v>
      </c>
      <c r="W158" s="136">
        <f t="shared" si="25"/>
        <v>0.9</v>
      </c>
      <c r="X158" s="136">
        <f t="shared" si="29"/>
        <v>0.9</v>
      </c>
      <c r="Y158" s="136">
        <f t="shared" si="29"/>
        <v>0.9</v>
      </c>
      <c r="Z158" s="136">
        <f t="shared" si="29"/>
        <v>0.9</v>
      </c>
      <c r="AA158" s="136">
        <f t="shared" si="29"/>
        <v>0.9</v>
      </c>
      <c r="AB158" s="136">
        <f t="shared" si="29"/>
        <v>0.9</v>
      </c>
      <c r="AC158" s="136">
        <f t="shared" si="29"/>
        <v>0.9</v>
      </c>
      <c r="AD158" s="136">
        <f t="shared" si="29"/>
        <v>0.9</v>
      </c>
      <c r="AE158" s="136">
        <f t="shared" si="29"/>
        <v>0.9</v>
      </c>
      <c r="AF158" s="136">
        <f t="shared" si="29"/>
        <v>0.9</v>
      </c>
      <c r="AG158" s="138">
        <v>0.97899999999999998</v>
      </c>
      <c r="AH158" s="52"/>
      <c r="AI158" s="53"/>
      <c r="AK158" s="54"/>
    </row>
    <row r="159" spans="1:37" x14ac:dyDescent="0.25">
      <c r="A159" s="124" t="s">
        <v>164</v>
      </c>
      <c r="B159" s="135">
        <v>0.57999999999999996</v>
      </c>
      <c r="C159" s="136">
        <f t="shared" si="30"/>
        <v>0.57999999999999996</v>
      </c>
      <c r="D159" s="136">
        <f t="shared" si="30"/>
        <v>0.57999999999999996</v>
      </c>
      <c r="E159" s="136">
        <f t="shared" si="30"/>
        <v>0.57999999999999996</v>
      </c>
      <c r="F159" s="136">
        <f t="shared" si="30"/>
        <v>0.57999999999999996</v>
      </c>
      <c r="G159" s="136">
        <f t="shared" si="30"/>
        <v>0.57999999999999996</v>
      </c>
      <c r="H159" s="136">
        <f t="shared" si="30"/>
        <v>0.57999999999999996</v>
      </c>
      <c r="I159" s="136">
        <f t="shared" si="30"/>
        <v>0.57999999999999996</v>
      </c>
      <c r="J159" s="136">
        <f t="shared" si="30"/>
        <v>0.57999999999999996</v>
      </c>
      <c r="K159" s="136">
        <f t="shared" si="30"/>
        <v>0.57999999999999996</v>
      </c>
      <c r="L159" s="136">
        <f t="shared" si="30"/>
        <v>0.57999999999999996</v>
      </c>
      <c r="M159" s="136">
        <f t="shared" si="30"/>
        <v>0.57999999999999996</v>
      </c>
      <c r="N159" s="136">
        <f t="shared" si="30"/>
        <v>0.57999999999999996</v>
      </c>
      <c r="O159" s="136">
        <f t="shared" si="30"/>
        <v>0.57999999999999996</v>
      </c>
      <c r="P159" s="136">
        <f t="shared" si="30"/>
        <v>0.57999999999999996</v>
      </c>
      <c r="Q159" s="136">
        <f t="shared" si="30"/>
        <v>0.57999999999999996</v>
      </c>
      <c r="R159" s="136">
        <f t="shared" si="25"/>
        <v>0.57999999999999996</v>
      </c>
      <c r="S159" s="136">
        <f t="shared" si="25"/>
        <v>0.57999999999999996</v>
      </c>
      <c r="T159" s="136">
        <f t="shared" si="25"/>
        <v>0.57999999999999996</v>
      </c>
      <c r="U159" s="136">
        <f t="shared" si="25"/>
        <v>0.57999999999999996</v>
      </c>
      <c r="V159" s="136">
        <f t="shared" si="25"/>
        <v>0.57999999999999996</v>
      </c>
      <c r="W159" s="136">
        <f t="shared" si="25"/>
        <v>0.57999999999999996</v>
      </c>
      <c r="X159" s="136">
        <f t="shared" si="29"/>
        <v>0.57999999999999996</v>
      </c>
      <c r="Y159" s="136">
        <f t="shared" si="29"/>
        <v>0.57999999999999996</v>
      </c>
      <c r="Z159" s="136">
        <f t="shared" si="29"/>
        <v>0.57999999999999996</v>
      </c>
      <c r="AA159" s="136">
        <f t="shared" si="29"/>
        <v>0.57999999999999996</v>
      </c>
      <c r="AB159" s="136">
        <f t="shared" si="29"/>
        <v>0.57999999999999996</v>
      </c>
      <c r="AC159" s="136">
        <f t="shared" si="29"/>
        <v>0.57999999999999996</v>
      </c>
      <c r="AD159" s="136">
        <f t="shared" si="29"/>
        <v>0.57999999999999996</v>
      </c>
      <c r="AE159" s="136">
        <f t="shared" si="29"/>
        <v>0.57999999999999996</v>
      </c>
      <c r="AF159" s="136">
        <f t="shared" si="29"/>
        <v>0.57999999999999996</v>
      </c>
      <c r="AG159" s="138">
        <v>0.96</v>
      </c>
      <c r="AH159" s="52"/>
      <c r="AI159" s="53"/>
      <c r="AK159" s="54"/>
    </row>
    <row r="160" spans="1:37" x14ac:dyDescent="0.25">
      <c r="A160" s="124" t="s">
        <v>165</v>
      </c>
      <c r="B160" s="135">
        <v>0.8</v>
      </c>
      <c r="C160" s="136">
        <f t="shared" si="30"/>
        <v>0.8</v>
      </c>
      <c r="D160" s="136">
        <f t="shared" si="30"/>
        <v>0.8</v>
      </c>
      <c r="E160" s="136">
        <f t="shared" si="30"/>
        <v>0.8</v>
      </c>
      <c r="F160" s="136">
        <f t="shared" si="30"/>
        <v>0.8</v>
      </c>
      <c r="G160" s="136">
        <f t="shared" si="30"/>
        <v>0.8</v>
      </c>
      <c r="H160" s="136">
        <f t="shared" si="30"/>
        <v>0.8</v>
      </c>
      <c r="I160" s="136">
        <f t="shared" si="30"/>
        <v>0.8</v>
      </c>
      <c r="J160" s="136">
        <f t="shared" si="30"/>
        <v>0.8</v>
      </c>
      <c r="K160" s="136">
        <f t="shared" si="30"/>
        <v>0.8</v>
      </c>
      <c r="L160" s="136">
        <f t="shared" si="30"/>
        <v>0.8</v>
      </c>
      <c r="M160" s="136">
        <f t="shared" si="30"/>
        <v>0.8</v>
      </c>
      <c r="N160" s="136">
        <f t="shared" si="30"/>
        <v>0.8</v>
      </c>
      <c r="O160" s="136">
        <f t="shared" si="30"/>
        <v>0.8</v>
      </c>
      <c r="P160" s="136">
        <f t="shared" si="30"/>
        <v>0.8</v>
      </c>
      <c r="Q160" s="136">
        <f t="shared" si="30"/>
        <v>0.8</v>
      </c>
      <c r="R160" s="136">
        <f t="shared" si="25"/>
        <v>0.8</v>
      </c>
      <c r="S160" s="136">
        <f t="shared" si="25"/>
        <v>0.8</v>
      </c>
      <c r="T160" s="136">
        <f t="shared" si="25"/>
        <v>0.8</v>
      </c>
      <c r="U160" s="136">
        <f t="shared" si="25"/>
        <v>0.8</v>
      </c>
      <c r="V160" s="136">
        <f t="shared" si="25"/>
        <v>0.8</v>
      </c>
      <c r="W160" s="136">
        <f t="shared" si="25"/>
        <v>0.8</v>
      </c>
      <c r="X160" s="136">
        <f t="shared" si="29"/>
        <v>0.8</v>
      </c>
      <c r="Y160" s="136">
        <f t="shared" si="29"/>
        <v>0.8</v>
      </c>
      <c r="Z160" s="136">
        <f t="shared" si="29"/>
        <v>0.8</v>
      </c>
      <c r="AA160" s="136">
        <f t="shared" si="29"/>
        <v>0.8</v>
      </c>
      <c r="AB160" s="136">
        <f t="shared" si="29"/>
        <v>0.8</v>
      </c>
      <c r="AC160" s="136">
        <f t="shared" si="29"/>
        <v>0.8</v>
      </c>
      <c r="AD160" s="136">
        <f t="shared" si="29"/>
        <v>0.8</v>
      </c>
      <c r="AE160" s="136">
        <f t="shared" si="29"/>
        <v>0.8</v>
      </c>
      <c r="AF160" s="136">
        <f t="shared" si="29"/>
        <v>0.8</v>
      </c>
      <c r="AG160" s="138">
        <v>0.75</v>
      </c>
      <c r="AH160" s="52"/>
      <c r="AI160" s="53"/>
      <c r="AK160" s="54"/>
    </row>
    <row r="161" spans="1:37" x14ac:dyDescent="0.25">
      <c r="A161" s="124" t="s">
        <v>166</v>
      </c>
      <c r="B161" s="135">
        <v>0</v>
      </c>
      <c r="C161" s="136">
        <f t="shared" si="30"/>
        <v>0</v>
      </c>
      <c r="D161" s="136">
        <f t="shared" si="30"/>
        <v>0</v>
      </c>
      <c r="E161" s="136">
        <f t="shared" si="30"/>
        <v>0</v>
      </c>
      <c r="F161" s="136">
        <f t="shared" si="30"/>
        <v>0</v>
      </c>
      <c r="G161" s="136">
        <f t="shared" si="30"/>
        <v>0</v>
      </c>
      <c r="H161" s="136">
        <f t="shared" si="30"/>
        <v>0</v>
      </c>
      <c r="I161" s="136">
        <f t="shared" si="30"/>
        <v>0</v>
      </c>
      <c r="J161" s="136">
        <f t="shared" si="30"/>
        <v>0</v>
      </c>
      <c r="K161" s="136">
        <f t="shared" si="30"/>
        <v>0</v>
      </c>
      <c r="L161" s="136">
        <f t="shared" si="30"/>
        <v>0</v>
      </c>
      <c r="M161" s="136">
        <f t="shared" si="30"/>
        <v>0</v>
      </c>
      <c r="N161" s="136">
        <f t="shared" si="30"/>
        <v>0</v>
      </c>
      <c r="O161" s="136">
        <f t="shared" si="30"/>
        <v>0</v>
      </c>
      <c r="P161" s="136">
        <f t="shared" si="30"/>
        <v>0</v>
      </c>
      <c r="Q161" s="136">
        <f t="shared" si="30"/>
        <v>0</v>
      </c>
      <c r="R161" s="136">
        <f t="shared" si="25"/>
        <v>0</v>
      </c>
      <c r="S161" s="136">
        <f t="shared" si="25"/>
        <v>0</v>
      </c>
      <c r="T161" s="136">
        <f t="shared" si="25"/>
        <v>0</v>
      </c>
      <c r="U161" s="136">
        <f t="shared" si="25"/>
        <v>0</v>
      </c>
      <c r="V161" s="136">
        <f t="shared" si="25"/>
        <v>0</v>
      </c>
      <c r="W161" s="136">
        <f t="shared" si="25"/>
        <v>0</v>
      </c>
      <c r="X161" s="136">
        <f t="shared" si="29"/>
        <v>0</v>
      </c>
      <c r="Y161" s="136">
        <f t="shared" si="29"/>
        <v>0</v>
      </c>
      <c r="Z161" s="136">
        <f t="shared" si="29"/>
        <v>0</v>
      </c>
      <c r="AA161" s="136">
        <f t="shared" si="29"/>
        <v>0</v>
      </c>
      <c r="AB161" s="136">
        <f t="shared" si="29"/>
        <v>0</v>
      </c>
      <c r="AC161" s="136">
        <f t="shared" si="29"/>
        <v>0</v>
      </c>
      <c r="AD161" s="136">
        <f t="shared" si="29"/>
        <v>0</v>
      </c>
      <c r="AE161" s="136">
        <f t="shared" si="29"/>
        <v>0</v>
      </c>
      <c r="AF161" s="136">
        <f t="shared" si="29"/>
        <v>0</v>
      </c>
      <c r="AG161" s="138">
        <v>0.6804</v>
      </c>
      <c r="AH161" s="52"/>
      <c r="AI161" s="53"/>
      <c r="AK161" s="54"/>
    </row>
    <row r="162" spans="1:37" x14ac:dyDescent="0.25">
      <c r="A162" s="124" t="s">
        <v>167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168</v>
      </c>
      <c r="B163" s="135">
        <v>0.6</v>
      </c>
      <c r="C163" s="136">
        <f t="shared" si="30"/>
        <v>0.6</v>
      </c>
      <c r="D163" s="136">
        <f t="shared" si="30"/>
        <v>0.6</v>
      </c>
      <c r="E163" s="136">
        <f t="shared" si="30"/>
        <v>0.6</v>
      </c>
      <c r="F163" s="136">
        <f t="shared" si="30"/>
        <v>0.6</v>
      </c>
      <c r="G163" s="136">
        <f t="shared" si="30"/>
        <v>0.6</v>
      </c>
      <c r="H163" s="136">
        <f t="shared" si="30"/>
        <v>0.6</v>
      </c>
      <c r="I163" s="136">
        <f t="shared" si="30"/>
        <v>0.6</v>
      </c>
      <c r="J163" s="136">
        <f t="shared" si="30"/>
        <v>0.6</v>
      </c>
      <c r="K163" s="136">
        <f t="shared" si="30"/>
        <v>0.6</v>
      </c>
      <c r="L163" s="136">
        <f t="shared" si="30"/>
        <v>0.6</v>
      </c>
      <c r="M163" s="136">
        <f t="shared" si="30"/>
        <v>0.6</v>
      </c>
      <c r="N163" s="136">
        <f t="shared" si="30"/>
        <v>0.6</v>
      </c>
      <c r="O163" s="136">
        <f t="shared" si="30"/>
        <v>0.6</v>
      </c>
      <c r="P163" s="136">
        <f t="shared" si="30"/>
        <v>0.6</v>
      </c>
      <c r="Q163" s="136">
        <f t="shared" si="30"/>
        <v>0.6</v>
      </c>
      <c r="R163" s="136">
        <f t="shared" si="25"/>
        <v>0.6</v>
      </c>
      <c r="S163" s="136">
        <f t="shared" si="25"/>
        <v>0.6</v>
      </c>
      <c r="T163" s="136">
        <f t="shared" si="25"/>
        <v>0.6</v>
      </c>
      <c r="U163" s="136">
        <f t="shared" si="25"/>
        <v>0.6</v>
      </c>
      <c r="V163" s="136">
        <f t="shared" si="25"/>
        <v>0.6</v>
      </c>
      <c r="W163" s="136">
        <f t="shared" si="25"/>
        <v>0.6</v>
      </c>
      <c r="X163" s="136">
        <f t="shared" si="29"/>
        <v>0.6</v>
      </c>
      <c r="Y163" s="136">
        <f t="shared" si="29"/>
        <v>0.6</v>
      </c>
      <c r="Z163" s="136">
        <f t="shared" si="29"/>
        <v>0.6</v>
      </c>
      <c r="AA163" s="136">
        <f t="shared" si="29"/>
        <v>0.6</v>
      </c>
      <c r="AB163" s="136">
        <f t="shared" si="29"/>
        <v>0.6</v>
      </c>
      <c r="AC163" s="136">
        <f t="shared" si="29"/>
        <v>0.6</v>
      </c>
      <c r="AD163" s="136">
        <f t="shared" si="29"/>
        <v>0.6</v>
      </c>
      <c r="AE163" s="136">
        <f t="shared" si="29"/>
        <v>0.6</v>
      </c>
      <c r="AF163" s="136">
        <f t="shared" si="29"/>
        <v>0.6</v>
      </c>
      <c r="AG163" s="138">
        <v>0.6</v>
      </c>
      <c r="AH163" s="52"/>
      <c r="AI163" s="53"/>
      <c r="AK163" s="54"/>
    </row>
    <row r="164" spans="1:37" x14ac:dyDescent="0.25">
      <c r="A164" s="124" t="s">
        <v>169</v>
      </c>
      <c r="B164" s="135">
        <v>0.35</v>
      </c>
      <c r="C164" s="136">
        <f t="shared" si="30"/>
        <v>0.35</v>
      </c>
      <c r="D164" s="136">
        <f t="shared" si="30"/>
        <v>0.35</v>
      </c>
      <c r="E164" s="136">
        <f t="shared" si="30"/>
        <v>0.35</v>
      </c>
      <c r="F164" s="136">
        <f t="shared" si="30"/>
        <v>0.35</v>
      </c>
      <c r="G164" s="136">
        <f t="shared" si="30"/>
        <v>0.35</v>
      </c>
      <c r="H164" s="136">
        <f t="shared" si="30"/>
        <v>0.35</v>
      </c>
      <c r="I164" s="136">
        <f t="shared" si="30"/>
        <v>0.35</v>
      </c>
      <c r="J164" s="136">
        <f t="shared" si="30"/>
        <v>0.35</v>
      </c>
      <c r="K164" s="136">
        <f t="shared" si="30"/>
        <v>0.35</v>
      </c>
      <c r="L164" s="136">
        <f t="shared" si="30"/>
        <v>0.35</v>
      </c>
      <c r="M164" s="136">
        <f t="shared" si="30"/>
        <v>0.35</v>
      </c>
      <c r="N164" s="136">
        <f t="shared" si="30"/>
        <v>0.35</v>
      </c>
      <c r="O164" s="136">
        <f t="shared" si="30"/>
        <v>0.35</v>
      </c>
      <c r="P164" s="136">
        <f t="shared" si="30"/>
        <v>0.35</v>
      </c>
      <c r="Q164" s="136">
        <f t="shared" si="30"/>
        <v>0.35</v>
      </c>
      <c r="R164" s="136">
        <f t="shared" si="25"/>
        <v>0.35</v>
      </c>
      <c r="S164" s="136">
        <f t="shared" si="25"/>
        <v>0.35</v>
      </c>
      <c r="T164" s="136">
        <f t="shared" si="25"/>
        <v>0.35</v>
      </c>
      <c r="U164" s="136">
        <f t="shared" si="25"/>
        <v>0.35</v>
      </c>
      <c r="V164" s="136">
        <f t="shared" si="25"/>
        <v>0.35</v>
      </c>
      <c r="W164" s="136">
        <f t="shared" si="25"/>
        <v>0.35</v>
      </c>
      <c r="X164" s="136">
        <f t="shared" si="29"/>
        <v>0.35</v>
      </c>
      <c r="Y164" s="136">
        <f t="shared" si="29"/>
        <v>0.35</v>
      </c>
      <c r="Z164" s="136">
        <f t="shared" si="29"/>
        <v>0.35</v>
      </c>
      <c r="AA164" s="136">
        <f t="shared" si="29"/>
        <v>0.35</v>
      </c>
      <c r="AB164" s="136">
        <f t="shared" si="29"/>
        <v>0.35</v>
      </c>
      <c r="AC164" s="136">
        <f t="shared" si="29"/>
        <v>0.35</v>
      </c>
      <c r="AD164" s="136">
        <f t="shared" si="29"/>
        <v>0.35</v>
      </c>
      <c r="AE164" s="136">
        <f t="shared" si="29"/>
        <v>0.35</v>
      </c>
      <c r="AF164" s="136">
        <f t="shared" si="29"/>
        <v>0.35</v>
      </c>
      <c r="AG164" s="138">
        <v>0.51800000000000002</v>
      </c>
      <c r="AH164" s="52"/>
      <c r="AI164" s="53"/>
      <c r="AK164" s="54"/>
    </row>
    <row r="165" spans="1:37" x14ac:dyDescent="0.25">
      <c r="A165" s="124" t="s">
        <v>170</v>
      </c>
      <c r="B165" s="135">
        <v>0.28999999999999998</v>
      </c>
      <c r="C165" s="136">
        <f t="shared" si="30"/>
        <v>0.28999999999999998</v>
      </c>
      <c r="D165" s="136">
        <f t="shared" si="30"/>
        <v>0.28999999999999998</v>
      </c>
      <c r="E165" s="136">
        <f t="shared" si="30"/>
        <v>0.28999999999999998</v>
      </c>
      <c r="F165" s="136">
        <f t="shared" si="30"/>
        <v>0.28999999999999998</v>
      </c>
      <c r="G165" s="136">
        <f t="shared" si="30"/>
        <v>0.28999999999999998</v>
      </c>
      <c r="H165" s="136">
        <f t="shared" si="30"/>
        <v>0.28999999999999998</v>
      </c>
      <c r="I165" s="136">
        <f t="shared" si="30"/>
        <v>0.28999999999999998</v>
      </c>
      <c r="J165" s="136">
        <f t="shared" si="30"/>
        <v>0.28999999999999998</v>
      </c>
      <c r="K165" s="136">
        <f t="shared" si="30"/>
        <v>0.28999999999999998</v>
      </c>
      <c r="L165" s="136">
        <f t="shared" si="30"/>
        <v>0.28999999999999998</v>
      </c>
      <c r="M165" s="136">
        <f t="shared" si="30"/>
        <v>0.28999999999999998</v>
      </c>
      <c r="N165" s="136">
        <f t="shared" si="30"/>
        <v>0.28999999999999998</v>
      </c>
      <c r="O165" s="136">
        <f t="shared" si="30"/>
        <v>0.28999999999999998</v>
      </c>
      <c r="P165" s="136">
        <f t="shared" si="30"/>
        <v>0.28999999999999998</v>
      </c>
      <c r="Q165" s="136">
        <f t="shared" si="30"/>
        <v>0.28999999999999998</v>
      </c>
      <c r="R165" s="136">
        <f t="shared" si="25"/>
        <v>0.28999999999999998</v>
      </c>
      <c r="S165" s="136">
        <f t="shared" si="25"/>
        <v>0.28999999999999998</v>
      </c>
      <c r="T165" s="136">
        <f t="shared" si="25"/>
        <v>0.28999999999999998</v>
      </c>
      <c r="U165" s="136">
        <f t="shared" si="25"/>
        <v>0.28999999999999998</v>
      </c>
      <c r="V165" s="136">
        <f t="shared" si="25"/>
        <v>0.28999999999999998</v>
      </c>
      <c r="W165" s="136">
        <f t="shared" si="25"/>
        <v>0.28999999999999998</v>
      </c>
      <c r="X165" s="136">
        <f t="shared" si="29"/>
        <v>0.28999999999999998</v>
      </c>
      <c r="Y165" s="136">
        <f t="shared" si="29"/>
        <v>0.28999999999999998</v>
      </c>
      <c r="Z165" s="136">
        <f t="shared" si="29"/>
        <v>0.28999999999999998</v>
      </c>
      <c r="AA165" s="136">
        <f t="shared" si="29"/>
        <v>0.28999999999999998</v>
      </c>
      <c r="AB165" s="136">
        <f t="shared" si="29"/>
        <v>0.28999999999999998</v>
      </c>
      <c r="AC165" s="136">
        <f t="shared" si="29"/>
        <v>0.28999999999999998</v>
      </c>
      <c r="AD165" s="136">
        <f t="shared" si="29"/>
        <v>0.28999999999999998</v>
      </c>
      <c r="AE165" s="136">
        <f t="shared" si="29"/>
        <v>0.28999999999999998</v>
      </c>
      <c r="AF165" s="136">
        <f t="shared" si="29"/>
        <v>0.28999999999999998</v>
      </c>
      <c r="AG165" s="138">
        <v>0.5</v>
      </c>
      <c r="AH165" s="52"/>
      <c r="AI165" s="53"/>
      <c r="AK165" s="54"/>
    </row>
    <row r="166" spans="1:37" x14ac:dyDescent="0.25">
      <c r="A166" s="122" t="s">
        <v>171</v>
      </c>
      <c r="B166" s="135">
        <v>0.06</v>
      </c>
      <c r="C166" s="136">
        <f t="shared" si="30"/>
        <v>0.06</v>
      </c>
      <c r="D166" s="136">
        <f t="shared" si="30"/>
        <v>0.06</v>
      </c>
      <c r="E166" s="136">
        <f t="shared" si="30"/>
        <v>0.06</v>
      </c>
      <c r="F166" s="136">
        <f t="shared" si="30"/>
        <v>0.06</v>
      </c>
      <c r="G166" s="136">
        <f t="shared" si="30"/>
        <v>0.06</v>
      </c>
      <c r="H166" s="136">
        <f t="shared" si="30"/>
        <v>0.06</v>
      </c>
      <c r="I166" s="136">
        <f t="shared" si="30"/>
        <v>0.06</v>
      </c>
      <c r="J166" s="136">
        <f t="shared" si="30"/>
        <v>0.06</v>
      </c>
      <c r="K166" s="136">
        <f t="shared" si="30"/>
        <v>0.06</v>
      </c>
      <c r="L166" s="136">
        <f t="shared" si="30"/>
        <v>0.06</v>
      </c>
      <c r="M166" s="136">
        <f t="shared" si="30"/>
        <v>0.06</v>
      </c>
      <c r="N166" s="136">
        <f t="shared" si="30"/>
        <v>0.06</v>
      </c>
      <c r="O166" s="136">
        <f t="shared" si="30"/>
        <v>0.06</v>
      </c>
      <c r="P166" s="136">
        <f t="shared" si="30"/>
        <v>0.06</v>
      </c>
      <c r="Q166" s="136">
        <f t="shared" si="30"/>
        <v>0.06</v>
      </c>
      <c r="R166" s="136">
        <f t="shared" si="25"/>
        <v>0.06</v>
      </c>
      <c r="S166" s="136">
        <f t="shared" si="25"/>
        <v>0.06</v>
      </c>
      <c r="T166" s="136">
        <f t="shared" si="25"/>
        <v>0.06</v>
      </c>
      <c r="U166" s="136">
        <f t="shared" si="25"/>
        <v>0.06</v>
      </c>
      <c r="V166" s="136">
        <f t="shared" si="25"/>
        <v>0.06</v>
      </c>
      <c r="W166" s="136">
        <f t="shared" si="25"/>
        <v>0.06</v>
      </c>
      <c r="X166" s="136">
        <f t="shared" si="29"/>
        <v>0.06</v>
      </c>
      <c r="Y166" s="136">
        <f t="shared" si="29"/>
        <v>0.06</v>
      </c>
      <c r="Z166" s="136">
        <f t="shared" si="29"/>
        <v>0.06</v>
      </c>
      <c r="AA166" s="136">
        <f t="shared" si="29"/>
        <v>0.06</v>
      </c>
      <c r="AB166" s="136">
        <f t="shared" si="29"/>
        <v>0.06</v>
      </c>
      <c r="AC166" s="136">
        <f t="shared" si="29"/>
        <v>0.06</v>
      </c>
      <c r="AD166" s="136">
        <f t="shared" si="29"/>
        <v>0.06</v>
      </c>
      <c r="AE166" s="136">
        <f t="shared" si="29"/>
        <v>0.06</v>
      </c>
      <c r="AF166" s="136">
        <f t="shared" si="29"/>
        <v>0.06</v>
      </c>
      <c r="AG166" s="137">
        <v>0.25</v>
      </c>
      <c r="AH166" s="52"/>
      <c r="AI166" s="53"/>
      <c r="AK166" s="54"/>
    </row>
    <row r="167" spans="1:37" x14ac:dyDescent="0.25">
      <c r="A167" s="122" t="s">
        <v>172</v>
      </c>
      <c r="B167" s="135">
        <v>0.11</v>
      </c>
      <c r="C167" s="136">
        <f t="shared" si="30"/>
        <v>0.11</v>
      </c>
      <c r="D167" s="136">
        <f t="shared" si="30"/>
        <v>0.11</v>
      </c>
      <c r="E167" s="136">
        <f t="shared" si="30"/>
        <v>0.11</v>
      </c>
      <c r="F167" s="136">
        <f t="shared" si="30"/>
        <v>0.11</v>
      </c>
      <c r="G167" s="136">
        <f t="shared" si="30"/>
        <v>0.11</v>
      </c>
      <c r="H167" s="136">
        <f t="shared" si="30"/>
        <v>0.11</v>
      </c>
      <c r="I167" s="136">
        <f t="shared" si="30"/>
        <v>0.11</v>
      </c>
      <c r="J167" s="136">
        <f t="shared" si="30"/>
        <v>0.11</v>
      </c>
      <c r="K167" s="136">
        <f t="shared" si="30"/>
        <v>0.11</v>
      </c>
      <c r="L167" s="136">
        <f t="shared" si="30"/>
        <v>0.11</v>
      </c>
      <c r="M167" s="136">
        <f t="shared" si="30"/>
        <v>0.11</v>
      </c>
      <c r="N167" s="136">
        <f t="shared" si="30"/>
        <v>0.11</v>
      </c>
      <c r="O167" s="136">
        <f t="shared" si="30"/>
        <v>0.11</v>
      </c>
      <c r="P167" s="136">
        <f t="shared" si="30"/>
        <v>0.11</v>
      </c>
      <c r="Q167" s="136">
        <f t="shared" si="30"/>
        <v>0.11</v>
      </c>
      <c r="R167" s="136">
        <f t="shared" si="25"/>
        <v>0.11</v>
      </c>
      <c r="S167" s="136">
        <f t="shared" si="25"/>
        <v>0.11</v>
      </c>
      <c r="T167" s="136">
        <f t="shared" si="25"/>
        <v>0.11</v>
      </c>
      <c r="U167" s="136">
        <f t="shared" si="25"/>
        <v>0.11</v>
      </c>
      <c r="V167" s="136">
        <f t="shared" si="25"/>
        <v>0.11</v>
      </c>
      <c r="W167" s="136">
        <f t="shared" si="25"/>
        <v>0.11</v>
      </c>
      <c r="X167" s="136">
        <f t="shared" si="29"/>
        <v>0.11</v>
      </c>
      <c r="Y167" s="136">
        <f t="shared" si="29"/>
        <v>0.11</v>
      </c>
      <c r="Z167" s="136">
        <f t="shared" si="29"/>
        <v>0.11</v>
      </c>
      <c r="AA167" s="136">
        <f t="shared" si="29"/>
        <v>0.11</v>
      </c>
      <c r="AB167" s="136">
        <f t="shared" si="29"/>
        <v>0.11</v>
      </c>
      <c r="AC167" s="136">
        <f t="shared" si="29"/>
        <v>0.11</v>
      </c>
      <c r="AD167" s="136">
        <f t="shared" si="29"/>
        <v>0.11</v>
      </c>
      <c r="AE167" s="136">
        <f t="shared" si="29"/>
        <v>0.11</v>
      </c>
      <c r="AF167" s="136">
        <f t="shared" si="29"/>
        <v>0.11</v>
      </c>
      <c r="AG167" s="137">
        <v>0.183</v>
      </c>
      <c r="AH167" s="52"/>
      <c r="AI167" s="53"/>
      <c r="AK167" s="54"/>
    </row>
    <row r="168" spans="1:37" x14ac:dyDescent="0.25">
      <c r="A168" s="122" t="s">
        <v>173</v>
      </c>
      <c r="B168" s="135">
        <v>0.1</v>
      </c>
      <c r="C168" s="136">
        <f t="shared" si="30"/>
        <v>0.1</v>
      </c>
      <c r="D168" s="136">
        <f t="shared" si="30"/>
        <v>0.1</v>
      </c>
      <c r="E168" s="136">
        <f t="shared" si="30"/>
        <v>0.1</v>
      </c>
      <c r="F168" s="136">
        <f t="shared" si="30"/>
        <v>0.1</v>
      </c>
      <c r="G168" s="136">
        <f t="shared" si="30"/>
        <v>0.1</v>
      </c>
      <c r="H168" s="136">
        <f t="shared" si="30"/>
        <v>0.1</v>
      </c>
      <c r="I168" s="136">
        <f t="shared" si="30"/>
        <v>0.1</v>
      </c>
      <c r="J168" s="136">
        <f t="shared" si="30"/>
        <v>0.1</v>
      </c>
      <c r="K168" s="136">
        <f t="shared" si="30"/>
        <v>0.1</v>
      </c>
      <c r="L168" s="136">
        <f t="shared" si="30"/>
        <v>0.1</v>
      </c>
      <c r="M168" s="136">
        <f t="shared" si="30"/>
        <v>0.1</v>
      </c>
      <c r="N168" s="136">
        <f t="shared" si="30"/>
        <v>0.1</v>
      </c>
      <c r="O168" s="136">
        <f t="shared" si="30"/>
        <v>0.1</v>
      </c>
      <c r="P168" s="136">
        <f t="shared" si="30"/>
        <v>0.1</v>
      </c>
      <c r="Q168" s="136">
        <f t="shared" si="30"/>
        <v>0.1</v>
      </c>
      <c r="R168" s="136">
        <f t="shared" si="25"/>
        <v>0.1</v>
      </c>
      <c r="S168" s="136">
        <f t="shared" si="25"/>
        <v>0.1</v>
      </c>
      <c r="T168" s="136">
        <f t="shared" si="25"/>
        <v>0.1</v>
      </c>
      <c r="U168" s="136">
        <f t="shared" si="25"/>
        <v>0.1</v>
      </c>
      <c r="V168" s="136">
        <f t="shared" si="25"/>
        <v>0.1</v>
      </c>
      <c r="W168" s="136">
        <f t="shared" si="25"/>
        <v>0.1</v>
      </c>
      <c r="X168" s="136">
        <f t="shared" si="29"/>
        <v>0.1</v>
      </c>
      <c r="Y168" s="136">
        <f t="shared" si="29"/>
        <v>0.1</v>
      </c>
      <c r="Z168" s="136">
        <f t="shared" si="29"/>
        <v>0.1</v>
      </c>
      <c r="AA168" s="136">
        <f t="shared" si="29"/>
        <v>0.1</v>
      </c>
      <c r="AB168" s="136">
        <f t="shared" si="29"/>
        <v>0.1</v>
      </c>
      <c r="AC168" s="136">
        <f t="shared" si="29"/>
        <v>0.1</v>
      </c>
      <c r="AD168" s="136">
        <f t="shared" si="29"/>
        <v>0.1</v>
      </c>
      <c r="AE168" s="136">
        <f t="shared" si="29"/>
        <v>0.1</v>
      </c>
      <c r="AF168" s="136">
        <f t="shared" si="29"/>
        <v>0.1</v>
      </c>
      <c r="AG168" s="137">
        <v>0.1</v>
      </c>
      <c r="AH168" s="52"/>
      <c r="AI168" s="53"/>
      <c r="AK168" s="54"/>
    </row>
    <row r="169" spans="1:37" x14ac:dyDescent="0.25">
      <c r="A169" s="122" t="s">
        <v>174</v>
      </c>
      <c r="B169" s="135">
        <v>0.09</v>
      </c>
      <c r="C169" s="136">
        <f t="shared" si="30"/>
        <v>0.09</v>
      </c>
      <c r="D169" s="136">
        <f t="shared" si="30"/>
        <v>0.09</v>
      </c>
      <c r="E169" s="136">
        <f t="shared" si="30"/>
        <v>0.09</v>
      </c>
      <c r="F169" s="136">
        <f t="shared" si="30"/>
        <v>0.09</v>
      </c>
      <c r="G169" s="136">
        <f t="shared" si="30"/>
        <v>0.09</v>
      </c>
      <c r="H169" s="136">
        <f t="shared" si="30"/>
        <v>0.09</v>
      </c>
      <c r="I169" s="136">
        <f t="shared" si="30"/>
        <v>0.09</v>
      </c>
      <c r="J169" s="136">
        <f t="shared" si="30"/>
        <v>0.09</v>
      </c>
      <c r="K169" s="136">
        <f t="shared" si="30"/>
        <v>0.09</v>
      </c>
      <c r="L169" s="136">
        <f t="shared" si="30"/>
        <v>0.09</v>
      </c>
      <c r="M169" s="136">
        <f t="shared" si="30"/>
        <v>0.09</v>
      </c>
      <c r="N169" s="136">
        <f t="shared" si="30"/>
        <v>0.09</v>
      </c>
      <c r="O169" s="136">
        <f t="shared" si="30"/>
        <v>0.09</v>
      </c>
      <c r="P169" s="136">
        <f t="shared" si="30"/>
        <v>0.09</v>
      </c>
      <c r="Q169" s="136">
        <f t="shared" si="30"/>
        <v>0.09</v>
      </c>
      <c r="R169" s="136">
        <f t="shared" si="25"/>
        <v>0.09</v>
      </c>
      <c r="S169" s="136">
        <f t="shared" si="25"/>
        <v>0.09</v>
      </c>
      <c r="T169" s="136">
        <f t="shared" si="25"/>
        <v>0.09</v>
      </c>
      <c r="U169" s="136">
        <f t="shared" si="25"/>
        <v>0.09</v>
      </c>
      <c r="V169" s="136">
        <f t="shared" si="25"/>
        <v>0.09</v>
      </c>
      <c r="W169" s="136">
        <f t="shared" si="25"/>
        <v>0.09</v>
      </c>
      <c r="X169" s="136">
        <f t="shared" si="29"/>
        <v>0.09</v>
      </c>
      <c r="Y169" s="136">
        <f t="shared" si="29"/>
        <v>0.09</v>
      </c>
      <c r="Z169" s="136">
        <f t="shared" si="29"/>
        <v>0.09</v>
      </c>
      <c r="AA169" s="136">
        <f t="shared" si="29"/>
        <v>0.09</v>
      </c>
      <c r="AB169" s="136">
        <f t="shared" si="29"/>
        <v>0.09</v>
      </c>
      <c r="AC169" s="136">
        <f t="shared" si="29"/>
        <v>0.09</v>
      </c>
      <c r="AD169" s="136">
        <f t="shared" si="29"/>
        <v>0.09</v>
      </c>
      <c r="AE169" s="136">
        <f t="shared" si="29"/>
        <v>0.09</v>
      </c>
      <c r="AF169" s="136">
        <f t="shared" si="29"/>
        <v>0.09</v>
      </c>
      <c r="AG169" s="137">
        <v>0.09</v>
      </c>
      <c r="AH169" s="52"/>
      <c r="AI169" s="53"/>
      <c r="AK169" s="54"/>
    </row>
    <row r="170" spans="1:37" x14ac:dyDescent="0.25">
      <c r="A170" s="139" t="s">
        <v>175</v>
      </c>
      <c r="B170" s="51">
        <v>0.04</v>
      </c>
      <c r="C170" s="136">
        <f t="shared" si="30"/>
        <v>0.04</v>
      </c>
      <c r="D170" s="136">
        <f t="shared" si="30"/>
        <v>0.04</v>
      </c>
      <c r="E170" s="136">
        <f t="shared" si="30"/>
        <v>0.04</v>
      </c>
      <c r="F170" s="136">
        <f t="shared" si="30"/>
        <v>0.04</v>
      </c>
      <c r="G170" s="136">
        <f t="shared" si="30"/>
        <v>0.04</v>
      </c>
      <c r="H170" s="136">
        <f t="shared" si="30"/>
        <v>0.04</v>
      </c>
      <c r="I170" s="136">
        <f t="shared" si="30"/>
        <v>0.04</v>
      </c>
      <c r="J170" s="136">
        <f t="shared" si="30"/>
        <v>0.04</v>
      </c>
      <c r="K170" s="136">
        <f t="shared" si="30"/>
        <v>0.04</v>
      </c>
      <c r="L170" s="136">
        <f t="shared" si="30"/>
        <v>0.04</v>
      </c>
      <c r="M170" s="136">
        <f t="shared" si="30"/>
        <v>0.04</v>
      </c>
      <c r="N170" s="136">
        <f t="shared" si="30"/>
        <v>0.04</v>
      </c>
      <c r="O170" s="136">
        <f t="shared" si="30"/>
        <v>0.04</v>
      </c>
      <c r="P170" s="136">
        <f t="shared" si="30"/>
        <v>0.04</v>
      </c>
      <c r="Q170" s="136">
        <f t="shared" si="30"/>
        <v>0.04</v>
      </c>
      <c r="R170" s="136">
        <f t="shared" si="25"/>
        <v>0.04</v>
      </c>
      <c r="S170" s="136">
        <f t="shared" si="25"/>
        <v>0.04</v>
      </c>
      <c r="T170" s="136">
        <f t="shared" si="25"/>
        <v>0.04</v>
      </c>
      <c r="U170" s="136">
        <f t="shared" si="25"/>
        <v>0.04</v>
      </c>
      <c r="V170" s="136">
        <f t="shared" si="25"/>
        <v>0.04</v>
      </c>
      <c r="W170" s="136">
        <f t="shared" si="25"/>
        <v>0.04</v>
      </c>
      <c r="X170" s="136">
        <f t="shared" si="29"/>
        <v>0.04</v>
      </c>
      <c r="Y170" s="136">
        <f t="shared" si="29"/>
        <v>0.04</v>
      </c>
      <c r="Z170" s="136">
        <f t="shared" si="29"/>
        <v>0.04</v>
      </c>
      <c r="AA170" s="136">
        <f t="shared" si="29"/>
        <v>0.04</v>
      </c>
      <c r="AB170" s="136">
        <f t="shared" si="29"/>
        <v>0.04</v>
      </c>
      <c r="AC170" s="136">
        <f t="shared" si="29"/>
        <v>0.04</v>
      </c>
      <c r="AD170" s="136">
        <f t="shared" si="29"/>
        <v>0.04</v>
      </c>
      <c r="AE170" s="136">
        <f t="shared" si="29"/>
        <v>0.04</v>
      </c>
      <c r="AF170" s="136">
        <f t="shared" si="29"/>
        <v>0.04</v>
      </c>
      <c r="AG170" s="137">
        <v>0.04</v>
      </c>
      <c r="AH170" s="52"/>
      <c r="AI170" s="53"/>
      <c r="AK170" s="54"/>
    </row>
    <row r="171" spans="1:37" x14ac:dyDescent="0.25">
      <c r="A171" s="139" t="s">
        <v>176</v>
      </c>
      <c r="B171" s="51">
        <v>2.3E-2</v>
      </c>
      <c r="C171" s="136">
        <f>B171</f>
        <v>2.3E-2</v>
      </c>
      <c r="D171" s="136">
        <f t="shared" si="30"/>
        <v>2.3E-2</v>
      </c>
      <c r="E171" s="136">
        <f t="shared" si="30"/>
        <v>2.3E-2</v>
      </c>
      <c r="F171" s="136">
        <f t="shared" si="30"/>
        <v>2.3E-2</v>
      </c>
      <c r="G171" s="136">
        <f t="shared" si="30"/>
        <v>2.3E-2</v>
      </c>
      <c r="H171" s="136">
        <f t="shared" si="30"/>
        <v>2.3E-2</v>
      </c>
      <c r="I171" s="136">
        <f t="shared" si="30"/>
        <v>2.3E-2</v>
      </c>
      <c r="J171" s="136">
        <f t="shared" si="30"/>
        <v>2.3E-2</v>
      </c>
      <c r="K171" s="136">
        <f t="shared" si="30"/>
        <v>2.3E-2</v>
      </c>
      <c r="L171" s="136">
        <f t="shared" si="30"/>
        <v>2.3E-2</v>
      </c>
      <c r="M171" s="136">
        <f t="shared" si="30"/>
        <v>2.3E-2</v>
      </c>
      <c r="N171" s="136">
        <f t="shared" si="30"/>
        <v>2.3E-2</v>
      </c>
      <c r="O171" s="136">
        <f t="shared" si="30"/>
        <v>2.3E-2</v>
      </c>
      <c r="P171" s="136">
        <f t="shared" si="30"/>
        <v>2.3E-2</v>
      </c>
      <c r="Q171" s="136">
        <f t="shared" si="30"/>
        <v>2.3E-2</v>
      </c>
      <c r="R171" s="136">
        <f t="shared" si="25"/>
        <v>2.3E-2</v>
      </c>
      <c r="S171" s="136">
        <f t="shared" si="25"/>
        <v>2.3E-2</v>
      </c>
      <c r="T171" s="136">
        <f t="shared" si="25"/>
        <v>2.3E-2</v>
      </c>
      <c r="U171" s="136">
        <f t="shared" si="25"/>
        <v>2.3E-2</v>
      </c>
      <c r="V171" s="136">
        <f t="shared" si="25"/>
        <v>2.3E-2</v>
      </c>
      <c r="W171" s="136">
        <f t="shared" si="25"/>
        <v>2.3E-2</v>
      </c>
      <c r="X171" s="136">
        <f t="shared" si="29"/>
        <v>2.3E-2</v>
      </c>
      <c r="Y171" s="136">
        <f t="shared" si="29"/>
        <v>2.3E-2</v>
      </c>
      <c r="Z171" s="136">
        <f t="shared" si="29"/>
        <v>2.3E-2</v>
      </c>
      <c r="AA171" s="136">
        <f t="shared" si="29"/>
        <v>2.3E-2</v>
      </c>
      <c r="AB171" s="136">
        <f t="shared" si="29"/>
        <v>2.3E-2</v>
      </c>
      <c r="AC171" s="136">
        <f t="shared" si="29"/>
        <v>2.3E-2</v>
      </c>
      <c r="AD171" s="136">
        <f t="shared" si="29"/>
        <v>2.3E-2</v>
      </c>
      <c r="AE171" s="136">
        <f t="shared" si="29"/>
        <v>2.3E-2</v>
      </c>
      <c r="AF171" s="136">
        <f t="shared" si="29"/>
        <v>2.3E-2</v>
      </c>
      <c r="AG171" s="137">
        <v>2.3E-2</v>
      </c>
      <c r="AH171" s="52"/>
      <c r="AI171" s="53"/>
      <c r="AK171" s="54"/>
    </row>
    <row r="172" spans="1:37" ht="15.75" thickBot="1" x14ac:dyDescent="0.3">
      <c r="A172" s="140" t="s">
        <v>177</v>
      </c>
      <c r="B172" s="141">
        <f t="shared" ref="B172:AG172" si="31">SUM(B90:B171)</f>
        <v>195.60600000000002</v>
      </c>
      <c r="C172" s="141">
        <f t="shared" si="31"/>
        <v>195.60600000000002</v>
      </c>
      <c r="D172" s="141">
        <f t="shared" si="31"/>
        <v>195.60600000000002</v>
      </c>
      <c r="E172" s="141">
        <f t="shared" si="31"/>
        <v>195.60600000000002</v>
      </c>
      <c r="F172" s="141">
        <f t="shared" si="31"/>
        <v>185.70600000000005</v>
      </c>
      <c r="G172" s="141">
        <f t="shared" si="31"/>
        <v>185.70600000000005</v>
      </c>
      <c r="H172" s="141">
        <f t="shared" si="31"/>
        <v>185.70600000000005</v>
      </c>
      <c r="I172" s="141">
        <f t="shared" si="31"/>
        <v>183.10600000000002</v>
      </c>
      <c r="J172" s="141">
        <f t="shared" si="31"/>
        <v>183.10600000000002</v>
      </c>
      <c r="K172" s="141">
        <f t="shared" si="31"/>
        <v>183.10600000000002</v>
      </c>
      <c r="L172" s="141">
        <f t="shared" si="31"/>
        <v>183.10600000000002</v>
      </c>
      <c r="M172" s="141">
        <f t="shared" si="31"/>
        <v>183.10600000000002</v>
      </c>
      <c r="N172" s="141">
        <f t="shared" si="31"/>
        <v>183.10600000000002</v>
      </c>
      <c r="O172" s="141">
        <f t="shared" si="31"/>
        <v>183.10600000000002</v>
      </c>
      <c r="P172" s="141">
        <f t="shared" si="31"/>
        <v>183.10600000000002</v>
      </c>
      <c r="Q172" s="141">
        <f t="shared" si="31"/>
        <v>183.10600000000002</v>
      </c>
      <c r="R172" s="141">
        <f t="shared" si="31"/>
        <v>183.10600000000002</v>
      </c>
      <c r="S172" s="141">
        <f t="shared" si="31"/>
        <v>183.10600000000002</v>
      </c>
      <c r="T172" s="141">
        <f t="shared" si="31"/>
        <v>183.10600000000002</v>
      </c>
      <c r="U172" s="141">
        <f t="shared" si="31"/>
        <v>183.10600000000002</v>
      </c>
      <c r="V172" s="141">
        <f t="shared" si="31"/>
        <v>183.10600000000002</v>
      </c>
      <c r="W172" s="141">
        <f t="shared" si="31"/>
        <v>183.10600000000002</v>
      </c>
      <c r="X172" s="141">
        <f t="shared" si="31"/>
        <v>183.10600000000002</v>
      </c>
      <c r="Y172" s="141">
        <f t="shared" si="31"/>
        <v>183.10600000000002</v>
      </c>
      <c r="Z172" s="141">
        <f t="shared" si="31"/>
        <v>183.10600000000002</v>
      </c>
      <c r="AA172" s="141">
        <f t="shared" si="31"/>
        <v>183.10600000000002</v>
      </c>
      <c r="AB172" s="141">
        <f t="shared" si="31"/>
        <v>183.10600000000002</v>
      </c>
      <c r="AC172" s="141">
        <f t="shared" si="31"/>
        <v>183.10600000000002</v>
      </c>
      <c r="AD172" s="141">
        <f t="shared" si="31"/>
        <v>183.10600000000002</v>
      </c>
      <c r="AE172" s="141">
        <f t="shared" si="31"/>
        <v>183.10600000000002</v>
      </c>
      <c r="AF172" s="141">
        <f t="shared" si="31"/>
        <v>183.10600000000002</v>
      </c>
      <c r="AG172" s="142">
        <f t="shared" si="31"/>
        <v>305.18839999999994</v>
      </c>
      <c r="AH172" s="52"/>
      <c r="AI172" s="53"/>
      <c r="AK172" s="54"/>
    </row>
    <row r="173" spans="1:37" ht="15.75" thickBot="1" x14ac:dyDescent="0.3">
      <c r="A173" s="29" t="s">
        <v>49</v>
      </c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52"/>
      <c r="AI173" s="53"/>
      <c r="AK173" s="54"/>
    </row>
    <row r="174" spans="1:37" x14ac:dyDescent="0.25">
      <c r="A174" s="117" t="s">
        <v>178</v>
      </c>
      <c r="B174" s="143">
        <v>0.3</v>
      </c>
      <c r="C174" s="143">
        <f t="shared" ref="C174:R179" si="32">B174</f>
        <v>0.3</v>
      </c>
      <c r="D174" s="143">
        <f t="shared" si="32"/>
        <v>0.3</v>
      </c>
      <c r="E174" s="143">
        <f t="shared" si="32"/>
        <v>0.3</v>
      </c>
      <c r="F174" s="143">
        <f t="shared" si="32"/>
        <v>0.3</v>
      </c>
      <c r="G174" s="143">
        <f t="shared" si="32"/>
        <v>0.3</v>
      </c>
      <c r="H174" s="143">
        <f t="shared" si="32"/>
        <v>0.3</v>
      </c>
      <c r="I174" s="143">
        <f t="shared" si="32"/>
        <v>0.3</v>
      </c>
      <c r="J174" s="143">
        <f t="shared" si="32"/>
        <v>0.3</v>
      </c>
      <c r="K174" s="143">
        <f t="shared" si="32"/>
        <v>0.3</v>
      </c>
      <c r="L174" s="143">
        <f t="shared" si="32"/>
        <v>0.3</v>
      </c>
      <c r="M174" s="143">
        <f t="shared" si="32"/>
        <v>0.3</v>
      </c>
      <c r="N174" s="143">
        <f t="shared" si="32"/>
        <v>0.3</v>
      </c>
      <c r="O174" s="143">
        <f t="shared" si="32"/>
        <v>0.3</v>
      </c>
      <c r="P174" s="143">
        <f t="shared" si="32"/>
        <v>0.3</v>
      </c>
      <c r="Q174" s="143">
        <f t="shared" si="32"/>
        <v>0.3</v>
      </c>
      <c r="R174" s="143">
        <f t="shared" si="32"/>
        <v>0.3</v>
      </c>
      <c r="S174" s="143">
        <f t="shared" ref="S174:AF179" si="33">R174</f>
        <v>0.3</v>
      </c>
      <c r="T174" s="143">
        <f t="shared" si="33"/>
        <v>0.3</v>
      </c>
      <c r="U174" s="143">
        <f t="shared" si="33"/>
        <v>0.3</v>
      </c>
      <c r="V174" s="143">
        <f t="shared" si="33"/>
        <v>0.3</v>
      </c>
      <c r="W174" s="143">
        <f t="shared" si="33"/>
        <v>0.3</v>
      </c>
      <c r="X174" s="143">
        <f t="shared" si="33"/>
        <v>0.3</v>
      </c>
      <c r="Y174" s="143">
        <f t="shared" si="33"/>
        <v>0.3</v>
      </c>
      <c r="Z174" s="143">
        <f t="shared" si="33"/>
        <v>0.3</v>
      </c>
      <c r="AA174" s="143">
        <f t="shared" si="33"/>
        <v>0.3</v>
      </c>
      <c r="AB174" s="143">
        <f t="shared" si="33"/>
        <v>0.3</v>
      </c>
      <c r="AC174" s="143">
        <f t="shared" si="33"/>
        <v>0.3</v>
      </c>
      <c r="AD174" s="143">
        <f t="shared" si="33"/>
        <v>0.3</v>
      </c>
      <c r="AE174" s="143">
        <f t="shared" si="33"/>
        <v>0.3</v>
      </c>
      <c r="AF174" s="143">
        <f t="shared" si="33"/>
        <v>0.3</v>
      </c>
      <c r="AG174" s="144">
        <v>2.4</v>
      </c>
      <c r="AH174" s="52"/>
      <c r="AI174" s="53"/>
      <c r="AK174" s="54"/>
    </row>
    <row r="175" spans="1:37" x14ac:dyDescent="0.25">
      <c r="A175" s="122" t="s">
        <v>179</v>
      </c>
      <c r="B175" s="136">
        <v>0.4</v>
      </c>
      <c r="C175" s="136">
        <f t="shared" si="32"/>
        <v>0.4</v>
      </c>
      <c r="D175" s="136">
        <f t="shared" si="32"/>
        <v>0.4</v>
      </c>
      <c r="E175" s="136">
        <f t="shared" si="32"/>
        <v>0.4</v>
      </c>
      <c r="F175" s="136">
        <f t="shared" si="32"/>
        <v>0.4</v>
      </c>
      <c r="G175" s="136">
        <f t="shared" si="32"/>
        <v>0.4</v>
      </c>
      <c r="H175" s="136">
        <f t="shared" si="32"/>
        <v>0.4</v>
      </c>
      <c r="I175" s="136">
        <f t="shared" si="32"/>
        <v>0.4</v>
      </c>
      <c r="J175" s="136">
        <f t="shared" si="32"/>
        <v>0.4</v>
      </c>
      <c r="K175" s="136">
        <f t="shared" si="32"/>
        <v>0.4</v>
      </c>
      <c r="L175" s="136">
        <f t="shared" si="32"/>
        <v>0.4</v>
      </c>
      <c r="M175" s="136">
        <f t="shared" si="32"/>
        <v>0.4</v>
      </c>
      <c r="N175" s="136">
        <f t="shared" si="32"/>
        <v>0.4</v>
      </c>
      <c r="O175" s="136">
        <f t="shared" si="32"/>
        <v>0.4</v>
      </c>
      <c r="P175" s="136">
        <f t="shared" si="32"/>
        <v>0.4</v>
      </c>
      <c r="Q175" s="136">
        <f t="shared" si="32"/>
        <v>0.4</v>
      </c>
      <c r="R175" s="136">
        <f t="shared" si="32"/>
        <v>0.4</v>
      </c>
      <c r="S175" s="136">
        <f t="shared" si="33"/>
        <v>0.4</v>
      </c>
      <c r="T175" s="136">
        <f t="shared" si="33"/>
        <v>0.4</v>
      </c>
      <c r="U175" s="136">
        <f t="shared" si="33"/>
        <v>0.4</v>
      </c>
      <c r="V175" s="136">
        <f>U175</f>
        <v>0.4</v>
      </c>
      <c r="W175" s="136">
        <f>V175</f>
        <v>0.4</v>
      </c>
      <c r="X175" s="136">
        <f t="shared" si="33"/>
        <v>0.4</v>
      </c>
      <c r="Y175" s="136">
        <f t="shared" si="33"/>
        <v>0.4</v>
      </c>
      <c r="Z175" s="136">
        <f t="shared" si="33"/>
        <v>0.4</v>
      </c>
      <c r="AA175" s="136">
        <f t="shared" si="33"/>
        <v>0.4</v>
      </c>
      <c r="AB175" s="136">
        <f t="shared" si="33"/>
        <v>0.4</v>
      </c>
      <c r="AC175" s="136">
        <f t="shared" si="33"/>
        <v>0.4</v>
      </c>
      <c r="AD175" s="136">
        <f t="shared" si="33"/>
        <v>0.4</v>
      </c>
      <c r="AE175" s="136">
        <f t="shared" si="33"/>
        <v>0.4</v>
      </c>
      <c r="AF175" s="136">
        <f t="shared" si="33"/>
        <v>0.4</v>
      </c>
      <c r="AG175" s="145">
        <v>2</v>
      </c>
      <c r="AH175" s="52"/>
      <c r="AI175" s="53"/>
      <c r="AK175" s="54"/>
    </row>
    <row r="176" spans="1:37" x14ac:dyDescent="0.25">
      <c r="A176" s="122" t="s">
        <v>180</v>
      </c>
      <c r="B176" s="136">
        <v>1.5</v>
      </c>
      <c r="C176" s="136">
        <f t="shared" si="32"/>
        <v>1.5</v>
      </c>
      <c r="D176" s="136">
        <f t="shared" si="32"/>
        <v>1.5</v>
      </c>
      <c r="E176" s="136">
        <f t="shared" si="32"/>
        <v>1.5</v>
      </c>
      <c r="F176" s="136">
        <f t="shared" si="32"/>
        <v>1.5</v>
      </c>
      <c r="G176" s="136">
        <f t="shared" si="32"/>
        <v>1.5</v>
      </c>
      <c r="H176" s="136">
        <f t="shared" si="32"/>
        <v>1.5</v>
      </c>
      <c r="I176" s="136">
        <f t="shared" si="32"/>
        <v>1.5</v>
      </c>
      <c r="J176" s="136">
        <f t="shared" si="32"/>
        <v>1.5</v>
      </c>
      <c r="K176" s="136">
        <f t="shared" si="32"/>
        <v>1.5</v>
      </c>
      <c r="L176" s="136">
        <f t="shared" si="32"/>
        <v>1.5</v>
      </c>
      <c r="M176" s="136">
        <f t="shared" si="32"/>
        <v>1.5</v>
      </c>
      <c r="N176" s="136">
        <f t="shared" si="32"/>
        <v>1.5</v>
      </c>
      <c r="O176" s="136">
        <f t="shared" si="32"/>
        <v>1.5</v>
      </c>
      <c r="P176" s="136">
        <f t="shared" si="32"/>
        <v>1.5</v>
      </c>
      <c r="Q176" s="136">
        <f t="shared" si="32"/>
        <v>1.5</v>
      </c>
      <c r="R176" s="136">
        <f t="shared" si="32"/>
        <v>1.5</v>
      </c>
      <c r="S176" s="136">
        <f t="shared" si="33"/>
        <v>1.5</v>
      </c>
      <c r="T176" s="136">
        <f t="shared" si="33"/>
        <v>1.5</v>
      </c>
      <c r="U176" s="136">
        <f t="shared" si="33"/>
        <v>1.5</v>
      </c>
      <c r="V176" s="136">
        <f t="shared" si="33"/>
        <v>1.5</v>
      </c>
      <c r="W176" s="136">
        <f t="shared" si="33"/>
        <v>1.5</v>
      </c>
      <c r="X176" s="136">
        <f t="shared" si="33"/>
        <v>1.5</v>
      </c>
      <c r="Y176" s="136">
        <f t="shared" si="33"/>
        <v>1.5</v>
      </c>
      <c r="Z176" s="136">
        <f t="shared" si="33"/>
        <v>1.5</v>
      </c>
      <c r="AA176" s="136">
        <f t="shared" si="33"/>
        <v>1.5</v>
      </c>
      <c r="AB176" s="136">
        <f t="shared" si="33"/>
        <v>1.5</v>
      </c>
      <c r="AC176" s="136">
        <f t="shared" si="33"/>
        <v>1.5</v>
      </c>
      <c r="AD176" s="136">
        <f t="shared" si="33"/>
        <v>1.5</v>
      </c>
      <c r="AE176" s="136">
        <f t="shared" si="33"/>
        <v>1.5</v>
      </c>
      <c r="AF176" s="136">
        <f t="shared" si="33"/>
        <v>1.5</v>
      </c>
      <c r="AG176" s="145">
        <v>1.5</v>
      </c>
      <c r="AH176" s="52"/>
      <c r="AI176" s="53"/>
      <c r="AK176" s="54"/>
    </row>
    <row r="177" spans="1:37" x14ac:dyDescent="0.25">
      <c r="A177" s="122" t="s">
        <v>181</v>
      </c>
      <c r="B177" s="136">
        <v>0.3</v>
      </c>
      <c r="C177" s="136">
        <f t="shared" si="32"/>
        <v>0.3</v>
      </c>
      <c r="D177" s="136">
        <f t="shared" si="32"/>
        <v>0.3</v>
      </c>
      <c r="E177" s="136">
        <f t="shared" si="32"/>
        <v>0.3</v>
      </c>
      <c r="F177" s="136">
        <f t="shared" si="32"/>
        <v>0.3</v>
      </c>
      <c r="G177" s="136">
        <f t="shared" si="32"/>
        <v>0.3</v>
      </c>
      <c r="H177" s="136">
        <f t="shared" si="32"/>
        <v>0.3</v>
      </c>
      <c r="I177" s="136">
        <f t="shared" si="32"/>
        <v>0.3</v>
      </c>
      <c r="J177" s="136">
        <f t="shared" si="32"/>
        <v>0.3</v>
      </c>
      <c r="K177" s="136">
        <f t="shared" si="32"/>
        <v>0.3</v>
      </c>
      <c r="L177" s="136">
        <f t="shared" si="32"/>
        <v>0.3</v>
      </c>
      <c r="M177" s="136">
        <f t="shared" si="32"/>
        <v>0.3</v>
      </c>
      <c r="N177" s="136">
        <f t="shared" si="32"/>
        <v>0.3</v>
      </c>
      <c r="O177" s="136">
        <f t="shared" si="32"/>
        <v>0.3</v>
      </c>
      <c r="P177" s="136">
        <f t="shared" si="32"/>
        <v>0.3</v>
      </c>
      <c r="Q177" s="136">
        <f t="shared" si="32"/>
        <v>0.3</v>
      </c>
      <c r="R177" s="136">
        <f t="shared" si="32"/>
        <v>0.3</v>
      </c>
      <c r="S177" s="136">
        <f t="shared" si="33"/>
        <v>0.3</v>
      </c>
      <c r="T177" s="136">
        <f t="shared" si="33"/>
        <v>0.3</v>
      </c>
      <c r="U177" s="136">
        <f t="shared" si="33"/>
        <v>0.3</v>
      </c>
      <c r="V177" s="136">
        <f t="shared" si="33"/>
        <v>0.3</v>
      </c>
      <c r="W177" s="136">
        <f t="shared" si="33"/>
        <v>0.3</v>
      </c>
      <c r="X177" s="136">
        <f t="shared" si="33"/>
        <v>0.3</v>
      </c>
      <c r="Y177" s="136">
        <f t="shared" si="33"/>
        <v>0.3</v>
      </c>
      <c r="Z177" s="136">
        <f t="shared" si="33"/>
        <v>0.3</v>
      </c>
      <c r="AA177" s="136">
        <f t="shared" si="33"/>
        <v>0.3</v>
      </c>
      <c r="AB177" s="136">
        <f t="shared" si="33"/>
        <v>0.3</v>
      </c>
      <c r="AC177" s="136">
        <f t="shared" si="33"/>
        <v>0.3</v>
      </c>
      <c r="AD177" s="136">
        <f t="shared" si="33"/>
        <v>0.3</v>
      </c>
      <c r="AE177" s="136">
        <f t="shared" si="33"/>
        <v>0.3</v>
      </c>
      <c r="AF177" s="136">
        <f t="shared" si="33"/>
        <v>0.3</v>
      </c>
      <c r="AG177" s="145">
        <v>1</v>
      </c>
      <c r="AH177" s="52"/>
      <c r="AI177" s="53"/>
      <c r="AK177" s="54"/>
    </row>
    <row r="178" spans="1:37" x14ac:dyDescent="0.25">
      <c r="A178" s="122" t="s">
        <v>182</v>
      </c>
      <c r="B178" s="136">
        <v>0.4</v>
      </c>
      <c r="C178" s="136">
        <f t="shared" si="32"/>
        <v>0.4</v>
      </c>
      <c r="D178" s="136">
        <f t="shared" si="32"/>
        <v>0.4</v>
      </c>
      <c r="E178" s="136">
        <f t="shared" si="32"/>
        <v>0.4</v>
      </c>
      <c r="F178" s="136">
        <f t="shared" si="32"/>
        <v>0.4</v>
      </c>
      <c r="G178" s="136">
        <f t="shared" si="32"/>
        <v>0.4</v>
      </c>
      <c r="H178" s="136">
        <f t="shared" si="32"/>
        <v>0.4</v>
      </c>
      <c r="I178" s="136">
        <f t="shared" si="32"/>
        <v>0.4</v>
      </c>
      <c r="J178" s="136">
        <f t="shared" si="32"/>
        <v>0.4</v>
      </c>
      <c r="K178" s="136">
        <f t="shared" si="32"/>
        <v>0.4</v>
      </c>
      <c r="L178" s="136">
        <f t="shared" si="32"/>
        <v>0.4</v>
      </c>
      <c r="M178" s="136">
        <f t="shared" si="32"/>
        <v>0.4</v>
      </c>
      <c r="N178" s="136">
        <f t="shared" si="32"/>
        <v>0.4</v>
      </c>
      <c r="O178" s="136">
        <f t="shared" si="32"/>
        <v>0.4</v>
      </c>
      <c r="P178" s="136">
        <f t="shared" si="32"/>
        <v>0.4</v>
      </c>
      <c r="Q178" s="136">
        <f t="shared" si="32"/>
        <v>0.4</v>
      </c>
      <c r="R178" s="136">
        <f t="shared" si="32"/>
        <v>0.4</v>
      </c>
      <c r="S178" s="136">
        <f t="shared" si="33"/>
        <v>0.4</v>
      </c>
      <c r="T178" s="136">
        <f t="shared" si="33"/>
        <v>0.4</v>
      </c>
      <c r="U178" s="136">
        <f t="shared" si="33"/>
        <v>0.4</v>
      </c>
      <c r="V178" s="136">
        <f t="shared" si="33"/>
        <v>0.4</v>
      </c>
      <c r="W178" s="136">
        <f t="shared" si="33"/>
        <v>0.4</v>
      </c>
      <c r="X178" s="136">
        <f t="shared" si="33"/>
        <v>0.4</v>
      </c>
      <c r="Y178" s="136">
        <f t="shared" si="33"/>
        <v>0.4</v>
      </c>
      <c r="Z178" s="136">
        <f t="shared" si="33"/>
        <v>0.4</v>
      </c>
      <c r="AA178" s="136">
        <f t="shared" si="33"/>
        <v>0.4</v>
      </c>
      <c r="AB178" s="136">
        <f t="shared" si="33"/>
        <v>0.4</v>
      </c>
      <c r="AC178" s="136">
        <f t="shared" si="33"/>
        <v>0.4</v>
      </c>
      <c r="AD178" s="136">
        <f t="shared" si="33"/>
        <v>0.4</v>
      </c>
      <c r="AE178" s="136">
        <f t="shared" si="33"/>
        <v>0.4</v>
      </c>
      <c r="AF178" s="136">
        <f t="shared" si="33"/>
        <v>0.4</v>
      </c>
      <c r="AG178" s="145">
        <v>1</v>
      </c>
      <c r="AH178" s="52"/>
      <c r="AI178" s="53"/>
      <c r="AK178" s="54"/>
    </row>
    <row r="179" spans="1:37" ht="15.75" thickBot="1" x14ac:dyDescent="0.3">
      <c r="A179" s="124" t="s">
        <v>183</v>
      </c>
      <c r="B179" s="146">
        <v>0.64</v>
      </c>
      <c r="C179" s="146">
        <f t="shared" si="32"/>
        <v>0.64</v>
      </c>
      <c r="D179" s="146">
        <f t="shared" si="32"/>
        <v>0.64</v>
      </c>
      <c r="E179" s="146">
        <f t="shared" si="32"/>
        <v>0.64</v>
      </c>
      <c r="F179" s="146">
        <f t="shared" si="32"/>
        <v>0.64</v>
      </c>
      <c r="G179" s="146">
        <f t="shared" si="32"/>
        <v>0.64</v>
      </c>
      <c r="H179" s="146">
        <f t="shared" si="32"/>
        <v>0.64</v>
      </c>
      <c r="I179" s="146">
        <f t="shared" si="32"/>
        <v>0.64</v>
      </c>
      <c r="J179" s="146">
        <f t="shared" si="32"/>
        <v>0.64</v>
      </c>
      <c r="K179" s="146">
        <f t="shared" si="32"/>
        <v>0.64</v>
      </c>
      <c r="L179" s="146">
        <f t="shared" si="32"/>
        <v>0.64</v>
      </c>
      <c r="M179" s="146">
        <f t="shared" si="32"/>
        <v>0.64</v>
      </c>
      <c r="N179" s="146">
        <f t="shared" si="32"/>
        <v>0.64</v>
      </c>
      <c r="O179" s="146">
        <f t="shared" si="32"/>
        <v>0.64</v>
      </c>
      <c r="P179" s="146">
        <f t="shared" si="32"/>
        <v>0.64</v>
      </c>
      <c r="Q179" s="146">
        <f t="shared" si="32"/>
        <v>0.64</v>
      </c>
      <c r="R179" s="146">
        <f t="shared" si="32"/>
        <v>0.64</v>
      </c>
      <c r="S179" s="146">
        <f t="shared" si="33"/>
        <v>0.64</v>
      </c>
      <c r="T179" s="146">
        <f t="shared" si="33"/>
        <v>0.64</v>
      </c>
      <c r="U179" s="146">
        <f t="shared" si="33"/>
        <v>0.64</v>
      </c>
      <c r="V179" s="146">
        <f t="shared" si="33"/>
        <v>0.64</v>
      </c>
      <c r="W179" s="146">
        <f t="shared" si="33"/>
        <v>0.64</v>
      </c>
      <c r="X179" s="146">
        <f t="shared" si="33"/>
        <v>0.64</v>
      </c>
      <c r="Y179" s="146">
        <f t="shared" si="33"/>
        <v>0.64</v>
      </c>
      <c r="Z179" s="146">
        <f t="shared" si="33"/>
        <v>0.64</v>
      </c>
      <c r="AA179" s="146">
        <f t="shared" si="33"/>
        <v>0.64</v>
      </c>
      <c r="AB179" s="146">
        <f t="shared" si="33"/>
        <v>0.64</v>
      </c>
      <c r="AC179" s="146">
        <f t="shared" si="33"/>
        <v>0.64</v>
      </c>
      <c r="AD179" s="146">
        <f t="shared" si="33"/>
        <v>0.64</v>
      </c>
      <c r="AE179" s="146">
        <f t="shared" si="33"/>
        <v>0.64</v>
      </c>
      <c r="AF179" s="146">
        <f t="shared" si="33"/>
        <v>0.64</v>
      </c>
      <c r="AG179" s="147">
        <v>0.66</v>
      </c>
      <c r="AH179" s="52"/>
      <c r="AI179" s="53"/>
      <c r="AK179" s="54"/>
    </row>
    <row r="180" spans="1:37" ht="15.75" thickBot="1" x14ac:dyDescent="0.3">
      <c r="A180" s="148" t="s">
        <v>49</v>
      </c>
      <c r="B180" s="149">
        <f>SUM(B174:B179)</f>
        <v>3.54</v>
      </c>
      <c r="C180" s="149">
        <f t="shared" ref="C180:K180" si="34">SUM(C174:C179)</f>
        <v>3.54</v>
      </c>
      <c r="D180" s="149">
        <f t="shared" si="34"/>
        <v>3.54</v>
      </c>
      <c r="E180" s="149">
        <f t="shared" si="34"/>
        <v>3.54</v>
      </c>
      <c r="F180" s="149">
        <f t="shared" si="34"/>
        <v>3.54</v>
      </c>
      <c r="G180" s="149">
        <f t="shared" si="34"/>
        <v>3.54</v>
      </c>
      <c r="H180" s="149">
        <f t="shared" si="34"/>
        <v>3.54</v>
      </c>
      <c r="I180" s="149">
        <f t="shared" si="34"/>
        <v>3.54</v>
      </c>
      <c r="J180" s="149">
        <f t="shared" si="34"/>
        <v>3.54</v>
      </c>
      <c r="K180" s="149">
        <f t="shared" si="34"/>
        <v>3.54</v>
      </c>
      <c r="L180" s="149">
        <f>SUM(L174:L179)</f>
        <v>3.54</v>
      </c>
      <c r="M180" s="149">
        <f t="shared" ref="M180:R180" si="35">SUM(M174:M179)</f>
        <v>3.54</v>
      </c>
      <c r="N180" s="149">
        <f t="shared" si="35"/>
        <v>3.54</v>
      </c>
      <c r="O180" s="149">
        <f t="shared" si="35"/>
        <v>3.54</v>
      </c>
      <c r="P180" s="149">
        <f t="shared" si="35"/>
        <v>3.54</v>
      </c>
      <c r="Q180" s="149">
        <f t="shared" si="35"/>
        <v>3.54</v>
      </c>
      <c r="R180" s="149">
        <f t="shared" si="35"/>
        <v>3.54</v>
      </c>
      <c r="S180" s="149">
        <f>SUM(S174:S179)</f>
        <v>3.54</v>
      </c>
      <c r="T180" s="149">
        <f t="shared" ref="T180:AG180" si="36">SUM(T174:T179)</f>
        <v>3.54</v>
      </c>
      <c r="U180" s="149">
        <f t="shared" si="36"/>
        <v>3.54</v>
      </c>
      <c r="V180" s="149">
        <f t="shared" si="36"/>
        <v>3.54</v>
      </c>
      <c r="W180" s="149">
        <f t="shared" si="36"/>
        <v>3.54</v>
      </c>
      <c r="X180" s="149">
        <f t="shared" si="36"/>
        <v>3.54</v>
      </c>
      <c r="Y180" s="149">
        <f t="shared" si="36"/>
        <v>3.54</v>
      </c>
      <c r="Z180" s="149">
        <f t="shared" si="36"/>
        <v>3.54</v>
      </c>
      <c r="AA180" s="149">
        <f t="shared" si="36"/>
        <v>3.54</v>
      </c>
      <c r="AB180" s="149">
        <f t="shared" si="36"/>
        <v>3.54</v>
      </c>
      <c r="AC180" s="149">
        <f t="shared" si="36"/>
        <v>3.54</v>
      </c>
      <c r="AD180" s="149">
        <f t="shared" si="36"/>
        <v>3.54</v>
      </c>
      <c r="AE180" s="149">
        <f t="shared" si="36"/>
        <v>3.54</v>
      </c>
      <c r="AF180" s="149">
        <f t="shared" si="36"/>
        <v>3.54</v>
      </c>
      <c r="AG180" s="150">
        <f t="shared" si="36"/>
        <v>8.56</v>
      </c>
      <c r="AH180" s="52"/>
      <c r="AI180" s="53"/>
    </row>
    <row r="181" spans="1:37" ht="15.75" thickBot="1" x14ac:dyDescent="0.3"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111"/>
      <c r="AH181" s="46"/>
    </row>
    <row r="182" spans="1:37" x14ac:dyDescent="0.25">
      <c r="A182" s="93" t="s">
        <v>184</v>
      </c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2"/>
      <c r="AG182" s="46"/>
      <c r="AH182" s="52"/>
      <c r="AI182" s="53"/>
    </row>
    <row r="183" spans="1:37" x14ac:dyDescent="0.25">
      <c r="A183" s="153" t="s">
        <v>185</v>
      </c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5"/>
      <c r="AG183" s="156"/>
      <c r="AH183" s="52"/>
      <c r="AI183" s="53"/>
    </row>
    <row r="184" spans="1:37" x14ac:dyDescent="0.25">
      <c r="A184" s="98" t="s">
        <v>186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37" x14ac:dyDescent="0.25">
      <c r="A185" s="98" t="s">
        <v>187</v>
      </c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8"/>
      <c r="AG185" s="156"/>
      <c r="AH185" s="52"/>
      <c r="AI185" s="53"/>
    </row>
    <row r="186" spans="1:37" ht="15.75" thickBot="1" x14ac:dyDescent="0.3">
      <c r="A186" s="159" t="s">
        <v>188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1"/>
      <c r="AG186" s="156"/>
      <c r="AH186" s="52"/>
      <c r="AI186" s="53"/>
    </row>
    <row r="187" spans="1:37" x14ac:dyDescent="0.25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37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37" x14ac:dyDescent="0.25">
      <c r="A189" s="162" t="s">
        <v>189</v>
      </c>
      <c r="B189" s="163">
        <f>MAX(F65:M65)</f>
        <v>1164.451</v>
      </c>
      <c r="C189" s="164">
        <f>INDEX(F9:M9,1,MATCH(MAX(F65:M65),F65:M65,0))</f>
        <v>0.375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37" x14ac:dyDescent="0.25"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MID(CELL("filename",C7),FIND("]",CELL("filename",C7))+1,600)</f>
        <v>28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37" x14ac:dyDescent="0.25">
      <c r="A191" s="334" t="s">
        <v>190</v>
      </c>
      <c r="B191" s="334"/>
      <c r="C191" s="46"/>
      <c r="D191" s="165" t="str">
        <f ca="1">"Pie Chart of Daily Peak Demand(Inclusive of Export) of Nepal ("&amp;A4&amp;" "&amp;C4&amp;")"</f>
        <v>Pie Chart of Daily Peak Demand(Inclusive of Export) of Nepal (Date: 2078 Jestha 28)</v>
      </c>
      <c r="E191" s="46"/>
      <c r="F191" s="46"/>
      <c r="G191" s="16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165" t="str">
        <f ca="1">"Daily Load Curve(Excluding of Export) of Nepal ("&amp;A4&amp;" "&amp;C4&amp;")"</f>
        <v>Daily Load Curve(Excluding of Export) of Nepal (Date: 2078 Jestha 28)</v>
      </c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37" ht="15.75" thickBot="1" x14ac:dyDescent="0.3">
      <c r="A192" s="166" t="s">
        <v>7</v>
      </c>
      <c r="B192" s="167"/>
      <c r="C192" s="46"/>
      <c r="D192" s="16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</row>
    <row r="193" spans="1:50" ht="12.75" customHeight="1" thickTop="1" x14ac:dyDescent="0.25">
      <c r="A193" s="166" t="s">
        <v>191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169" t="s">
        <v>192</v>
      </c>
      <c r="T193" s="170">
        <v>4.1666666666666664E-2</v>
      </c>
      <c r="U193" s="171">
        <v>8.3333333333333301E-2</v>
      </c>
      <c r="V193" s="171">
        <v>0.125</v>
      </c>
      <c r="W193" s="171">
        <v>0.16666666666666699</v>
      </c>
      <c r="X193" s="171">
        <v>0.20833333333333301</v>
      </c>
      <c r="Y193" s="171">
        <v>0.22916666666666666</v>
      </c>
      <c r="Z193" s="171">
        <v>0.25</v>
      </c>
      <c r="AA193" s="171">
        <v>0.27083333333333331</v>
      </c>
      <c r="AB193" s="171">
        <v>0.29166666666666669</v>
      </c>
      <c r="AC193" s="171">
        <v>0.3125</v>
      </c>
      <c r="AD193" s="172">
        <v>0.33333333333333331</v>
      </c>
      <c r="AE193" s="172">
        <v>0.375</v>
      </c>
      <c r="AF193" s="172">
        <v>0.41666666666666702</v>
      </c>
      <c r="AG193" s="172">
        <v>0.45833333333333298</v>
      </c>
      <c r="AH193" s="172">
        <v>0.5</v>
      </c>
      <c r="AI193" s="172">
        <v>0.54166666666666696</v>
      </c>
      <c r="AJ193" s="172">
        <v>0.58333333333333304</v>
      </c>
      <c r="AK193" s="172">
        <v>0.625</v>
      </c>
      <c r="AL193" s="172">
        <v>0.66666666666666696</v>
      </c>
      <c r="AM193" s="172">
        <v>0.70833333333333304</v>
      </c>
      <c r="AN193" s="172">
        <v>0.72916666666666663</v>
      </c>
      <c r="AO193" s="172">
        <v>0.75</v>
      </c>
      <c r="AP193" s="172">
        <v>0.77083333333333337</v>
      </c>
      <c r="AQ193" s="172">
        <v>0.79166666666666663</v>
      </c>
      <c r="AR193" s="172">
        <v>0.8125</v>
      </c>
      <c r="AS193" s="171">
        <v>0.83333333333333337</v>
      </c>
      <c r="AT193" s="171">
        <v>0.85416666666666663</v>
      </c>
      <c r="AU193" s="171">
        <v>0.875</v>
      </c>
      <c r="AV193" s="171">
        <v>0.91666666666666696</v>
      </c>
      <c r="AW193" s="171">
        <v>0.95833333333333304</v>
      </c>
      <c r="AX193" s="171">
        <v>1</v>
      </c>
    </row>
    <row r="194" spans="1:50" x14ac:dyDescent="0.25">
      <c r="A194" s="166" t="s">
        <v>193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 t="s">
        <v>194</v>
      </c>
      <c r="T194" s="173">
        <f t="shared" ref="T194:AX194" si="37">B65</f>
        <v>1125.6400000000001</v>
      </c>
      <c r="U194" s="173">
        <f t="shared" si="37"/>
        <v>1140.24</v>
      </c>
      <c r="V194" s="173">
        <f t="shared" si="37"/>
        <v>1119.54</v>
      </c>
      <c r="W194" s="173">
        <f t="shared" si="37"/>
        <v>1107.1100000000001</v>
      </c>
      <c r="X194" s="173">
        <f t="shared" si="37"/>
        <v>1092.04</v>
      </c>
      <c r="Y194" s="173">
        <f t="shared" si="37"/>
        <v>1072.2400000000002</v>
      </c>
      <c r="Z194" s="173">
        <f t="shared" si="37"/>
        <v>1091.54</v>
      </c>
      <c r="AA194" s="173">
        <f t="shared" si="37"/>
        <v>1126.44</v>
      </c>
      <c r="AB194" s="173">
        <f t="shared" si="37"/>
        <v>1121.94</v>
      </c>
      <c r="AC194" s="173">
        <f t="shared" si="37"/>
        <v>1149.5400000000002</v>
      </c>
      <c r="AD194" s="173">
        <f t="shared" si="37"/>
        <v>1158.0610000000001</v>
      </c>
      <c r="AE194" s="173">
        <f t="shared" si="37"/>
        <v>1164.451</v>
      </c>
      <c r="AF194" s="173">
        <f t="shared" si="37"/>
        <v>1168.1400000000001</v>
      </c>
      <c r="AG194" s="173">
        <f t="shared" si="37"/>
        <v>1171.54</v>
      </c>
      <c r="AH194" s="173">
        <f t="shared" si="37"/>
        <v>1170.54</v>
      </c>
      <c r="AI194" s="173">
        <f t="shared" si="37"/>
        <v>1104.3400000000001</v>
      </c>
      <c r="AJ194" s="173">
        <f t="shared" si="37"/>
        <v>1054.54</v>
      </c>
      <c r="AK194" s="173">
        <f t="shared" si="37"/>
        <v>1035.44</v>
      </c>
      <c r="AL194" s="173">
        <f t="shared" si="37"/>
        <v>952.54000000000008</v>
      </c>
      <c r="AM194" s="173">
        <f t="shared" si="37"/>
        <v>926.04000000000008</v>
      </c>
      <c r="AN194" s="173">
        <f t="shared" si="37"/>
        <v>909.24</v>
      </c>
      <c r="AO194" s="173">
        <f t="shared" si="37"/>
        <v>901.3900000000001</v>
      </c>
      <c r="AP194" s="173">
        <f t="shared" si="37"/>
        <v>918.77</v>
      </c>
      <c r="AQ194" s="173">
        <f t="shared" si="37"/>
        <v>971.6400000000001</v>
      </c>
      <c r="AR194" s="173">
        <f t="shared" si="37"/>
        <v>1061.02</v>
      </c>
      <c r="AS194" s="173">
        <f t="shared" si="37"/>
        <v>1177.78</v>
      </c>
      <c r="AT194" s="173">
        <f t="shared" si="37"/>
        <v>1179.1400000000001</v>
      </c>
      <c r="AU194" s="173">
        <f t="shared" si="37"/>
        <v>1168.44</v>
      </c>
      <c r="AV194" s="173">
        <f t="shared" si="37"/>
        <v>1107.6400000000001</v>
      </c>
      <c r="AW194" s="173">
        <f t="shared" si="37"/>
        <v>1039.74</v>
      </c>
      <c r="AX194" s="173">
        <f t="shared" si="37"/>
        <v>1029.6400000000001</v>
      </c>
    </row>
    <row r="195" spans="1:50" x14ac:dyDescent="0.25">
      <c r="A195" s="166" t="s">
        <v>195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196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197</v>
      </c>
      <c r="B197" s="16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198</v>
      </c>
      <c r="B198" s="174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A199" s="166" t="s">
        <v>199</v>
      </c>
      <c r="B199" s="16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</row>
    <row r="215" spans="1:34" x14ac:dyDescent="0.25">
      <c r="A215" s="175" t="s">
        <v>184</v>
      </c>
      <c r="B215" s="176">
        <f t="shared" ref="B215:AF215" si="38">B179</f>
        <v>0.64</v>
      </c>
      <c r="C215" s="176">
        <f t="shared" si="38"/>
        <v>0.64</v>
      </c>
      <c r="D215" s="176">
        <f t="shared" si="38"/>
        <v>0.64</v>
      </c>
      <c r="E215" s="176">
        <f t="shared" si="38"/>
        <v>0.64</v>
      </c>
      <c r="F215" s="176">
        <f t="shared" si="38"/>
        <v>0.64</v>
      </c>
      <c r="G215" s="176">
        <f t="shared" si="38"/>
        <v>0.64</v>
      </c>
      <c r="H215" s="176">
        <f t="shared" si="38"/>
        <v>0.64</v>
      </c>
      <c r="I215" s="176">
        <f t="shared" si="38"/>
        <v>0.64</v>
      </c>
      <c r="J215" s="176">
        <f t="shared" si="38"/>
        <v>0.64</v>
      </c>
      <c r="K215" s="176">
        <f t="shared" si="38"/>
        <v>0.64</v>
      </c>
      <c r="L215" s="176">
        <f t="shared" si="38"/>
        <v>0.64</v>
      </c>
      <c r="M215" s="176">
        <f t="shared" si="38"/>
        <v>0.64</v>
      </c>
      <c r="N215" s="176">
        <f t="shared" si="38"/>
        <v>0.64</v>
      </c>
      <c r="O215" s="176">
        <f t="shared" si="38"/>
        <v>0.64</v>
      </c>
      <c r="P215" s="176">
        <f t="shared" si="38"/>
        <v>0.64</v>
      </c>
      <c r="Q215" s="176">
        <f t="shared" si="38"/>
        <v>0.64</v>
      </c>
      <c r="R215" s="176">
        <f t="shared" si="38"/>
        <v>0.64</v>
      </c>
      <c r="S215" s="176">
        <f t="shared" si="38"/>
        <v>0.64</v>
      </c>
      <c r="T215" s="176">
        <f t="shared" si="38"/>
        <v>0.64</v>
      </c>
      <c r="U215" s="176">
        <f t="shared" si="38"/>
        <v>0.64</v>
      </c>
      <c r="V215" s="176">
        <f t="shared" si="38"/>
        <v>0.64</v>
      </c>
      <c r="W215" s="176">
        <f t="shared" si="38"/>
        <v>0.64</v>
      </c>
      <c r="X215" s="176">
        <f t="shared" si="38"/>
        <v>0.64</v>
      </c>
      <c r="Y215" s="176">
        <f t="shared" si="38"/>
        <v>0.64</v>
      </c>
      <c r="Z215" s="176">
        <f t="shared" si="38"/>
        <v>0.64</v>
      </c>
      <c r="AA215" s="176">
        <f t="shared" si="38"/>
        <v>0.64</v>
      </c>
      <c r="AB215" s="176">
        <f t="shared" si="38"/>
        <v>0.64</v>
      </c>
      <c r="AC215" s="176">
        <f t="shared" si="38"/>
        <v>0.64</v>
      </c>
      <c r="AD215" s="176">
        <f t="shared" si="38"/>
        <v>0.64</v>
      </c>
      <c r="AE215" s="176">
        <f t="shared" si="38"/>
        <v>0.64</v>
      </c>
      <c r="AF215" s="176">
        <f t="shared" si="38"/>
        <v>0.64</v>
      </c>
      <c r="AG215" s="46"/>
      <c r="AH215" s="46"/>
    </row>
    <row r="216" spans="1:34" x14ac:dyDescent="0.25">
      <c r="A216" s="120" t="str">
        <f>A183</f>
        <v>KGA</v>
      </c>
      <c r="B216" s="120" t="str">
        <f>IF(B183&lt;100,"",B183-520)</f>
        <v/>
      </c>
      <c r="C216" s="120" t="str">
        <f t="shared" ref="C216:AF216" si="39">IF(C183&lt;100,"",C183-520)</f>
        <v/>
      </c>
      <c r="D216" s="120" t="str">
        <f t="shared" si="39"/>
        <v/>
      </c>
      <c r="E216" s="120" t="str">
        <f t="shared" si="39"/>
        <v/>
      </c>
      <c r="F216" s="120" t="str">
        <f t="shared" si="39"/>
        <v/>
      </c>
      <c r="G216" s="120" t="str">
        <f t="shared" si="39"/>
        <v/>
      </c>
      <c r="H216" s="120" t="str">
        <f t="shared" si="39"/>
        <v/>
      </c>
      <c r="I216" s="120" t="str">
        <f t="shared" si="39"/>
        <v/>
      </c>
      <c r="J216" s="120" t="str">
        <f t="shared" si="39"/>
        <v/>
      </c>
      <c r="K216" s="120" t="str">
        <f t="shared" si="39"/>
        <v/>
      </c>
      <c r="L216" s="120" t="str">
        <f t="shared" si="39"/>
        <v/>
      </c>
      <c r="M216" s="120" t="str">
        <f t="shared" si="39"/>
        <v/>
      </c>
      <c r="N216" s="120" t="str">
        <f t="shared" si="39"/>
        <v/>
      </c>
      <c r="O216" s="120" t="str">
        <f t="shared" si="39"/>
        <v/>
      </c>
      <c r="P216" s="120" t="str">
        <f t="shared" si="39"/>
        <v/>
      </c>
      <c r="Q216" s="120" t="str">
        <f t="shared" si="39"/>
        <v/>
      </c>
      <c r="R216" s="120" t="str">
        <f t="shared" si="39"/>
        <v/>
      </c>
      <c r="S216" s="120" t="str">
        <f t="shared" si="39"/>
        <v/>
      </c>
      <c r="T216" s="120" t="str">
        <f t="shared" si="39"/>
        <v/>
      </c>
      <c r="U216" s="120" t="str">
        <f t="shared" si="39"/>
        <v/>
      </c>
      <c r="V216" s="120" t="str">
        <f t="shared" si="39"/>
        <v/>
      </c>
      <c r="W216" s="120" t="str">
        <f t="shared" si="39"/>
        <v/>
      </c>
      <c r="X216" s="120" t="str">
        <f t="shared" si="39"/>
        <v/>
      </c>
      <c r="Y216" s="120" t="str">
        <f t="shared" si="39"/>
        <v/>
      </c>
      <c r="Z216" s="120" t="str">
        <f t="shared" si="39"/>
        <v/>
      </c>
      <c r="AA216" s="120" t="str">
        <f t="shared" si="39"/>
        <v/>
      </c>
      <c r="AB216" s="120" t="str">
        <f t="shared" si="39"/>
        <v/>
      </c>
      <c r="AC216" s="120" t="str">
        <f t="shared" si="39"/>
        <v/>
      </c>
      <c r="AD216" s="120" t="str">
        <f t="shared" si="39"/>
        <v/>
      </c>
      <c r="AE216" s="120" t="str">
        <f t="shared" si="39"/>
        <v/>
      </c>
      <c r="AF216" s="120" t="str">
        <f t="shared" si="39"/>
        <v/>
      </c>
      <c r="AG216" s="46"/>
      <c r="AH216" s="46"/>
    </row>
    <row r="217" spans="1:34" x14ac:dyDescent="0.25">
      <c r="A217" s="120" t="str">
        <f>A184</f>
        <v>MMRS</v>
      </c>
      <c r="B217" s="120" t="str">
        <f t="shared" ref="B217:AF217" si="40">IF(B184&lt;100,"",B184-620)</f>
        <v/>
      </c>
      <c r="C217" s="120" t="str">
        <f t="shared" si="40"/>
        <v/>
      </c>
      <c r="D217" s="120" t="str">
        <f t="shared" si="40"/>
        <v/>
      </c>
      <c r="E217" s="120" t="str">
        <f t="shared" si="40"/>
        <v/>
      </c>
      <c r="F217" s="120" t="str">
        <f t="shared" si="40"/>
        <v/>
      </c>
      <c r="G217" s="120" t="str">
        <f t="shared" si="40"/>
        <v/>
      </c>
      <c r="H217" s="120" t="str">
        <f t="shared" si="40"/>
        <v/>
      </c>
      <c r="I217" s="120" t="str">
        <f t="shared" si="40"/>
        <v/>
      </c>
      <c r="J217" s="120" t="str">
        <f t="shared" si="40"/>
        <v/>
      </c>
      <c r="K217" s="120" t="str">
        <f t="shared" si="40"/>
        <v/>
      </c>
      <c r="L217" s="120" t="str">
        <f t="shared" si="40"/>
        <v/>
      </c>
      <c r="M217" s="120" t="str">
        <f t="shared" si="40"/>
        <v/>
      </c>
      <c r="N217" s="120" t="str">
        <f t="shared" si="40"/>
        <v/>
      </c>
      <c r="O217" s="120" t="str">
        <f t="shared" si="40"/>
        <v/>
      </c>
      <c r="P217" s="120" t="str">
        <f t="shared" si="40"/>
        <v/>
      </c>
      <c r="Q217" s="120" t="str">
        <f t="shared" si="40"/>
        <v/>
      </c>
      <c r="R217" s="120" t="str">
        <f t="shared" si="40"/>
        <v/>
      </c>
      <c r="S217" s="120" t="str">
        <f t="shared" si="40"/>
        <v/>
      </c>
      <c r="T217" s="120" t="str">
        <f t="shared" si="40"/>
        <v/>
      </c>
      <c r="U217" s="120" t="str">
        <f t="shared" si="40"/>
        <v/>
      </c>
      <c r="V217" s="120" t="str">
        <f t="shared" si="40"/>
        <v/>
      </c>
      <c r="W217" s="120" t="str">
        <f t="shared" si="40"/>
        <v/>
      </c>
      <c r="X217" s="120" t="str">
        <f t="shared" si="40"/>
        <v/>
      </c>
      <c r="Y217" s="120" t="str">
        <f t="shared" si="40"/>
        <v/>
      </c>
      <c r="Z217" s="120" t="str">
        <f t="shared" si="40"/>
        <v/>
      </c>
      <c r="AA217" s="120" t="str">
        <f t="shared" si="40"/>
        <v/>
      </c>
      <c r="AB217" s="120" t="str">
        <f t="shared" si="40"/>
        <v/>
      </c>
      <c r="AC217" s="120" t="str">
        <f t="shared" si="40"/>
        <v/>
      </c>
      <c r="AD217" s="120" t="str">
        <f t="shared" si="40"/>
        <v/>
      </c>
      <c r="AE217" s="120" t="str">
        <f t="shared" si="40"/>
        <v/>
      </c>
      <c r="AF217" s="120" t="str">
        <f t="shared" si="40"/>
        <v/>
      </c>
      <c r="AG217" s="46"/>
      <c r="AH217" s="46"/>
    </row>
    <row r="218" spans="1:34" x14ac:dyDescent="0.25">
      <c r="A218" s="120" t="str">
        <f>A185</f>
        <v>MRS</v>
      </c>
      <c r="B218" s="120" t="str">
        <f t="shared" ref="B218:AF218" si="41">IF(B185&lt;100,"",B185-330)</f>
        <v/>
      </c>
      <c r="C218" s="120" t="str">
        <f t="shared" si="41"/>
        <v/>
      </c>
      <c r="D218" s="120" t="str">
        <f t="shared" si="41"/>
        <v/>
      </c>
      <c r="E218" s="120" t="str">
        <f t="shared" si="41"/>
        <v/>
      </c>
      <c r="F218" s="120" t="str">
        <f t="shared" si="41"/>
        <v/>
      </c>
      <c r="G218" s="120" t="str">
        <f t="shared" si="41"/>
        <v/>
      </c>
      <c r="H218" s="120" t="str">
        <f t="shared" si="41"/>
        <v/>
      </c>
      <c r="I218" s="120" t="str">
        <f t="shared" si="41"/>
        <v/>
      </c>
      <c r="J218" s="120" t="str">
        <f t="shared" si="41"/>
        <v/>
      </c>
      <c r="K218" s="120" t="str">
        <f t="shared" si="41"/>
        <v/>
      </c>
      <c r="L218" s="120" t="str">
        <f t="shared" si="41"/>
        <v/>
      </c>
      <c r="M218" s="120" t="str">
        <f t="shared" si="41"/>
        <v/>
      </c>
      <c r="N218" s="120" t="str">
        <f t="shared" si="41"/>
        <v/>
      </c>
      <c r="O218" s="120" t="str">
        <f t="shared" si="41"/>
        <v/>
      </c>
      <c r="P218" s="120" t="str">
        <f t="shared" si="41"/>
        <v/>
      </c>
      <c r="Q218" s="120" t="str">
        <f t="shared" si="41"/>
        <v/>
      </c>
      <c r="R218" s="120" t="str">
        <f t="shared" si="41"/>
        <v/>
      </c>
      <c r="S218" s="120" t="str">
        <f t="shared" si="41"/>
        <v/>
      </c>
      <c r="T218" s="120" t="str">
        <f t="shared" si="41"/>
        <v/>
      </c>
      <c r="U218" s="120" t="str">
        <f t="shared" si="41"/>
        <v/>
      </c>
      <c r="V218" s="120" t="str">
        <f t="shared" si="41"/>
        <v/>
      </c>
      <c r="W218" s="120" t="str">
        <f t="shared" si="41"/>
        <v/>
      </c>
      <c r="X218" s="120" t="str">
        <f t="shared" si="41"/>
        <v/>
      </c>
      <c r="Y218" s="120" t="str">
        <f t="shared" si="41"/>
        <v/>
      </c>
      <c r="Z218" s="120" t="str">
        <f t="shared" si="41"/>
        <v/>
      </c>
      <c r="AA218" s="120" t="str">
        <f t="shared" si="41"/>
        <v/>
      </c>
      <c r="AB218" s="120" t="str">
        <f t="shared" si="41"/>
        <v/>
      </c>
      <c r="AC218" s="120" t="str">
        <f t="shared" si="41"/>
        <v/>
      </c>
      <c r="AD218" s="120" t="str">
        <f t="shared" si="41"/>
        <v/>
      </c>
      <c r="AE218" s="120" t="str">
        <f t="shared" si="41"/>
        <v/>
      </c>
      <c r="AF218" s="120" t="str">
        <f t="shared" si="41"/>
        <v/>
      </c>
      <c r="AG218" s="46"/>
      <c r="AH218" s="46"/>
    </row>
    <row r="219" spans="1:34" x14ac:dyDescent="0.25">
      <c r="A219" s="120" t="str">
        <f>A186</f>
        <v>KL 1</v>
      </c>
      <c r="B219" s="120" t="str">
        <f>IF(B186&lt;100,"",B186-1500)</f>
        <v/>
      </c>
      <c r="C219" s="120" t="str">
        <f t="shared" ref="C219:AF219" si="42">IF(C186&lt;100,"",C186-1500)</f>
        <v/>
      </c>
      <c r="D219" s="120" t="str">
        <f t="shared" si="42"/>
        <v/>
      </c>
      <c r="E219" s="120" t="str">
        <f t="shared" si="42"/>
        <v/>
      </c>
      <c r="F219" s="120" t="str">
        <f t="shared" si="42"/>
        <v/>
      </c>
      <c r="G219" s="120" t="str">
        <f t="shared" si="42"/>
        <v/>
      </c>
      <c r="H219" s="120" t="str">
        <f t="shared" si="42"/>
        <v/>
      </c>
      <c r="I219" s="120" t="str">
        <f t="shared" si="42"/>
        <v/>
      </c>
      <c r="J219" s="120" t="str">
        <f t="shared" si="42"/>
        <v/>
      </c>
      <c r="K219" s="120" t="str">
        <f t="shared" si="42"/>
        <v/>
      </c>
      <c r="L219" s="120" t="str">
        <f t="shared" si="42"/>
        <v/>
      </c>
      <c r="M219" s="120" t="str">
        <f t="shared" si="42"/>
        <v/>
      </c>
      <c r="N219" s="120" t="str">
        <f t="shared" si="42"/>
        <v/>
      </c>
      <c r="O219" s="120" t="str">
        <f t="shared" si="42"/>
        <v/>
      </c>
      <c r="P219" s="120" t="str">
        <f t="shared" si="42"/>
        <v/>
      </c>
      <c r="Q219" s="120" t="str">
        <f t="shared" si="42"/>
        <v/>
      </c>
      <c r="R219" s="120" t="str">
        <f t="shared" si="42"/>
        <v/>
      </c>
      <c r="S219" s="120" t="str">
        <f t="shared" si="42"/>
        <v/>
      </c>
      <c r="T219" s="120" t="str">
        <f t="shared" si="42"/>
        <v/>
      </c>
      <c r="U219" s="120" t="str">
        <f t="shared" si="42"/>
        <v/>
      </c>
      <c r="V219" s="120" t="str">
        <f t="shared" si="42"/>
        <v/>
      </c>
      <c r="W219" s="120" t="str">
        <f t="shared" si="42"/>
        <v/>
      </c>
      <c r="X219" s="120" t="str">
        <f t="shared" si="42"/>
        <v/>
      </c>
      <c r="Y219" s="120" t="str">
        <f t="shared" si="42"/>
        <v/>
      </c>
      <c r="Z219" s="120" t="str">
        <f t="shared" si="42"/>
        <v/>
      </c>
      <c r="AA219" s="120" t="str">
        <f t="shared" si="42"/>
        <v/>
      </c>
      <c r="AB219" s="120" t="str">
        <f t="shared" si="42"/>
        <v/>
      </c>
      <c r="AC219" s="120" t="str">
        <f t="shared" si="42"/>
        <v/>
      </c>
      <c r="AD219" s="120" t="str">
        <f t="shared" si="42"/>
        <v/>
      </c>
      <c r="AE219" s="120" t="str">
        <f t="shared" si="42"/>
        <v/>
      </c>
      <c r="AF219" s="120" t="str">
        <f t="shared" si="42"/>
        <v/>
      </c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4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</row>
    <row r="226" spans="2:34" x14ac:dyDescent="0.25"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</sheetData>
  <mergeCells count="46">
    <mergeCell ref="AG9:AG10"/>
    <mergeCell ref="A191:B19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13" priority="194">
      <formula>S$9&gt;=20/24</formula>
    </cfRule>
    <cfRule type="expression" dxfId="1012" priority="195">
      <formula>AND(S$9&gt;=14/24,S$9&lt;20/24)</formula>
    </cfRule>
    <cfRule type="expression" dxfId="1011" priority="196">
      <formula>AND(S$9&gt;=8/24,S$9&lt;14/24)</formula>
    </cfRule>
    <cfRule type="expression" dxfId="1010" priority="197">
      <formula>S$9&lt;8/24</formula>
    </cfRule>
  </conditionalFormatting>
  <conditionalFormatting sqref="B8:AF10 AA70:AF70 C70:Q70 L32:Z32 L31:Q31 C47:AF47 C71:AF71 C72:Q72 C174:AF180 L50:T50 V35:W35 S34:W34 C73:Z79 S11:T11 C59:AF69 C48:K52 X34:Z35 U11:AA12 AA72:AF79 AA32:AC35 AD34:AD35 M31:M32 N33:Z33 L33:M34 L39:Q39 L29:R29 N34:R39 L51:R58 S38:T38 L49:Z49 L44:AF46 AA48:AF50 AB34:AF34">
    <cfRule type="expression" dxfId="1009" priority="190">
      <formula>B$9&gt;=20/24</formula>
    </cfRule>
    <cfRule type="expression" dxfId="1008" priority="191">
      <formula>AND(B$9&gt;=14/24,B$9&lt;20/24)</formula>
    </cfRule>
    <cfRule type="expression" dxfId="1007" priority="192">
      <formula>AND(B$9&gt;=8/24,B$9&lt;14/24)</formula>
    </cfRule>
    <cfRule type="expression" dxfId="1006" priority="193">
      <formula>B$9&lt;8/24</formula>
    </cfRule>
  </conditionalFormatting>
  <conditionalFormatting sqref="B172:AF172">
    <cfRule type="expression" dxfId="1005" priority="186">
      <formula>B$9&gt;=20/24</formula>
    </cfRule>
    <cfRule type="expression" dxfId="1004" priority="187">
      <formula>AND(B$9&gt;=14/24,B$9&lt;20/24)</formula>
    </cfRule>
    <cfRule type="expression" dxfId="1003" priority="188">
      <formula>AND(B$9&gt;=8/24,B$9&lt;14/24)</formula>
    </cfRule>
    <cfRule type="expression" dxfId="1002" priority="189">
      <formula>B$9&lt;8/24</formula>
    </cfRule>
  </conditionalFormatting>
  <conditionalFormatting sqref="AL4:AL6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001" priority="181">
      <formula>L$9&gt;=20/24</formula>
    </cfRule>
    <cfRule type="expression" dxfId="1000" priority="182">
      <formula>AND(L$9&gt;=14/24,L$9&lt;20/24)</formula>
    </cfRule>
    <cfRule type="expression" dxfId="999" priority="183">
      <formula>AND(L$9&gt;=8/24,L$9&lt;14/24)</formula>
    </cfRule>
    <cfRule type="expression" dxfId="998" priority="184">
      <formula>L$9&lt;8/24</formula>
    </cfRule>
  </conditionalFormatting>
  <conditionalFormatting sqref="L35:M35">
    <cfRule type="expression" dxfId="997" priority="177">
      <formula>L$9&gt;=20/24</formula>
    </cfRule>
    <cfRule type="expression" dxfId="996" priority="178">
      <formula>AND(L$9&gt;=14/24,L$9&lt;20/24)</formula>
    </cfRule>
    <cfRule type="expression" dxfId="995" priority="179">
      <formula>AND(L$9&gt;=8/24,L$9&lt;14/24)</formula>
    </cfRule>
    <cfRule type="expression" dxfId="994" priority="180">
      <formula>L$9&lt;8/24</formula>
    </cfRule>
  </conditionalFormatting>
  <conditionalFormatting sqref="U13:AA13">
    <cfRule type="expression" dxfId="993" priority="173">
      <formula>U$9&gt;=20/24</formula>
    </cfRule>
    <cfRule type="expression" dxfId="992" priority="174">
      <formula>AND(U$9&gt;=14/24,U$9&lt;20/24)</formula>
    </cfRule>
    <cfRule type="expression" dxfId="991" priority="175">
      <formula>AND(U$9&gt;=8/24,U$9&lt;14/24)</formula>
    </cfRule>
    <cfRule type="expression" dxfId="990" priority="176">
      <formula>U$9&lt;8/24</formula>
    </cfRule>
  </conditionalFormatting>
  <conditionalFormatting sqref="R31:AA31">
    <cfRule type="expression" dxfId="989" priority="169">
      <formula>R$9&gt;=20/24</formula>
    </cfRule>
    <cfRule type="expression" dxfId="988" priority="170">
      <formula>AND(R$9&gt;=14/24,R$9&lt;20/24)</formula>
    </cfRule>
    <cfRule type="expression" dxfId="987" priority="171">
      <formula>AND(R$9&gt;=8/24,R$9&lt;14/24)</formula>
    </cfRule>
    <cfRule type="expression" dxfId="986" priority="172">
      <formula>R$9&lt;8/24</formula>
    </cfRule>
  </conditionalFormatting>
  <conditionalFormatting sqref="R48:Z48">
    <cfRule type="expression" dxfId="985" priority="165">
      <formula>R$9&gt;=20/24</formula>
    </cfRule>
    <cfRule type="expression" dxfId="984" priority="166">
      <formula>AND(R$9&gt;=14/24,R$9&lt;20/24)</formula>
    </cfRule>
    <cfRule type="expression" dxfId="983" priority="167">
      <formula>AND(R$9&gt;=8/24,R$9&lt;14/24)</formula>
    </cfRule>
    <cfRule type="expression" dxfId="982" priority="168">
      <formula>R$9&lt;8/24</formula>
    </cfRule>
  </conditionalFormatting>
  <conditionalFormatting sqref="R70:Z70">
    <cfRule type="expression" dxfId="981" priority="161">
      <formula>R$9&gt;=20/24</formula>
    </cfRule>
    <cfRule type="expression" dxfId="980" priority="162">
      <formula>AND(R$9&gt;=14/24,R$9&lt;20/24)</formula>
    </cfRule>
    <cfRule type="expression" dxfId="979" priority="163">
      <formula>AND(R$9&gt;=8/24,R$9&lt;14/24)</formula>
    </cfRule>
    <cfRule type="expression" dxfId="978" priority="164">
      <formula>R$9&lt;8/24</formula>
    </cfRule>
  </conditionalFormatting>
  <conditionalFormatting sqref="R72:Z72">
    <cfRule type="expression" dxfId="977" priority="157">
      <formula>R$9&gt;=20/24</formula>
    </cfRule>
    <cfRule type="expression" dxfId="976" priority="158">
      <formula>AND(R$9&gt;=14/24,R$9&lt;20/24)</formula>
    </cfRule>
    <cfRule type="expression" dxfId="975" priority="159">
      <formula>AND(R$9&gt;=8/24,R$9&lt;14/24)</formula>
    </cfRule>
    <cfRule type="expression" dxfId="974" priority="160">
      <formula>R$9&lt;8/24</formula>
    </cfRule>
  </conditionalFormatting>
  <conditionalFormatting sqref="L11:R13 L15:R16 L18:R19 L17:Q17 AA22:AF23 AA25:AF26">
    <cfRule type="expression" dxfId="973" priority="153">
      <formula>L$9&gt;=20/24</formula>
    </cfRule>
    <cfRule type="expression" dxfId="972" priority="154">
      <formula>AND(L$9&gt;=14/24,L$9&lt;20/24)</formula>
    </cfRule>
    <cfRule type="expression" dxfId="971" priority="155">
      <formula>AND(L$9&gt;=8/24,L$9&lt;14/24)</formula>
    </cfRule>
    <cfRule type="expression" dxfId="970" priority="156">
      <formula>L$9&lt;8/24</formula>
    </cfRule>
  </conditionalFormatting>
  <conditionalFormatting sqref="L40:R40">
    <cfRule type="expression" dxfId="969" priority="149">
      <formula>L$9&gt;=20/24</formula>
    </cfRule>
    <cfRule type="expression" dxfId="968" priority="150">
      <formula>AND(L$9&gt;=14/24,L$9&lt;20/24)</formula>
    </cfRule>
    <cfRule type="expression" dxfId="967" priority="151">
      <formula>AND(L$9&gt;=8/24,L$9&lt;14/24)</formula>
    </cfRule>
    <cfRule type="expression" dxfId="966" priority="152">
      <formula>L$9&lt;8/24</formula>
    </cfRule>
  </conditionalFormatting>
  <conditionalFormatting sqref="L41:R41">
    <cfRule type="expression" dxfId="965" priority="145">
      <formula>L$9&gt;=20/24</formula>
    </cfRule>
    <cfRule type="expression" dxfId="964" priority="146">
      <formula>AND(L$9&gt;=14/24,L$9&lt;20/24)</formula>
    </cfRule>
    <cfRule type="expression" dxfId="963" priority="147">
      <formula>AND(L$9&gt;=8/24,L$9&lt;14/24)</formula>
    </cfRule>
    <cfRule type="expression" dxfId="962" priority="148">
      <formula>L$9&lt;8/24</formula>
    </cfRule>
  </conditionalFormatting>
  <conditionalFormatting sqref="L36:M38 N37:R38 S38:T38">
    <cfRule type="expression" dxfId="961" priority="141">
      <formula>L$9&gt;=20/24</formula>
    </cfRule>
    <cfRule type="expression" dxfId="960" priority="142">
      <formula>AND(L$9&gt;=14/24,L$9&lt;20/24)</formula>
    </cfRule>
    <cfRule type="expression" dxfId="959" priority="143">
      <formula>AND(L$9&gt;=8/24,L$9&lt;14/24)</formula>
    </cfRule>
    <cfRule type="expression" dxfId="958" priority="144">
      <formula>L$9&lt;8/24</formula>
    </cfRule>
  </conditionalFormatting>
  <conditionalFormatting sqref="S29:AD29">
    <cfRule type="expression" dxfId="957" priority="137">
      <formula>S$9&gt;=20/24</formula>
    </cfRule>
    <cfRule type="expression" dxfId="956" priority="138">
      <formula>AND(S$9&gt;=14/24,S$9&lt;20/24)</formula>
    </cfRule>
    <cfRule type="expression" dxfId="955" priority="139">
      <formula>AND(S$9&gt;=8/24,S$9&lt;14/24)</formula>
    </cfRule>
    <cfRule type="expression" dxfId="954" priority="140">
      <formula>S$9&lt;8/24</formula>
    </cfRule>
  </conditionalFormatting>
  <conditionalFormatting sqref="S12:T16 U14:AA19 AA20:AA23 T14:Z14 T16:Z16 T18:Z18 S18:T19 R17:T17 AB14:AF14 AB16:AF23 AA25:AF27">
    <cfRule type="expression" dxfId="953" priority="133">
      <formula>R$9&gt;=20/24</formula>
    </cfRule>
    <cfRule type="expression" dxfId="952" priority="134">
      <formula>AND(R$9&gt;=14/24,R$9&lt;20/24)</formula>
    </cfRule>
    <cfRule type="expression" dxfId="951" priority="135">
      <formula>AND(R$9&gt;=8/24,R$9&lt;14/24)</formula>
    </cfRule>
    <cfRule type="expression" dxfId="950" priority="136">
      <formula>R$9&lt;8/24</formula>
    </cfRule>
  </conditionalFormatting>
  <conditionalFormatting sqref="R34:R39 S35:U39 V36:AF39">
    <cfRule type="expression" dxfId="949" priority="129">
      <formula>R$9&gt;=20/24</formula>
    </cfRule>
    <cfRule type="expression" dxfId="948" priority="130">
      <formula>AND(R$9&gt;=14/24,R$9&lt;20/24)</formula>
    </cfRule>
    <cfRule type="expression" dxfId="947" priority="131">
      <formula>AND(R$9&gt;=8/24,R$9&lt;14/24)</formula>
    </cfRule>
    <cfRule type="expression" dxfId="946" priority="132">
      <formula>R$9&lt;8/24</formula>
    </cfRule>
  </conditionalFormatting>
  <conditionalFormatting sqref="R40:AF40">
    <cfRule type="expression" dxfId="945" priority="125">
      <formula>R$9&gt;=20/24</formula>
    </cfRule>
    <cfRule type="expression" dxfId="944" priority="126">
      <formula>AND(R$9&gt;=14/24,R$9&lt;20/24)</formula>
    </cfRule>
    <cfRule type="expression" dxfId="943" priority="127">
      <formula>AND(R$9&gt;=8/24,R$9&lt;14/24)</formula>
    </cfRule>
    <cfRule type="expression" dxfId="942" priority="128">
      <formula>R$9&lt;8/24</formula>
    </cfRule>
  </conditionalFormatting>
  <conditionalFormatting sqref="R41:AF41">
    <cfRule type="expression" dxfId="941" priority="121">
      <formula>R$9&gt;=20/24</formula>
    </cfRule>
    <cfRule type="expression" dxfId="940" priority="122">
      <formula>AND(R$9&gt;=14/24,R$9&lt;20/24)</formula>
    </cfRule>
    <cfRule type="expression" dxfId="939" priority="123">
      <formula>AND(R$9&gt;=8/24,R$9&lt;14/24)</formula>
    </cfRule>
    <cfRule type="expression" dxfId="938" priority="124">
      <formula>R$9&lt;8/24</formula>
    </cfRule>
  </conditionalFormatting>
  <conditionalFormatting sqref="T51:AF58">
    <cfRule type="expression" dxfId="937" priority="117">
      <formula>T$9&gt;=20/24</formula>
    </cfRule>
    <cfRule type="expression" dxfId="936" priority="118">
      <formula>AND(T$9&gt;=14/24,T$9&lt;20/24)</formula>
    </cfRule>
    <cfRule type="expression" dxfId="935" priority="119">
      <formula>AND(T$9&gt;=8/24,T$9&lt;14/24)</formula>
    </cfRule>
    <cfRule type="expression" dxfId="934" priority="120">
      <formula>T$9&lt;8/24</formula>
    </cfRule>
  </conditionalFormatting>
  <conditionalFormatting sqref="AA83:AF86">
    <cfRule type="expression" dxfId="933" priority="113">
      <formula>AA$9&gt;=20/24</formula>
    </cfRule>
    <cfRule type="expression" dxfId="932" priority="114">
      <formula>AND(AA$9&gt;=14/24,AA$9&lt;20/24)</formula>
    </cfRule>
    <cfRule type="expression" dxfId="931" priority="115">
      <formula>AND(AA$9&gt;=8/24,AA$9&lt;14/24)</formula>
    </cfRule>
    <cfRule type="expression" dxfId="930" priority="116">
      <formula>AA$9&lt;8/24</formula>
    </cfRule>
  </conditionalFormatting>
  <conditionalFormatting sqref="C53:K54 C56:K58 B55:K55">
    <cfRule type="expression" dxfId="929" priority="109">
      <formula>B$9&gt;=20/24</formula>
    </cfRule>
    <cfRule type="expression" dxfId="928" priority="110">
      <formula>AND(B$9&gt;=14/24,B$9&lt;20/24)</formula>
    </cfRule>
    <cfRule type="expression" dxfId="927" priority="111">
      <formula>AND(B$9&gt;=8/24,B$9&lt;14/24)</formula>
    </cfRule>
    <cfRule type="expression" dxfId="926" priority="112">
      <formula>B$9&lt;8/24</formula>
    </cfRule>
  </conditionalFormatting>
  <conditionalFormatting sqref="C83:K86">
    <cfRule type="expression" dxfId="925" priority="105">
      <formula>C$9&gt;=20/24</formula>
    </cfRule>
    <cfRule type="expression" dxfId="924" priority="106">
      <formula>AND(C$9&gt;=14/24,C$9&lt;20/24)</formula>
    </cfRule>
    <cfRule type="expression" dxfId="923" priority="107">
      <formula>AND(C$9&gt;=8/24,C$9&lt;14/24)</formula>
    </cfRule>
    <cfRule type="expression" dxfId="922" priority="108">
      <formula>C$9&lt;8/24</formula>
    </cfRule>
  </conditionalFormatting>
  <conditionalFormatting sqref="L83:Q86">
    <cfRule type="expression" dxfId="921" priority="101">
      <formula>L$9&gt;=20/24</formula>
    </cfRule>
    <cfRule type="expression" dxfId="920" priority="102">
      <formula>AND(L$9&gt;=14/24,L$9&lt;20/24)</formula>
    </cfRule>
    <cfRule type="expression" dxfId="919" priority="103">
      <formula>AND(L$9&gt;=8/24,L$9&lt;14/24)</formula>
    </cfRule>
    <cfRule type="expression" dxfId="918" priority="104">
      <formula>L$9&lt;8/24</formula>
    </cfRule>
  </conditionalFormatting>
  <conditionalFormatting sqref="R83:Z86">
    <cfRule type="expression" dxfId="917" priority="97">
      <formula>R$9&gt;=20/24</formula>
    </cfRule>
    <cfRule type="expression" dxfId="916" priority="98">
      <formula>AND(R$9&gt;=14/24,R$9&lt;20/24)</formula>
    </cfRule>
    <cfRule type="expression" dxfId="915" priority="99">
      <formula>AND(R$9&gt;=8/24,R$9&lt;14/24)</formula>
    </cfRule>
    <cfRule type="expression" dxfId="914" priority="100">
      <formula>R$9&lt;8/24</formula>
    </cfRule>
  </conditionalFormatting>
  <conditionalFormatting sqref="AG42 F19:L19 B18:L18 L39 F15:L17 C30:AF30 C40:L41 C36:L38 D35:L35 C47:AF47 C31:Z32 C33:L34 F11:R13 M15:R16 C28:R29 S29:AF29 M17:AF19 C42:AF43 M33:Z41 D44:AF46 AA20:AF23 AC16:AF19 AA31:AF41 S11:AF16 AA25:AF28">
    <cfRule type="expression" dxfId="913" priority="96">
      <formula>B11&gt;$AG11</formula>
    </cfRule>
  </conditionalFormatting>
  <conditionalFormatting sqref="T193:AX193">
    <cfRule type="expression" dxfId="912" priority="92">
      <formula>T$9&gt;=20/24</formula>
    </cfRule>
    <cfRule type="expression" dxfId="911" priority="93">
      <formula>AND(T$9&gt;=14/24,T$9&lt;20/24)</formula>
    </cfRule>
    <cfRule type="expression" dxfId="910" priority="94">
      <formula>AND(T$9&gt;=8/24,T$9&lt;14/24)</formula>
    </cfRule>
    <cfRule type="expression" dxfId="909" priority="95">
      <formula>T$9&lt;8/24</formula>
    </cfRule>
  </conditionalFormatting>
  <conditionalFormatting sqref="A11:A86 A89:A181">
    <cfRule type="expression" dxfId="908" priority="91">
      <formula>$AH11=0</formula>
    </cfRule>
  </conditionalFormatting>
  <conditionalFormatting sqref="AA87:AF87">
    <cfRule type="expression" dxfId="907" priority="87">
      <formula>AA$9&gt;=20/24</formula>
    </cfRule>
    <cfRule type="expression" dxfId="906" priority="88">
      <formula>AND(AA$9&gt;=14/24,AA$9&lt;20/24)</formula>
    </cfRule>
    <cfRule type="expression" dxfId="905" priority="89">
      <formula>AND(AA$9&gt;=8/24,AA$9&lt;14/24)</formula>
    </cfRule>
    <cfRule type="expression" dxfId="904" priority="90">
      <formula>AA$9&lt;8/24</formula>
    </cfRule>
  </conditionalFormatting>
  <conditionalFormatting sqref="C87:K87">
    <cfRule type="expression" dxfId="903" priority="83">
      <formula>C$9&gt;=20/24</formula>
    </cfRule>
    <cfRule type="expression" dxfId="902" priority="84">
      <formula>AND(C$9&gt;=14/24,C$9&lt;20/24)</formula>
    </cfRule>
    <cfRule type="expression" dxfId="901" priority="85">
      <formula>AND(C$9&gt;=8/24,C$9&lt;14/24)</formula>
    </cfRule>
    <cfRule type="expression" dxfId="900" priority="86">
      <formula>C$9&lt;8/24</formula>
    </cfRule>
  </conditionalFormatting>
  <conditionalFormatting sqref="L87:Q87">
    <cfRule type="expression" dxfId="899" priority="79">
      <formula>L$9&gt;=20/24</formula>
    </cfRule>
    <cfRule type="expression" dxfId="898" priority="80">
      <formula>AND(L$9&gt;=14/24,L$9&lt;20/24)</formula>
    </cfRule>
    <cfRule type="expression" dxfId="897" priority="81">
      <formula>AND(L$9&gt;=8/24,L$9&lt;14/24)</formula>
    </cfRule>
    <cfRule type="expression" dxfId="896" priority="82">
      <formula>L$9&lt;8/24</formula>
    </cfRule>
  </conditionalFormatting>
  <conditionalFormatting sqref="R87:Z87">
    <cfRule type="expression" dxfId="895" priority="75">
      <formula>R$9&gt;=20/24</formula>
    </cfRule>
    <cfRule type="expression" dxfId="894" priority="76">
      <formula>AND(R$9&gt;=14/24,R$9&lt;20/24)</formula>
    </cfRule>
    <cfRule type="expression" dxfId="893" priority="77">
      <formula>AND(R$9&gt;=8/24,R$9&lt;14/24)</formula>
    </cfRule>
    <cfRule type="expression" dxfId="892" priority="78">
      <formula>R$9&lt;8/24</formula>
    </cfRule>
  </conditionalFormatting>
  <conditionalFormatting sqref="A87:A88">
    <cfRule type="expression" dxfId="891" priority="74">
      <formula>$AH87=0</formula>
    </cfRule>
  </conditionalFormatting>
  <conditionalFormatting sqref="C28:R28 AA28:AF28">
    <cfRule type="expression" dxfId="890" priority="70">
      <formula>C$9&gt;=20/24</formula>
    </cfRule>
    <cfRule type="expression" dxfId="889" priority="71">
      <formula>AND(C$9&gt;=14/24,C$9&lt;20/24)</formula>
    </cfRule>
    <cfRule type="expression" dxfId="888" priority="72">
      <formula>AND(C$9&gt;=8/24,C$9&lt;14/24)</formula>
    </cfRule>
    <cfRule type="expression" dxfId="887" priority="73">
      <formula>C$9&lt;8/24</formula>
    </cfRule>
  </conditionalFormatting>
  <conditionalFormatting sqref="AA28">
    <cfRule type="expression" dxfId="886" priority="66">
      <formula>AA$9&gt;=20/24</formula>
    </cfRule>
    <cfRule type="expression" dxfId="885" priority="67">
      <formula>AND(AA$9&gt;=14/24,AA$9&lt;20/24)</formula>
    </cfRule>
    <cfRule type="expression" dxfId="884" priority="68">
      <formula>AND(AA$9&gt;=8/24,AA$9&lt;14/24)</formula>
    </cfRule>
    <cfRule type="expression" dxfId="883" priority="69">
      <formula>AA$9&lt;8/24</formula>
    </cfRule>
  </conditionalFormatting>
  <conditionalFormatting sqref="B59:B79 B44:B51 C44:C46">
    <cfRule type="expression" dxfId="882" priority="62">
      <formula>B$9&gt;=20/24</formula>
    </cfRule>
    <cfRule type="expression" dxfId="881" priority="63">
      <formula>AND(B$9&gt;=14/24,B$9&lt;20/24)</formula>
    </cfRule>
    <cfRule type="expression" dxfId="880" priority="64">
      <formula>AND(B$9&gt;=8/24,B$9&lt;14/24)</formula>
    </cfRule>
    <cfRule type="expression" dxfId="879" priority="65">
      <formula>B$9&lt;8/24</formula>
    </cfRule>
  </conditionalFormatting>
  <conditionalFormatting sqref="B16:E17 B19:E19 B20:R23 B25:R27 B24:AF24">
    <cfRule type="expression" dxfId="878" priority="58">
      <formula>B$9&gt;=20/24</formula>
    </cfRule>
    <cfRule type="expression" dxfId="877" priority="59">
      <formula>AND(B$9&gt;=14/24,B$9&lt;20/24)</formula>
    </cfRule>
    <cfRule type="expression" dxfId="876" priority="60">
      <formula>AND(B$9&gt;=8/24,B$9&lt;14/24)</formula>
    </cfRule>
    <cfRule type="expression" dxfId="875" priority="61">
      <formula>B$9&lt;8/24</formula>
    </cfRule>
  </conditionalFormatting>
  <conditionalFormatting sqref="B52:B54 B56:B58">
    <cfRule type="expression" dxfId="874" priority="54">
      <formula>B$9&gt;=20/24</formula>
    </cfRule>
    <cfRule type="expression" dxfId="873" priority="55">
      <formula>AND(B$9&gt;=14/24,B$9&lt;20/24)</formula>
    </cfRule>
    <cfRule type="expression" dxfId="872" priority="56">
      <formula>AND(B$9&gt;=8/24,B$9&lt;14/24)</formula>
    </cfRule>
    <cfRule type="expression" dxfId="871" priority="57">
      <formula>B$9&lt;8/24</formula>
    </cfRule>
  </conditionalFormatting>
  <conditionalFormatting sqref="B83:B86">
    <cfRule type="expression" dxfId="870" priority="50">
      <formula>B$9&gt;=20/24</formula>
    </cfRule>
    <cfRule type="expression" dxfId="869" priority="51">
      <formula>AND(B$9&gt;=14/24,B$9&lt;20/24)</formula>
    </cfRule>
    <cfRule type="expression" dxfId="868" priority="52">
      <formula>AND(B$9&gt;=8/24,B$9&lt;14/24)</formula>
    </cfRule>
    <cfRule type="expression" dxfId="867" priority="53">
      <formula>B$9&lt;8/24</formula>
    </cfRule>
  </conditionalFormatting>
  <conditionalFormatting sqref="B11:B17 C11:E13 C39:K39 C21:L23 C15:E17 C14:K14 B19:E19 B21:B47 B20:L20 C35 C44:C46 M20:R23 C25:R27 C24:AF24">
    <cfRule type="expression" dxfId="866" priority="49">
      <formula>B11&gt;$AG11</formula>
    </cfRule>
  </conditionalFormatting>
  <conditionalFormatting sqref="B87">
    <cfRule type="expression" dxfId="865" priority="45">
      <formula>B$9&gt;=20/24</formula>
    </cfRule>
    <cfRule type="expression" dxfId="864" priority="46">
      <formula>AND(B$9&gt;=14/24,B$9&lt;20/24)</formula>
    </cfRule>
    <cfRule type="expression" dxfId="863" priority="47">
      <formula>AND(B$9&gt;=8/24,B$9&lt;14/24)</formula>
    </cfRule>
    <cfRule type="expression" dxfId="862" priority="48">
      <formula>B$9&lt;8/24</formula>
    </cfRule>
  </conditionalFormatting>
  <conditionalFormatting sqref="B28">
    <cfRule type="expression" dxfId="861" priority="41">
      <formula>B$9&gt;=20/24</formula>
    </cfRule>
    <cfRule type="expression" dxfId="860" priority="42">
      <formula>AND(B$9&gt;=14/24,B$9&lt;20/24)</formula>
    </cfRule>
    <cfRule type="expression" dxfId="859" priority="43">
      <formula>AND(B$9&gt;=8/24,B$9&lt;14/24)</formula>
    </cfRule>
    <cfRule type="expression" dxfId="858" priority="44">
      <formula>B$9&lt;8/24</formula>
    </cfRule>
  </conditionalFormatting>
  <conditionalFormatting sqref="L14:R14">
    <cfRule type="expression" dxfId="857" priority="37">
      <formula>L$9&gt;=20/24</formula>
    </cfRule>
    <cfRule type="expression" dxfId="856" priority="38">
      <formula>AND(L$9&gt;=14/24,L$9&lt;20/24)</formula>
    </cfRule>
    <cfRule type="expression" dxfId="855" priority="39">
      <formula>AND(L$9&gt;=8/24,L$9&lt;14/24)</formula>
    </cfRule>
    <cfRule type="expression" dxfId="854" priority="40">
      <formula>L$9&lt;8/24</formula>
    </cfRule>
  </conditionalFormatting>
  <conditionalFormatting sqref="L14:R14">
    <cfRule type="expression" dxfId="853" priority="36">
      <formula>L14&gt;$AG14</formula>
    </cfRule>
  </conditionalFormatting>
  <conditionalFormatting sqref="AA88:AF88">
    <cfRule type="expression" dxfId="852" priority="32">
      <formula>AA$9&gt;=20/24</formula>
    </cfRule>
    <cfRule type="expression" dxfId="851" priority="33">
      <formula>AND(AA$9&gt;=14/24,AA$9&lt;20/24)</formula>
    </cfRule>
    <cfRule type="expression" dxfId="850" priority="34">
      <formula>AND(AA$9&gt;=8/24,AA$9&lt;14/24)</formula>
    </cfRule>
    <cfRule type="expression" dxfId="849" priority="35">
      <formula>AA$9&lt;8/24</formula>
    </cfRule>
  </conditionalFormatting>
  <conditionalFormatting sqref="C88:K88">
    <cfRule type="expression" dxfId="848" priority="28">
      <formula>C$9&gt;=20/24</formula>
    </cfRule>
    <cfRule type="expression" dxfId="847" priority="29">
      <formula>AND(C$9&gt;=14/24,C$9&lt;20/24)</formula>
    </cfRule>
    <cfRule type="expression" dxfId="846" priority="30">
      <formula>AND(C$9&gt;=8/24,C$9&lt;14/24)</formula>
    </cfRule>
    <cfRule type="expression" dxfId="845" priority="31">
      <formula>C$9&lt;8/24</formula>
    </cfRule>
  </conditionalFormatting>
  <conditionalFormatting sqref="L88:Q88">
    <cfRule type="expression" dxfId="844" priority="24">
      <formula>L$9&gt;=20/24</formula>
    </cfRule>
    <cfRule type="expression" dxfId="843" priority="25">
      <formula>AND(L$9&gt;=14/24,L$9&lt;20/24)</formula>
    </cfRule>
    <cfRule type="expression" dxfId="842" priority="26">
      <formula>AND(L$9&gt;=8/24,L$9&lt;14/24)</formula>
    </cfRule>
    <cfRule type="expression" dxfId="841" priority="27">
      <formula>L$9&lt;8/24</formula>
    </cfRule>
  </conditionalFormatting>
  <conditionalFormatting sqref="R88:Z88">
    <cfRule type="expression" dxfId="840" priority="20">
      <formula>R$9&gt;=20/24</formula>
    </cfRule>
    <cfRule type="expression" dxfId="839" priority="21">
      <formula>AND(R$9&gt;=14/24,R$9&lt;20/24)</formula>
    </cfRule>
    <cfRule type="expression" dxfId="838" priority="22">
      <formula>AND(R$9&gt;=8/24,R$9&lt;14/24)</formula>
    </cfRule>
    <cfRule type="expression" dxfId="837" priority="23">
      <formula>R$9&lt;8/24</formula>
    </cfRule>
  </conditionalFormatting>
  <conditionalFormatting sqref="B88">
    <cfRule type="expression" dxfId="836" priority="15">
      <formula>B$9&gt;=20/24</formula>
    </cfRule>
    <cfRule type="expression" dxfId="835" priority="16">
      <formula>AND(B$9&gt;=14/24,B$9&lt;20/24)</formula>
    </cfRule>
    <cfRule type="expression" dxfId="834" priority="17">
      <formula>AND(B$9&gt;=8/24,B$9&lt;14/24)</formula>
    </cfRule>
    <cfRule type="expression" dxfId="833" priority="18">
      <formula>B$9&lt;8/24</formula>
    </cfRule>
  </conditionalFormatting>
  <conditionalFormatting sqref="S28:Z28">
    <cfRule type="expression" dxfId="832" priority="14">
      <formula>S28&gt;$AG28</formula>
    </cfRule>
  </conditionalFormatting>
  <conditionalFormatting sqref="S28:Z28">
    <cfRule type="expression" dxfId="831" priority="10">
      <formula>S$9&gt;=20/24</formula>
    </cfRule>
    <cfRule type="expression" dxfId="830" priority="11">
      <formula>AND(S$9&gt;=14/24,S$9&lt;20/24)</formula>
    </cfRule>
    <cfRule type="expression" dxfId="829" priority="12">
      <formula>AND(S$9&gt;=8/24,S$9&lt;14/24)</formula>
    </cfRule>
    <cfRule type="expression" dxfId="828" priority="13">
      <formula>S$9&lt;8/24</formula>
    </cfRule>
  </conditionalFormatting>
  <conditionalFormatting sqref="S20:Z23 S25:Z27">
    <cfRule type="expression" dxfId="827" priority="6">
      <formula>S$9&gt;=20/24</formula>
    </cfRule>
    <cfRule type="expression" dxfId="826" priority="7">
      <formula>AND(S$9&gt;=14/24,S$9&lt;20/24)</formula>
    </cfRule>
    <cfRule type="expression" dxfId="825" priority="8">
      <formula>AND(S$9&gt;=8/24,S$9&lt;14/24)</formula>
    </cfRule>
    <cfRule type="expression" dxfId="824" priority="9">
      <formula>S$9&lt;8/24</formula>
    </cfRule>
  </conditionalFormatting>
  <conditionalFormatting sqref="S20:Z23 S25:Z27">
    <cfRule type="expression" dxfId="823" priority="5">
      <formula>S20&gt;$AG20</formula>
    </cfRule>
  </conditionalFormatting>
  <conditionalFormatting sqref="S51:S58">
    <cfRule type="expression" dxfId="822" priority="1">
      <formula>S$9&gt;=20/24</formula>
    </cfRule>
    <cfRule type="expression" dxfId="821" priority="2">
      <formula>AND(S$9&gt;=14/24,S$9&lt;20/24)</formula>
    </cfRule>
    <cfRule type="expression" dxfId="820" priority="3">
      <formula>AND(S$9&gt;=8/24,S$9&lt;14/24)</formula>
    </cfRule>
    <cfRule type="expression" dxfId="819" priority="4">
      <formula>S$9&lt;8/24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62" activePane="bottomRight" state="frozen"/>
      <selection activeCell="AF88" sqref="AF88"/>
      <selection pane="topRight" activeCell="AF88" sqref="AF88"/>
      <selection pane="bottomLeft" activeCell="AF88" sqref="AF88"/>
      <selection pane="bottomRight" activeCell="Q82" sqref="Q82"/>
    </sheetView>
  </sheetViews>
  <sheetFormatPr defaultRowHeight="15" x14ac:dyDescent="0.25"/>
  <cols>
    <col min="1" max="1" width="28" style="211" bestFit="1" customWidth="1"/>
    <col min="2" max="2" width="6.7109375" style="211" bestFit="1" customWidth="1"/>
    <col min="3" max="3" width="7.42578125" style="211" customWidth="1"/>
    <col min="4" max="4" width="7" style="211" customWidth="1"/>
    <col min="5" max="9" width="6.42578125" style="211" bestFit="1" customWidth="1"/>
    <col min="10" max="10" width="6.28515625" style="211" bestFit="1" customWidth="1"/>
    <col min="11" max="13" width="6" style="211" bestFit="1" customWidth="1"/>
    <col min="14" max="15" width="6.28515625" style="211" bestFit="1" customWidth="1"/>
    <col min="16" max="18" width="5.7109375" style="211" customWidth="1"/>
    <col min="19" max="19" width="7" style="211" customWidth="1"/>
    <col min="20" max="32" width="6.85546875" style="211" customWidth="1"/>
    <col min="33" max="33" width="14.42578125" style="211" customWidth="1"/>
    <col min="34" max="35" width="8" style="211" customWidth="1"/>
    <col min="36" max="36" width="9.140625" style="1"/>
    <col min="37" max="37" width="9.140625" style="211"/>
    <col min="38" max="41" width="9.140625" style="211" customWidth="1"/>
    <col min="42" max="16384" width="9.140625" style="21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212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13" t="s">
        <v>200</v>
      </c>
      <c r="B4" s="28"/>
      <c r="C4" s="213" t="str">
        <f ca="1">MID(CELL("filename",C7),FIND("]",CELL("filename",C7))+1,600)</f>
        <v>29</v>
      </c>
      <c r="D4" s="324">
        <f ca="1">IFERROR(DATE(2021,5,14)+C4,"")</f>
        <v>44359</v>
      </c>
      <c r="E4" s="324"/>
      <c r="F4" s="324"/>
      <c r="G4" s="324"/>
      <c r="H4" s="324"/>
      <c r="I4" s="324"/>
      <c r="J4" s="29"/>
      <c r="K4" s="211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13"/>
      <c r="B5" s="32">
        <f>B59</f>
        <v>185</v>
      </c>
      <c r="C5" s="32">
        <f t="shared" ref="C5:AF5" si="0">C59</f>
        <v>152</v>
      </c>
      <c r="D5" s="32">
        <f t="shared" si="0"/>
        <v>146.55000000000001</v>
      </c>
      <c r="E5" s="32">
        <f t="shared" si="0"/>
        <v>142.53</v>
      </c>
      <c r="F5" s="32">
        <f t="shared" si="0"/>
        <v>121.2</v>
      </c>
      <c r="G5" s="32">
        <f t="shared" si="0"/>
        <v>133</v>
      </c>
      <c r="H5" s="32">
        <f t="shared" si="0"/>
        <v>105.5</v>
      </c>
      <c r="I5" s="32">
        <f t="shared" si="0"/>
        <v>162.67000000000002</v>
      </c>
      <c r="J5" s="32">
        <f t="shared" si="0"/>
        <v>162.9</v>
      </c>
      <c r="K5" s="32">
        <f t="shared" si="0"/>
        <v>156.32999999999998</v>
      </c>
      <c r="L5" s="32">
        <f t="shared" si="0"/>
        <v>168.87</v>
      </c>
      <c r="M5" s="32">
        <f t="shared" si="0"/>
        <v>183.8</v>
      </c>
      <c r="N5" s="32">
        <f t="shared" si="0"/>
        <v>151</v>
      </c>
      <c r="O5" s="32">
        <f t="shared" si="0"/>
        <v>115.4</v>
      </c>
      <c r="P5" s="32">
        <f t="shared" si="0"/>
        <v>104.68</v>
      </c>
      <c r="Q5" s="32">
        <f t="shared" si="0"/>
        <v>143</v>
      </c>
      <c r="R5" s="32">
        <f t="shared" si="0"/>
        <v>186</v>
      </c>
      <c r="S5" s="32">
        <f t="shared" si="0"/>
        <v>202</v>
      </c>
      <c r="T5" s="32">
        <f t="shared" si="0"/>
        <v>154.1</v>
      </c>
      <c r="U5" s="32">
        <f t="shared" si="0"/>
        <v>137.22</v>
      </c>
      <c r="V5" s="32">
        <f t="shared" si="0"/>
        <v>119.35</v>
      </c>
      <c r="W5" s="32">
        <f t="shared" si="0"/>
        <v>115.1</v>
      </c>
      <c r="X5" s="32">
        <f t="shared" si="0"/>
        <v>127.53</v>
      </c>
      <c r="Y5" s="32">
        <f t="shared" si="0"/>
        <v>196.7</v>
      </c>
      <c r="Z5" s="32">
        <f t="shared" si="0"/>
        <v>262.3</v>
      </c>
      <c r="AA5" s="32">
        <f t="shared" si="0"/>
        <v>255.8</v>
      </c>
      <c r="AB5" s="32">
        <f t="shared" si="0"/>
        <v>290.60000000000002</v>
      </c>
      <c r="AC5" s="32">
        <f t="shared" si="0"/>
        <v>292</v>
      </c>
      <c r="AD5" s="32">
        <f t="shared" si="0"/>
        <v>221.45</v>
      </c>
      <c r="AE5" s="32">
        <f t="shared" si="0"/>
        <v>202.9</v>
      </c>
      <c r="AF5" s="32">
        <f t="shared" si="0"/>
        <v>177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13"/>
      <c r="B6" s="28"/>
      <c r="C6" s="213"/>
      <c r="D6" s="217"/>
      <c r="E6" s="217"/>
      <c r="F6" s="217"/>
      <c r="G6" s="217"/>
      <c r="H6" s="217"/>
      <c r="I6" s="217"/>
      <c r="J6" s="29"/>
      <c r="K6" s="211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1044MW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Load=895</v>
      </c>
      <c r="B7" s="36">
        <f t="shared" ref="B7:AF7" si="1">B65</f>
        <v>1046.44</v>
      </c>
      <c r="C7" s="36">
        <f t="shared" si="1"/>
        <v>1033.44</v>
      </c>
      <c r="D7" s="36">
        <f t="shared" si="1"/>
        <v>1016.5900000000001</v>
      </c>
      <c r="E7" s="36">
        <f t="shared" si="1"/>
        <v>1015.47</v>
      </c>
      <c r="F7" s="36">
        <f t="shared" si="1"/>
        <v>998.34000000000015</v>
      </c>
      <c r="G7" s="36">
        <f t="shared" si="1"/>
        <v>992.84000000000015</v>
      </c>
      <c r="H7" s="36">
        <f t="shared" si="1"/>
        <v>972.14</v>
      </c>
      <c r="I7" s="36">
        <f t="shared" si="1"/>
        <v>1034.1100000000001</v>
      </c>
      <c r="J7" s="36">
        <f t="shared" si="1"/>
        <v>1044.1000000000001</v>
      </c>
      <c r="K7" s="36">
        <f t="shared" si="1"/>
        <v>1027.97</v>
      </c>
      <c r="L7" s="36">
        <f>L65</f>
        <v>995.91000000000008</v>
      </c>
      <c r="M7" s="36">
        <f t="shared" si="1"/>
        <v>1000.64</v>
      </c>
      <c r="N7" s="36">
        <f t="shared" si="1"/>
        <v>944.6400000000001</v>
      </c>
      <c r="O7" s="36">
        <f t="shared" si="1"/>
        <v>907.6400000000001</v>
      </c>
      <c r="P7" s="36">
        <f t="shared" si="1"/>
        <v>895.43000000000006</v>
      </c>
      <c r="Q7" s="36">
        <f t="shared" si="1"/>
        <v>933.83999999999992</v>
      </c>
      <c r="R7" s="36">
        <f t="shared" si="1"/>
        <v>962.84</v>
      </c>
      <c r="S7" s="36">
        <f t="shared" si="1"/>
        <v>1010.14</v>
      </c>
      <c r="T7" s="36">
        <f t="shared" si="1"/>
        <v>960.34</v>
      </c>
      <c r="U7" s="36">
        <f t="shared" si="1"/>
        <v>923.06000000000017</v>
      </c>
      <c r="V7" s="36">
        <f t="shared" si="1"/>
        <v>941.39</v>
      </c>
      <c r="W7" s="36">
        <f t="shared" si="1"/>
        <v>955.34</v>
      </c>
      <c r="X7" s="36">
        <f t="shared" si="1"/>
        <v>969.77</v>
      </c>
      <c r="Y7" s="36">
        <f t="shared" si="1"/>
        <v>1038.3399999999999</v>
      </c>
      <c r="Z7" s="36">
        <f t="shared" si="1"/>
        <v>1165.6400000000001</v>
      </c>
      <c r="AA7" s="36">
        <f t="shared" si="1"/>
        <v>1209.74</v>
      </c>
      <c r="AB7" s="36">
        <f t="shared" si="1"/>
        <v>1195.3400000000001</v>
      </c>
      <c r="AC7" s="36">
        <f t="shared" si="1"/>
        <v>1196.8400000000001</v>
      </c>
      <c r="AD7" s="36">
        <f t="shared" si="1"/>
        <v>1120.3900000000001</v>
      </c>
      <c r="AE7" s="36">
        <f t="shared" si="1"/>
        <v>1069.24</v>
      </c>
      <c r="AF7" s="36">
        <f t="shared" si="1"/>
        <v>1077.8400000000001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21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x14ac:dyDescent="0.25">
      <c r="A11" s="47" t="s">
        <v>18</v>
      </c>
      <c r="B11" s="218">
        <v>60</v>
      </c>
      <c r="C11" s="218">
        <v>60</v>
      </c>
      <c r="D11" s="218">
        <v>60</v>
      </c>
      <c r="E11" s="218">
        <v>60</v>
      </c>
      <c r="F11" s="218">
        <v>60</v>
      </c>
      <c r="G11" s="218">
        <v>60</v>
      </c>
      <c r="H11" s="218">
        <v>60</v>
      </c>
      <c r="I11" s="218">
        <v>60</v>
      </c>
      <c r="J11" s="218">
        <v>60</v>
      </c>
      <c r="K11" s="218">
        <v>60</v>
      </c>
      <c r="L11" s="218">
        <v>60</v>
      </c>
      <c r="M11" s="218">
        <v>60</v>
      </c>
      <c r="N11" s="218">
        <v>60</v>
      </c>
      <c r="O11" s="218">
        <v>60</v>
      </c>
      <c r="P11" s="218">
        <v>60</v>
      </c>
      <c r="Q11" s="218">
        <v>60</v>
      </c>
      <c r="R11" s="226">
        <v>60</v>
      </c>
      <c r="S11" s="226">
        <v>53.8</v>
      </c>
      <c r="T11" s="226">
        <v>51.7</v>
      </c>
      <c r="U11" s="226">
        <v>50.6</v>
      </c>
      <c r="V11" s="226">
        <v>49.9</v>
      </c>
      <c r="W11" s="226">
        <v>50.9</v>
      </c>
      <c r="X11" s="226">
        <v>51.9</v>
      </c>
      <c r="Y11" s="226">
        <v>50.9</v>
      </c>
      <c r="Z11" s="226">
        <v>50.2</v>
      </c>
      <c r="AA11" s="234">
        <v>51</v>
      </c>
      <c r="AB11" s="48">
        <v>50.9</v>
      </c>
      <c r="AC11" s="48">
        <v>50.9</v>
      </c>
      <c r="AD11" s="48">
        <v>47.9</v>
      </c>
      <c r="AE11" s="48">
        <v>47.3</v>
      </c>
      <c r="AF11" s="48">
        <v>47</v>
      </c>
      <c r="AG11" s="51">
        <v>60</v>
      </c>
      <c r="AH11" s="52">
        <f>MAX(B11:AF11)</f>
        <v>60</v>
      </c>
      <c r="AI11" s="53">
        <f>MIN(B11:AF11)</f>
        <v>47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5.75" x14ac:dyDescent="0.25">
      <c r="A12" s="55" t="s">
        <v>19</v>
      </c>
      <c r="B12" s="224">
        <v>50.6</v>
      </c>
      <c r="C12" s="224">
        <v>50.6</v>
      </c>
      <c r="D12" s="224">
        <v>50.5</v>
      </c>
      <c r="E12" s="224">
        <v>50.5</v>
      </c>
      <c r="F12" s="224">
        <v>50.7</v>
      </c>
      <c r="G12" s="224">
        <v>50.4</v>
      </c>
      <c r="H12" s="224">
        <v>50.3</v>
      </c>
      <c r="I12" s="224">
        <v>50.7</v>
      </c>
      <c r="J12" s="224">
        <v>50.4</v>
      </c>
      <c r="K12" s="224">
        <v>50</v>
      </c>
      <c r="L12" s="218">
        <v>50.1</v>
      </c>
      <c r="M12" s="218">
        <v>50.1</v>
      </c>
      <c r="N12" s="218">
        <v>50</v>
      </c>
      <c r="O12" s="218">
        <v>50.8</v>
      </c>
      <c r="P12" s="218">
        <v>50</v>
      </c>
      <c r="Q12" s="218">
        <v>50</v>
      </c>
      <c r="R12" s="218">
        <v>50</v>
      </c>
      <c r="S12" s="218">
        <v>50</v>
      </c>
      <c r="T12" s="218">
        <v>50.7</v>
      </c>
      <c r="U12" s="218">
        <v>50.4</v>
      </c>
      <c r="V12" s="218">
        <v>50.3</v>
      </c>
      <c r="W12" s="218">
        <v>50.3</v>
      </c>
      <c r="X12" s="218">
        <v>50.3</v>
      </c>
      <c r="Y12" s="218">
        <v>50.2</v>
      </c>
      <c r="Z12" s="218">
        <v>50.3</v>
      </c>
      <c r="AA12" s="234">
        <v>50.1</v>
      </c>
      <c r="AB12" s="224">
        <v>50.4</v>
      </c>
      <c r="AC12" s="258">
        <v>50.4</v>
      </c>
      <c r="AD12" s="224">
        <v>50.7</v>
      </c>
      <c r="AE12" s="224">
        <v>50.4</v>
      </c>
      <c r="AF12" s="224">
        <v>50.5</v>
      </c>
      <c r="AG12" s="57">
        <v>50</v>
      </c>
      <c r="AH12" s="52">
        <f t="shared" ref="AH12:AH77" si="2">MAX(B12:AF12)</f>
        <v>50.8</v>
      </c>
      <c r="AI12" s="53">
        <f t="shared" ref="AI12:AI77" si="3">MIN(B12:AF12)</f>
        <v>50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224">
        <v>43.3</v>
      </c>
      <c r="C13" s="224">
        <v>43.3</v>
      </c>
      <c r="D13" s="224">
        <v>43.2</v>
      </c>
      <c r="E13" s="224">
        <v>43.1</v>
      </c>
      <c r="F13" s="224">
        <v>43.3</v>
      </c>
      <c r="G13" s="224">
        <v>43.4</v>
      </c>
      <c r="H13" s="224">
        <v>43.4</v>
      </c>
      <c r="I13" s="224">
        <v>43.4</v>
      </c>
      <c r="J13" s="224">
        <v>43.4</v>
      </c>
      <c r="K13" s="224">
        <v>43.4</v>
      </c>
      <c r="L13" s="218">
        <v>43.3</v>
      </c>
      <c r="M13" s="218">
        <v>44</v>
      </c>
      <c r="N13" s="218">
        <v>44</v>
      </c>
      <c r="O13" s="218">
        <v>44</v>
      </c>
      <c r="P13" s="218">
        <v>44</v>
      </c>
      <c r="Q13" s="218">
        <v>44</v>
      </c>
      <c r="R13" s="218">
        <v>44</v>
      </c>
      <c r="S13" s="218">
        <v>43.2</v>
      </c>
      <c r="T13" s="218">
        <v>43.3</v>
      </c>
      <c r="U13" s="218">
        <v>43.3</v>
      </c>
      <c r="V13" s="218">
        <v>43.2</v>
      </c>
      <c r="W13" s="218">
        <v>43.2</v>
      </c>
      <c r="X13" s="218">
        <v>43.2</v>
      </c>
      <c r="Y13" s="218">
        <v>43.3</v>
      </c>
      <c r="Z13" s="218">
        <v>45</v>
      </c>
      <c r="AA13" s="234">
        <v>46.4</v>
      </c>
      <c r="AB13" s="224">
        <v>45.6</v>
      </c>
      <c r="AC13" s="258">
        <v>45.6</v>
      </c>
      <c r="AD13" s="224">
        <v>45.3</v>
      </c>
      <c r="AE13" s="224">
        <v>45.6</v>
      </c>
      <c r="AF13" s="224">
        <v>45.2</v>
      </c>
      <c r="AG13" s="59">
        <v>45</v>
      </c>
      <c r="AH13" s="52">
        <f t="shared" si="2"/>
        <v>46.4</v>
      </c>
      <c r="AI13" s="53">
        <f t="shared" si="3"/>
        <v>43.1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5.75" x14ac:dyDescent="0.25">
      <c r="A14" s="58" t="s">
        <v>21</v>
      </c>
      <c r="B14" s="224">
        <v>25</v>
      </c>
      <c r="C14" s="224">
        <v>25</v>
      </c>
      <c r="D14" s="224">
        <v>25</v>
      </c>
      <c r="E14" s="224">
        <v>25</v>
      </c>
      <c r="F14" s="224">
        <v>25</v>
      </c>
      <c r="G14" s="224">
        <v>25</v>
      </c>
      <c r="H14" s="224">
        <v>25</v>
      </c>
      <c r="I14" s="224">
        <v>25</v>
      </c>
      <c r="J14" s="224">
        <v>25</v>
      </c>
      <c r="K14" s="224">
        <v>25</v>
      </c>
      <c r="L14" s="218">
        <v>25</v>
      </c>
      <c r="M14" s="218">
        <v>25</v>
      </c>
      <c r="N14" s="218">
        <v>25</v>
      </c>
      <c r="O14" s="218">
        <v>25</v>
      </c>
      <c r="P14" s="218">
        <v>25</v>
      </c>
      <c r="Q14" s="218">
        <v>25</v>
      </c>
      <c r="R14" s="218">
        <v>25</v>
      </c>
      <c r="S14" s="218">
        <v>25</v>
      </c>
      <c r="T14" s="218">
        <v>25</v>
      </c>
      <c r="U14" s="218">
        <v>25</v>
      </c>
      <c r="V14" s="218">
        <v>25</v>
      </c>
      <c r="W14" s="218">
        <v>25</v>
      </c>
      <c r="X14" s="218">
        <v>25</v>
      </c>
      <c r="Y14" s="218">
        <v>25</v>
      </c>
      <c r="Z14" s="218">
        <v>25</v>
      </c>
      <c r="AA14" s="235">
        <v>25</v>
      </c>
      <c r="AB14" s="224">
        <v>25</v>
      </c>
      <c r="AC14" s="258">
        <v>25</v>
      </c>
      <c r="AD14" s="258">
        <v>25</v>
      </c>
      <c r="AE14" s="258">
        <v>25</v>
      </c>
      <c r="AF14" s="258">
        <v>25</v>
      </c>
      <c r="AG14" s="59">
        <v>25</v>
      </c>
      <c r="AH14" s="52">
        <f t="shared" si="2"/>
        <v>25</v>
      </c>
      <c r="AI14" s="53">
        <f t="shared" si="3"/>
        <v>25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5.75" x14ac:dyDescent="0.25">
      <c r="A15" s="58" t="s">
        <v>22</v>
      </c>
      <c r="B15" s="224">
        <v>25</v>
      </c>
      <c r="C15" s="224">
        <v>25</v>
      </c>
      <c r="D15" s="224">
        <v>25.4</v>
      </c>
      <c r="E15" s="224">
        <v>25.1</v>
      </c>
      <c r="F15" s="224">
        <v>25.1</v>
      </c>
      <c r="G15" s="224">
        <v>0</v>
      </c>
      <c r="H15" s="224">
        <v>0</v>
      </c>
      <c r="I15" s="224">
        <v>0</v>
      </c>
      <c r="J15" s="224">
        <v>0</v>
      </c>
      <c r="K15" s="224">
        <v>25.1</v>
      </c>
      <c r="L15" s="218">
        <v>25</v>
      </c>
      <c r="M15" s="218">
        <v>25</v>
      </c>
      <c r="N15" s="218">
        <v>25</v>
      </c>
      <c r="O15" s="218">
        <v>25.2</v>
      </c>
      <c r="P15" s="218">
        <v>25.2</v>
      </c>
      <c r="Q15" s="218">
        <v>25.2</v>
      </c>
      <c r="R15" s="218">
        <v>25.2</v>
      </c>
      <c r="S15" s="218">
        <v>24.6</v>
      </c>
      <c r="T15" s="218">
        <v>24.6</v>
      </c>
      <c r="U15" s="218">
        <v>25</v>
      </c>
      <c r="V15" s="218">
        <v>24.9</v>
      </c>
      <c r="W15" s="218">
        <v>24.8</v>
      </c>
      <c r="X15" s="218">
        <v>25</v>
      </c>
      <c r="Y15" s="218">
        <v>25.1</v>
      </c>
      <c r="Z15" s="218">
        <v>25</v>
      </c>
      <c r="AA15" s="235">
        <v>25.2</v>
      </c>
      <c r="AB15" s="224">
        <v>25.1</v>
      </c>
      <c r="AC15" s="258">
        <v>25.1</v>
      </c>
      <c r="AD15" s="224">
        <v>25.2</v>
      </c>
      <c r="AE15" s="224">
        <v>25</v>
      </c>
      <c r="AF15" s="224">
        <v>25.1</v>
      </c>
      <c r="AG15" s="59">
        <v>25</v>
      </c>
      <c r="AH15" s="52">
        <f t="shared" si="2"/>
        <v>25.4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5.75" x14ac:dyDescent="0.25">
      <c r="A16" s="58" t="s">
        <v>23</v>
      </c>
      <c r="B16" s="224">
        <v>6.3</v>
      </c>
      <c r="C16" s="224">
        <v>6.3</v>
      </c>
      <c r="D16" s="224">
        <v>6.3</v>
      </c>
      <c r="E16" s="224">
        <v>6.3</v>
      </c>
      <c r="F16" s="224">
        <v>6.3</v>
      </c>
      <c r="G16" s="224">
        <v>6.3</v>
      </c>
      <c r="H16" s="224">
        <v>6.3</v>
      </c>
      <c r="I16" s="224">
        <v>6.3</v>
      </c>
      <c r="J16" s="224">
        <v>6.3</v>
      </c>
      <c r="K16" s="224">
        <v>6.3</v>
      </c>
      <c r="L16" s="218">
        <v>6.3</v>
      </c>
      <c r="M16" s="218">
        <v>6.3</v>
      </c>
      <c r="N16" s="218">
        <v>6.3</v>
      </c>
      <c r="O16" s="218">
        <v>6.3</v>
      </c>
      <c r="P16" s="218">
        <v>6.3</v>
      </c>
      <c r="Q16" s="218">
        <v>6.3</v>
      </c>
      <c r="R16" s="218">
        <v>6.3</v>
      </c>
      <c r="S16" s="218">
        <v>6.3</v>
      </c>
      <c r="T16" s="218">
        <v>6.3</v>
      </c>
      <c r="U16" s="218">
        <v>6.3</v>
      </c>
      <c r="V16" s="218">
        <v>6.3</v>
      </c>
      <c r="W16" s="218">
        <v>6.3</v>
      </c>
      <c r="X16" s="218">
        <v>6.3</v>
      </c>
      <c r="Y16" s="218">
        <v>6.3</v>
      </c>
      <c r="Z16" s="218">
        <v>6.3</v>
      </c>
      <c r="AA16" s="235">
        <v>6.3</v>
      </c>
      <c r="AB16" s="248">
        <v>6.3</v>
      </c>
      <c r="AC16" s="248">
        <v>6.3</v>
      </c>
      <c r="AD16" s="248">
        <v>6.3</v>
      </c>
      <c r="AE16" s="248">
        <v>6.3</v>
      </c>
      <c r="AF16" s="248">
        <v>6.3</v>
      </c>
      <c r="AG16" s="59">
        <v>23.5</v>
      </c>
      <c r="AH16" s="52">
        <f t="shared" si="2"/>
        <v>6.3</v>
      </c>
      <c r="AI16" s="53">
        <f t="shared" si="3"/>
        <v>6.3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224">
        <v>22.8</v>
      </c>
      <c r="C17" s="224">
        <v>22.8</v>
      </c>
      <c r="D17" s="224">
        <v>23.3</v>
      </c>
      <c r="E17" s="224">
        <v>23.3</v>
      </c>
      <c r="F17" s="224">
        <v>23.3</v>
      </c>
      <c r="G17" s="224">
        <v>22.8</v>
      </c>
      <c r="H17" s="224">
        <v>22.8</v>
      </c>
      <c r="I17" s="224">
        <v>22.7</v>
      </c>
      <c r="J17" s="224">
        <v>22.7</v>
      </c>
      <c r="K17" s="224">
        <v>22.5</v>
      </c>
      <c r="L17" s="218">
        <v>22</v>
      </c>
      <c r="M17" s="218">
        <v>22</v>
      </c>
      <c r="N17" s="218">
        <v>22</v>
      </c>
      <c r="O17" s="218">
        <v>22</v>
      </c>
      <c r="P17" s="218">
        <v>22</v>
      </c>
      <c r="Q17" s="218">
        <v>22</v>
      </c>
      <c r="R17" s="218">
        <v>22.5</v>
      </c>
      <c r="S17" s="218">
        <v>22.5</v>
      </c>
      <c r="T17" s="218">
        <v>22.7</v>
      </c>
      <c r="U17" s="218">
        <v>22.8</v>
      </c>
      <c r="V17" s="218">
        <v>22.9</v>
      </c>
      <c r="W17" s="218">
        <v>22.9</v>
      </c>
      <c r="X17" s="218">
        <v>22.7</v>
      </c>
      <c r="Y17" s="218">
        <v>22.6</v>
      </c>
      <c r="Z17" s="218">
        <v>22.5</v>
      </c>
      <c r="AA17" s="235">
        <v>22.7</v>
      </c>
      <c r="AB17" s="218">
        <v>22.7</v>
      </c>
      <c r="AC17" s="252">
        <v>22.7</v>
      </c>
      <c r="AD17" s="218">
        <v>22.8</v>
      </c>
      <c r="AE17" s="218">
        <v>23.1</v>
      </c>
      <c r="AF17" s="218">
        <v>23.4</v>
      </c>
      <c r="AG17" s="59">
        <v>22.1</v>
      </c>
      <c r="AH17" s="52">
        <f t="shared" si="2"/>
        <v>23.4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5.75" x14ac:dyDescent="0.25">
      <c r="A18" s="58" t="s">
        <v>25</v>
      </c>
      <c r="B18" s="224">
        <v>8</v>
      </c>
      <c r="C18" s="224">
        <v>8</v>
      </c>
      <c r="D18" s="224">
        <v>8</v>
      </c>
      <c r="E18" s="224">
        <v>8</v>
      </c>
      <c r="F18" s="224">
        <v>8</v>
      </c>
      <c r="G18" s="224">
        <v>8</v>
      </c>
      <c r="H18" s="224">
        <v>8</v>
      </c>
      <c r="I18" s="224">
        <v>8</v>
      </c>
      <c r="J18" s="224">
        <v>8</v>
      </c>
      <c r="K18" s="224">
        <v>8</v>
      </c>
      <c r="L18" s="218">
        <v>8</v>
      </c>
      <c r="M18" s="218">
        <v>8</v>
      </c>
      <c r="N18" s="218">
        <v>8</v>
      </c>
      <c r="O18" s="218">
        <v>8</v>
      </c>
      <c r="P18" s="218">
        <v>8</v>
      </c>
      <c r="Q18" s="218">
        <v>8</v>
      </c>
      <c r="R18" s="218">
        <v>8</v>
      </c>
      <c r="S18" s="218">
        <v>8</v>
      </c>
      <c r="T18" s="218">
        <v>8</v>
      </c>
      <c r="U18" s="218">
        <v>8</v>
      </c>
      <c r="V18" s="218">
        <v>8</v>
      </c>
      <c r="W18" s="218">
        <v>8</v>
      </c>
      <c r="X18" s="218">
        <v>8</v>
      </c>
      <c r="Y18" s="218">
        <v>8</v>
      </c>
      <c r="Z18" s="218">
        <v>8</v>
      </c>
      <c r="AA18" s="235">
        <v>8</v>
      </c>
      <c r="AB18" s="248">
        <v>8</v>
      </c>
      <c r="AC18" s="248">
        <v>8</v>
      </c>
      <c r="AD18" s="248">
        <v>8</v>
      </c>
      <c r="AE18" s="248">
        <v>8</v>
      </c>
      <c r="AF18" s="248">
        <v>8</v>
      </c>
      <c r="AG18" s="59">
        <v>22.1</v>
      </c>
      <c r="AH18" s="52">
        <f t="shared" si="2"/>
        <v>8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5.75" x14ac:dyDescent="0.25">
      <c r="A19" s="58" t="s">
        <v>26</v>
      </c>
      <c r="B19" s="224">
        <v>25.4</v>
      </c>
      <c r="C19" s="224">
        <v>25.4</v>
      </c>
      <c r="D19" s="224">
        <v>17.7</v>
      </c>
      <c r="E19" s="224">
        <v>17.7</v>
      </c>
      <c r="F19" s="224">
        <v>20</v>
      </c>
      <c r="G19" s="224">
        <v>19.5</v>
      </c>
      <c r="H19" s="224">
        <v>19.600000000000001</v>
      </c>
      <c r="I19" s="224">
        <v>19.600000000000001</v>
      </c>
      <c r="J19" s="224">
        <v>19.5</v>
      </c>
      <c r="K19" s="224">
        <v>18.600000000000001</v>
      </c>
      <c r="L19" s="218">
        <v>0</v>
      </c>
      <c r="M19" s="218">
        <v>0</v>
      </c>
      <c r="N19" s="218">
        <v>0</v>
      </c>
      <c r="O19" s="218">
        <v>22</v>
      </c>
      <c r="P19" s="218">
        <v>22</v>
      </c>
      <c r="Q19" s="218">
        <v>22</v>
      </c>
      <c r="R19" s="218">
        <v>22</v>
      </c>
      <c r="S19" s="218">
        <v>23.6</v>
      </c>
      <c r="T19" s="218">
        <v>23.6</v>
      </c>
      <c r="U19" s="218">
        <v>24</v>
      </c>
      <c r="V19" s="218">
        <v>24</v>
      </c>
      <c r="W19" s="218">
        <v>24</v>
      </c>
      <c r="X19" s="218">
        <v>23.8</v>
      </c>
      <c r="Y19" s="218">
        <v>23.9</v>
      </c>
      <c r="Z19" s="218">
        <v>23.7</v>
      </c>
      <c r="AA19" s="235">
        <v>24</v>
      </c>
      <c r="AB19" s="218">
        <v>24</v>
      </c>
      <c r="AC19" s="218">
        <v>24.1</v>
      </c>
      <c r="AD19" s="218">
        <v>23.9</v>
      </c>
      <c r="AE19" s="218">
        <v>21.7</v>
      </c>
      <c r="AF19" s="218">
        <v>21.8</v>
      </c>
      <c r="AG19" s="59">
        <v>22</v>
      </c>
      <c r="AH19" s="52">
        <f t="shared" si="2"/>
        <v>25.4</v>
      </c>
      <c r="AI19" s="53">
        <f t="shared" si="3"/>
        <v>0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5.75" x14ac:dyDescent="0.25">
      <c r="A20" s="58" t="s">
        <v>27</v>
      </c>
      <c r="B20" s="224">
        <v>21</v>
      </c>
      <c r="C20" s="224">
        <v>21</v>
      </c>
      <c r="D20" s="224">
        <v>21</v>
      </c>
      <c r="E20" s="224">
        <v>21</v>
      </c>
      <c r="F20" s="224">
        <v>21</v>
      </c>
      <c r="G20" s="224">
        <v>21</v>
      </c>
      <c r="H20" s="224">
        <v>21</v>
      </c>
      <c r="I20" s="224">
        <v>21</v>
      </c>
      <c r="J20" s="224">
        <v>21</v>
      </c>
      <c r="K20" s="224">
        <v>21</v>
      </c>
      <c r="L20" s="218">
        <v>21</v>
      </c>
      <c r="M20" s="218">
        <v>21</v>
      </c>
      <c r="N20" s="218">
        <v>21</v>
      </c>
      <c r="O20" s="218">
        <v>21</v>
      </c>
      <c r="P20" s="218">
        <v>21</v>
      </c>
      <c r="Q20" s="218">
        <v>21</v>
      </c>
      <c r="R20" s="218">
        <v>21</v>
      </c>
      <c r="S20" s="218">
        <v>21</v>
      </c>
      <c r="T20" s="218">
        <v>21</v>
      </c>
      <c r="U20" s="218">
        <v>21</v>
      </c>
      <c r="V20" s="218">
        <v>21</v>
      </c>
      <c r="W20" s="218">
        <v>21</v>
      </c>
      <c r="X20" s="218">
        <v>21</v>
      </c>
      <c r="Y20" s="218">
        <v>21</v>
      </c>
      <c r="Z20" s="218">
        <v>21</v>
      </c>
      <c r="AA20" s="235">
        <v>21</v>
      </c>
      <c r="AB20" s="248">
        <v>21</v>
      </c>
      <c r="AC20" s="248">
        <v>21</v>
      </c>
      <c r="AD20" s="248">
        <v>21</v>
      </c>
      <c r="AE20" s="248">
        <v>21</v>
      </c>
      <c r="AF20" s="248">
        <v>21</v>
      </c>
      <c r="AG20" s="59">
        <v>22</v>
      </c>
      <c r="AH20" s="52">
        <f t="shared" si="2"/>
        <v>21</v>
      </c>
      <c r="AI20" s="53">
        <f t="shared" si="3"/>
        <v>21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224">
        <v>0</v>
      </c>
      <c r="C21" s="224">
        <v>0</v>
      </c>
      <c r="D21" s="224">
        <v>0</v>
      </c>
      <c r="E21" s="224">
        <v>0</v>
      </c>
      <c r="F21" s="224">
        <v>0</v>
      </c>
      <c r="G21" s="224">
        <v>0</v>
      </c>
      <c r="H21" s="224">
        <v>0</v>
      </c>
      <c r="I21" s="224">
        <v>0</v>
      </c>
      <c r="J21" s="224">
        <v>0</v>
      </c>
      <c r="K21" s="224">
        <v>0</v>
      </c>
      <c r="L21" s="224">
        <v>0</v>
      </c>
      <c r="M21" s="224">
        <v>0</v>
      </c>
      <c r="N21" s="224">
        <v>4.5</v>
      </c>
      <c r="O21" s="258">
        <v>4.5</v>
      </c>
      <c r="P21" s="258">
        <v>4.5</v>
      </c>
      <c r="Q21" s="258">
        <v>4.5</v>
      </c>
      <c r="R21" s="258">
        <v>4.5</v>
      </c>
      <c r="S21" s="258">
        <v>4.5</v>
      </c>
      <c r="T21" s="258">
        <v>4.5</v>
      </c>
      <c r="U21" s="258">
        <v>4.5</v>
      </c>
      <c r="V21" s="258">
        <v>4.5</v>
      </c>
      <c r="W21" s="258">
        <v>4.5</v>
      </c>
      <c r="X21" s="258">
        <v>4.5</v>
      </c>
      <c r="Y21" s="258">
        <v>4.5</v>
      </c>
      <c r="Z21" s="258">
        <v>4.5</v>
      </c>
      <c r="AA21" s="258">
        <v>4.5</v>
      </c>
      <c r="AB21" s="258">
        <v>4.5</v>
      </c>
      <c r="AC21" s="258">
        <v>4.5</v>
      </c>
      <c r="AD21" s="258">
        <v>4.5</v>
      </c>
      <c r="AE21" s="258">
        <v>4.5</v>
      </c>
      <c r="AF21" s="258">
        <v>4.5</v>
      </c>
      <c r="AG21" s="59">
        <v>14.9</v>
      </c>
      <c r="AH21" s="52">
        <f t="shared" si="2"/>
        <v>4.5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5.75" x14ac:dyDescent="0.25">
      <c r="A22" s="58" t="s">
        <v>29</v>
      </c>
      <c r="B22" s="224">
        <v>10</v>
      </c>
      <c r="C22" s="224">
        <v>10</v>
      </c>
      <c r="D22" s="224">
        <v>10</v>
      </c>
      <c r="E22" s="224">
        <v>10</v>
      </c>
      <c r="F22" s="224">
        <v>10</v>
      </c>
      <c r="G22" s="224">
        <v>10</v>
      </c>
      <c r="H22" s="224">
        <v>10</v>
      </c>
      <c r="I22" s="224">
        <v>10</v>
      </c>
      <c r="J22" s="224">
        <v>10</v>
      </c>
      <c r="K22" s="224">
        <v>10</v>
      </c>
      <c r="L22" s="224">
        <v>10</v>
      </c>
      <c r="M22" s="224">
        <v>10</v>
      </c>
      <c r="N22" s="224">
        <v>10</v>
      </c>
      <c r="O22" s="224">
        <v>10</v>
      </c>
      <c r="P22" s="224">
        <v>10</v>
      </c>
      <c r="Q22" s="224">
        <v>10</v>
      </c>
      <c r="R22" s="224">
        <v>10</v>
      </c>
      <c r="S22" s="224">
        <v>10</v>
      </c>
      <c r="T22" s="224">
        <v>10</v>
      </c>
      <c r="U22" s="224">
        <v>10</v>
      </c>
      <c r="V22" s="224">
        <v>10</v>
      </c>
      <c r="W22" s="224">
        <v>10</v>
      </c>
      <c r="X22" s="224">
        <v>10</v>
      </c>
      <c r="Y22" s="224">
        <v>10</v>
      </c>
      <c r="Z22" s="224">
        <v>10</v>
      </c>
      <c r="AA22" s="235">
        <v>10</v>
      </c>
      <c r="AB22" s="248">
        <v>10</v>
      </c>
      <c r="AC22" s="248">
        <v>10</v>
      </c>
      <c r="AD22" s="248">
        <v>10</v>
      </c>
      <c r="AE22" s="248">
        <v>10</v>
      </c>
      <c r="AF22" s="248">
        <v>10</v>
      </c>
      <c r="AG22" s="59">
        <v>13.6</v>
      </c>
      <c r="AH22" s="52">
        <f t="shared" si="2"/>
        <v>10</v>
      </c>
      <c r="AI22" s="53">
        <f t="shared" si="3"/>
        <v>10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5.75" x14ac:dyDescent="0.25">
      <c r="A23" s="58" t="s">
        <v>30</v>
      </c>
      <c r="B23" s="224">
        <v>10.6</v>
      </c>
      <c r="C23" s="224">
        <v>10.6</v>
      </c>
      <c r="D23" s="224">
        <v>10.6</v>
      </c>
      <c r="E23" s="224">
        <v>10.6</v>
      </c>
      <c r="F23" s="224">
        <v>10.6</v>
      </c>
      <c r="G23" s="224">
        <v>10.6</v>
      </c>
      <c r="H23" s="224">
        <v>10.6</v>
      </c>
      <c r="I23" s="224">
        <v>10.6</v>
      </c>
      <c r="J23" s="224">
        <v>10.6</v>
      </c>
      <c r="K23" s="224">
        <v>10.6</v>
      </c>
      <c r="L23" s="224">
        <v>10.6</v>
      </c>
      <c r="M23" s="224">
        <v>10.6</v>
      </c>
      <c r="N23" s="224">
        <v>10.6</v>
      </c>
      <c r="O23" s="224">
        <v>10.6</v>
      </c>
      <c r="P23" s="224">
        <v>10.6</v>
      </c>
      <c r="Q23" s="224">
        <v>10.6</v>
      </c>
      <c r="R23" s="224">
        <v>10.6</v>
      </c>
      <c r="S23" s="224">
        <v>10.6</v>
      </c>
      <c r="T23" s="224">
        <v>10.6</v>
      </c>
      <c r="U23" s="224">
        <v>10.6</v>
      </c>
      <c r="V23" s="224">
        <v>10.6</v>
      </c>
      <c r="W23" s="224">
        <v>10.6</v>
      </c>
      <c r="X23" s="224">
        <v>10.6</v>
      </c>
      <c r="Y23" s="224">
        <v>10.6</v>
      </c>
      <c r="Z23" s="224">
        <v>10.6</v>
      </c>
      <c r="AA23" s="235">
        <v>10.6</v>
      </c>
      <c r="AB23" s="248">
        <v>10.6</v>
      </c>
      <c r="AC23" s="248">
        <v>10.6</v>
      </c>
      <c r="AD23" s="248">
        <v>10.6</v>
      </c>
      <c r="AE23" s="248">
        <v>10.6</v>
      </c>
      <c r="AF23" s="248">
        <v>10.6</v>
      </c>
      <c r="AG23" s="59">
        <v>13</v>
      </c>
      <c r="AH23" s="52">
        <f t="shared" si="2"/>
        <v>10.6</v>
      </c>
      <c r="AI23" s="53">
        <f t="shared" si="3"/>
        <v>10.6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ht="15.75" x14ac:dyDescent="0.25">
      <c r="A24" s="58" t="s">
        <v>31</v>
      </c>
      <c r="B24" s="224">
        <v>11.7</v>
      </c>
      <c r="C24" s="224">
        <v>11.7</v>
      </c>
      <c r="D24" s="224">
        <v>11.7</v>
      </c>
      <c r="E24" s="224">
        <v>11.7</v>
      </c>
      <c r="F24" s="224">
        <v>11.7</v>
      </c>
      <c r="G24" s="224">
        <v>11.7</v>
      </c>
      <c r="H24" s="224">
        <v>11.7</v>
      </c>
      <c r="I24" s="224">
        <v>11.7</v>
      </c>
      <c r="J24" s="224">
        <v>11.7</v>
      </c>
      <c r="K24" s="224">
        <v>11.7</v>
      </c>
      <c r="L24" s="224">
        <v>11.7</v>
      </c>
      <c r="M24" s="224">
        <v>11.7</v>
      </c>
      <c r="N24" s="224">
        <v>11.7</v>
      </c>
      <c r="O24" s="224">
        <v>11.7</v>
      </c>
      <c r="P24" s="224">
        <v>11.7</v>
      </c>
      <c r="Q24" s="224">
        <v>11.7</v>
      </c>
      <c r="R24" s="224">
        <v>11.7</v>
      </c>
      <c r="S24" s="224">
        <v>11.7</v>
      </c>
      <c r="T24" s="224">
        <v>11.7</v>
      </c>
      <c r="U24" s="224">
        <v>11.7</v>
      </c>
      <c r="V24" s="224">
        <v>11.7</v>
      </c>
      <c r="W24" s="224">
        <v>11.7</v>
      </c>
      <c r="X24" s="224">
        <v>11.7</v>
      </c>
      <c r="Y24" s="224">
        <v>11.7</v>
      </c>
      <c r="Z24" s="224">
        <v>11.7</v>
      </c>
      <c r="AA24" s="235">
        <v>11.7</v>
      </c>
      <c r="AB24" s="248">
        <v>11.7</v>
      </c>
      <c r="AC24" s="248">
        <v>11.7</v>
      </c>
      <c r="AD24" s="248">
        <v>11.7</v>
      </c>
      <c r="AE24" s="248">
        <v>11.7</v>
      </c>
      <c r="AF24" s="248">
        <v>11.7</v>
      </c>
      <c r="AG24" s="59">
        <v>12</v>
      </c>
      <c r="AH24" s="52">
        <f t="shared" si="2"/>
        <v>11.7</v>
      </c>
      <c r="AI24" s="53">
        <f t="shared" si="3"/>
        <v>11.7</v>
      </c>
      <c r="AJ24" s="1"/>
      <c r="AK24" s="54"/>
      <c r="AL24" s="31"/>
      <c r="AM24" s="211"/>
      <c r="AN24" s="211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5.75" x14ac:dyDescent="0.25">
      <c r="A25" s="58" t="s">
        <v>32</v>
      </c>
      <c r="B25" s="224">
        <v>2.2000000000000002</v>
      </c>
      <c r="C25" s="224">
        <v>2.2000000000000002</v>
      </c>
      <c r="D25" s="224">
        <v>2.2000000000000002</v>
      </c>
      <c r="E25" s="224">
        <v>2.2000000000000002</v>
      </c>
      <c r="F25" s="224">
        <v>2.2000000000000002</v>
      </c>
      <c r="G25" s="224">
        <v>2.2000000000000002</v>
      </c>
      <c r="H25" s="224">
        <v>2.2000000000000002</v>
      </c>
      <c r="I25" s="224">
        <v>2.2000000000000002</v>
      </c>
      <c r="J25" s="224">
        <v>2.2000000000000002</v>
      </c>
      <c r="K25" s="224">
        <v>2.2000000000000002</v>
      </c>
      <c r="L25" s="224">
        <v>2.2000000000000002</v>
      </c>
      <c r="M25" s="224">
        <v>2.2000000000000002</v>
      </c>
      <c r="N25" s="224">
        <v>2.2000000000000002</v>
      </c>
      <c r="O25" s="224">
        <v>2.2000000000000002</v>
      </c>
      <c r="P25" s="224">
        <v>2.2000000000000002</v>
      </c>
      <c r="Q25" s="224">
        <v>2.2000000000000002</v>
      </c>
      <c r="R25" s="224">
        <v>2.2000000000000002</v>
      </c>
      <c r="S25" s="224">
        <v>2.2000000000000002</v>
      </c>
      <c r="T25" s="224">
        <v>2.2000000000000002</v>
      </c>
      <c r="U25" s="224">
        <v>2.2000000000000002</v>
      </c>
      <c r="V25" s="224">
        <v>2.2000000000000002</v>
      </c>
      <c r="W25" s="224">
        <v>2.2000000000000002</v>
      </c>
      <c r="X25" s="224">
        <v>2.2000000000000002</v>
      </c>
      <c r="Y25" s="224">
        <v>2.2000000000000002</v>
      </c>
      <c r="Z25" s="224">
        <v>2.2000000000000002</v>
      </c>
      <c r="AA25" s="235">
        <v>2.2000000000000002</v>
      </c>
      <c r="AB25" s="248">
        <v>2.2000000000000002</v>
      </c>
      <c r="AC25" s="248">
        <v>2.2000000000000002</v>
      </c>
      <c r="AD25" s="248">
        <v>2.2000000000000002</v>
      </c>
      <c r="AE25" s="248">
        <v>2.2000000000000002</v>
      </c>
      <c r="AF25" s="248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 s="211"/>
      <c r="AN25" s="211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5.75" x14ac:dyDescent="0.25">
      <c r="A26" s="58" t="s">
        <v>33</v>
      </c>
      <c r="B26" s="224">
        <v>10</v>
      </c>
      <c r="C26" s="224">
        <v>10</v>
      </c>
      <c r="D26" s="224">
        <v>10</v>
      </c>
      <c r="E26" s="224">
        <v>10</v>
      </c>
      <c r="F26" s="224">
        <v>10</v>
      </c>
      <c r="G26" s="224">
        <v>10</v>
      </c>
      <c r="H26" s="224">
        <v>10</v>
      </c>
      <c r="I26" s="224">
        <v>10</v>
      </c>
      <c r="J26" s="224">
        <v>10</v>
      </c>
      <c r="K26" s="224">
        <v>10</v>
      </c>
      <c r="L26" s="224">
        <v>10</v>
      </c>
      <c r="M26" s="224">
        <v>10</v>
      </c>
      <c r="N26" s="224">
        <v>10</v>
      </c>
      <c r="O26" s="224">
        <v>10</v>
      </c>
      <c r="P26" s="224">
        <v>10</v>
      </c>
      <c r="Q26" s="224">
        <v>10</v>
      </c>
      <c r="R26" s="224">
        <v>10</v>
      </c>
      <c r="S26" s="224">
        <v>10</v>
      </c>
      <c r="T26" s="224">
        <v>10</v>
      </c>
      <c r="U26" s="224">
        <v>10</v>
      </c>
      <c r="V26" s="224">
        <v>10</v>
      </c>
      <c r="W26" s="224">
        <v>10</v>
      </c>
      <c r="X26" s="224">
        <v>10</v>
      </c>
      <c r="Y26" s="224">
        <v>10</v>
      </c>
      <c r="Z26" s="224">
        <v>10</v>
      </c>
      <c r="AA26" s="235">
        <v>10</v>
      </c>
      <c r="AB26" s="248">
        <v>10</v>
      </c>
      <c r="AC26" s="248">
        <v>10</v>
      </c>
      <c r="AD26" s="248">
        <v>10</v>
      </c>
      <c r="AE26" s="248">
        <v>10</v>
      </c>
      <c r="AF26" s="248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 s="211"/>
      <c r="AN26" s="211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5.75" x14ac:dyDescent="0.25">
      <c r="A27" s="58" t="s">
        <v>34</v>
      </c>
      <c r="B27" s="224">
        <v>8</v>
      </c>
      <c r="C27" s="224">
        <v>8</v>
      </c>
      <c r="D27" s="224">
        <v>8</v>
      </c>
      <c r="E27" s="224">
        <v>8</v>
      </c>
      <c r="F27" s="224">
        <v>8</v>
      </c>
      <c r="G27" s="224">
        <v>8</v>
      </c>
      <c r="H27" s="224">
        <v>8</v>
      </c>
      <c r="I27" s="224">
        <v>8</v>
      </c>
      <c r="J27" s="224">
        <v>8</v>
      </c>
      <c r="K27" s="224">
        <v>8</v>
      </c>
      <c r="L27" s="218">
        <v>8</v>
      </c>
      <c r="M27" s="218">
        <v>8</v>
      </c>
      <c r="N27" s="218">
        <v>8</v>
      </c>
      <c r="O27" s="218">
        <v>8</v>
      </c>
      <c r="P27" s="218">
        <v>8</v>
      </c>
      <c r="Q27" s="218">
        <v>8</v>
      </c>
      <c r="R27" s="218">
        <v>8</v>
      </c>
      <c r="S27" s="218">
        <v>8</v>
      </c>
      <c r="T27" s="218">
        <v>8</v>
      </c>
      <c r="U27" s="218">
        <v>8</v>
      </c>
      <c r="V27" s="218">
        <v>8</v>
      </c>
      <c r="W27" s="218">
        <v>8</v>
      </c>
      <c r="X27" s="218">
        <v>8</v>
      </c>
      <c r="Y27" s="218">
        <v>8</v>
      </c>
      <c r="Z27" s="218">
        <v>8</v>
      </c>
      <c r="AA27" s="235">
        <v>8</v>
      </c>
      <c r="AB27" s="248">
        <v>8</v>
      </c>
      <c r="AC27" s="248">
        <v>8</v>
      </c>
      <c r="AD27" s="248">
        <v>8</v>
      </c>
      <c r="AE27" s="248">
        <v>8</v>
      </c>
      <c r="AF27" s="248">
        <v>8</v>
      </c>
      <c r="AG27" s="59">
        <v>10</v>
      </c>
      <c r="AH27" s="52">
        <f t="shared" si="2"/>
        <v>8</v>
      </c>
      <c r="AI27" s="53">
        <f t="shared" si="3"/>
        <v>8</v>
      </c>
      <c r="AK27" s="54"/>
    </row>
    <row r="28" spans="1:88" ht="15.75" x14ac:dyDescent="0.25">
      <c r="A28" s="65" t="s">
        <v>35</v>
      </c>
      <c r="B28" s="224">
        <v>130</v>
      </c>
      <c r="C28" s="224">
        <v>150</v>
      </c>
      <c r="D28" s="224">
        <v>150</v>
      </c>
      <c r="E28" s="224">
        <v>150</v>
      </c>
      <c r="F28" s="224">
        <v>150</v>
      </c>
      <c r="G28" s="224">
        <v>150</v>
      </c>
      <c r="H28" s="224">
        <v>150</v>
      </c>
      <c r="I28" s="224">
        <v>150</v>
      </c>
      <c r="J28" s="224">
        <v>150</v>
      </c>
      <c r="K28" s="224">
        <v>150</v>
      </c>
      <c r="L28" s="224">
        <v>150</v>
      </c>
      <c r="M28" s="224">
        <v>150</v>
      </c>
      <c r="N28" s="224">
        <v>150</v>
      </c>
      <c r="O28" s="224">
        <v>150</v>
      </c>
      <c r="P28" s="224">
        <v>150</v>
      </c>
      <c r="Q28" s="224">
        <v>150</v>
      </c>
      <c r="R28" s="224">
        <v>150</v>
      </c>
      <c r="S28" s="224">
        <v>150</v>
      </c>
      <c r="T28" s="224">
        <v>150</v>
      </c>
      <c r="U28" s="224">
        <v>150</v>
      </c>
      <c r="V28" s="224">
        <v>150</v>
      </c>
      <c r="W28" s="224">
        <v>150</v>
      </c>
      <c r="X28" s="224">
        <v>150</v>
      </c>
      <c r="Y28" s="224">
        <v>150</v>
      </c>
      <c r="Z28" s="224">
        <v>150</v>
      </c>
      <c r="AA28" s="235">
        <v>150</v>
      </c>
      <c r="AB28" s="224">
        <v>150</v>
      </c>
      <c r="AC28" s="224">
        <v>150</v>
      </c>
      <c r="AD28" s="224">
        <v>150</v>
      </c>
      <c r="AE28" s="224">
        <v>150</v>
      </c>
      <c r="AF28" s="224">
        <v>150</v>
      </c>
      <c r="AG28" s="59">
        <v>85</v>
      </c>
      <c r="AH28" s="52">
        <f t="shared" si="2"/>
        <v>150</v>
      </c>
      <c r="AI28" s="53">
        <f t="shared" si="3"/>
        <v>130</v>
      </c>
      <c r="AK28" s="54"/>
    </row>
    <row r="29" spans="1:88" ht="16.5" thickBot="1" x14ac:dyDescent="0.3">
      <c r="A29" s="66" t="s">
        <v>36</v>
      </c>
      <c r="B29" s="224">
        <v>106.6</v>
      </c>
      <c r="C29" s="224">
        <v>103</v>
      </c>
      <c r="D29" s="224">
        <v>99.6</v>
      </c>
      <c r="E29" s="224">
        <v>100.5</v>
      </c>
      <c r="F29" s="224">
        <v>101</v>
      </c>
      <c r="G29" s="224">
        <v>98</v>
      </c>
      <c r="H29" s="224">
        <v>97.4</v>
      </c>
      <c r="I29" s="224">
        <v>97.4</v>
      </c>
      <c r="J29" s="224">
        <v>92.5</v>
      </c>
      <c r="K29" s="224">
        <v>98.2</v>
      </c>
      <c r="L29" s="227">
        <v>97.8</v>
      </c>
      <c r="M29" s="227">
        <v>94.9</v>
      </c>
      <c r="N29" s="227">
        <v>105.4</v>
      </c>
      <c r="O29" s="227">
        <v>111.6</v>
      </c>
      <c r="P29" s="227">
        <v>104.7</v>
      </c>
      <c r="Q29" s="227">
        <v>103.8</v>
      </c>
      <c r="R29" s="227">
        <v>103</v>
      </c>
      <c r="S29" s="227">
        <v>102.9</v>
      </c>
      <c r="T29" s="227">
        <v>102.8</v>
      </c>
      <c r="U29" s="227">
        <v>100.3</v>
      </c>
      <c r="V29" s="227">
        <v>100.2</v>
      </c>
      <c r="W29" s="227">
        <v>97.8</v>
      </c>
      <c r="X29" s="227">
        <v>98.3</v>
      </c>
      <c r="Y29" s="227">
        <v>98.9</v>
      </c>
      <c r="Z29" s="227">
        <v>97.7</v>
      </c>
      <c r="AA29" s="234">
        <v>98.3</v>
      </c>
      <c r="AB29" s="227">
        <v>97.5</v>
      </c>
      <c r="AC29" s="227">
        <v>98</v>
      </c>
      <c r="AD29" s="227">
        <v>97.1</v>
      </c>
      <c r="AE29" s="224">
        <v>100.2</v>
      </c>
      <c r="AF29" s="224">
        <v>100.3</v>
      </c>
      <c r="AG29" s="59">
        <v>240</v>
      </c>
      <c r="AH29" s="52">
        <f t="shared" si="2"/>
        <v>111.6</v>
      </c>
      <c r="AI29" s="53">
        <f t="shared" si="3"/>
        <v>92.5</v>
      </c>
      <c r="AK29" s="54"/>
    </row>
    <row r="30" spans="1:88" ht="15.75" thickBot="1" x14ac:dyDescent="0.3">
      <c r="A30" s="68" t="s">
        <v>37</v>
      </c>
      <c r="B30" s="228">
        <f>SUM(B11:B28)</f>
        <v>469.9</v>
      </c>
      <c r="C30" s="228">
        <f t="shared" ref="C30:AF30" si="4">SUM(C11:C28)</f>
        <v>489.9</v>
      </c>
      <c r="D30" s="228">
        <f t="shared" si="4"/>
        <v>482.90000000000003</v>
      </c>
      <c r="E30" s="228">
        <f t="shared" si="4"/>
        <v>482.5</v>
      </c>
      <c r="F30" s="228">
        <f t="shared" si="4"/>
        <v>485.20000000000005</v>
      </c>
      <c r="G30" s="228">
        <f t="shared" si="4"/>
        <v>458.90000000000003</v>
      </c>
      <c r="H30" s="228">
        <f t="shared" si="4"/>
        <v>458.9</v>
      </c>
      <c r="I30" s="228">
        <f t="shared" si="4"/>
        <v>459.2</v>
      </c>
      <c r="J30" s="228">
        <f t="shared" si="4"/>
        <v>458.8</v>
      </c>
      <c r="K30" s="228">
        <f t="shared" si="4"/>
        <v>482.40000000000003</v>
      </c>
      <c r="L30" s="228">
        <f t="shared" si="4"/>
        <v>463.2</v>
      </c>
      <c r="M30" s="228">
        <f t="shared" si="4"/>
        <v>463.9</v>
      </c>
      <c r="N30" s="228">
        <f t="shared" si="4"/>
        <v>468.3</v>
      </c>
      <c r="O30" s="228">
        <f t="shared" si="4"/>
        <v>491.3</v>
      </c>
      <c r="P30" s="228">
        <f t="shared" si="4"/>
        <v>490.5</v>
      </c>
      <c r="Q30" s="228">
        <f t="shared" si="4"/>
        <v>490.5</v>
      </c>
      <c r="R30" s="228">
        <f t="shared" si="4"/>
        <v>491</v>
      </c>
      <c r="S30" s="228">
        <f t="shared" si="4"/>
        <v>485</v>
      </c>
      <c r="T30" s="228">
        <f t="shared" si="4"/>
        <v>483.9</v>
      </c>
      <c r="U30" s="228">
        <f t="shared" si="4"/>
        <v>483.40000000000003</v>
      </c>
      <c r="V30" s="228">
        <f>SUM(V11:V28)</f>
        <v>482.5</v>
      </c>
      <c r="W30" s="228">
        <f t="shared" si="4"/>
        <v>483.4</v>
      </c>
      <c r="X30" s="228">
        <f t="shared" si="4"/>
        <v>484.2</v>
      </c>
      <c r="Y30" s="228">
        <f t="shared" si="4"/>
        <v>483.29999999999995</v>
      </c>
      <c r="Z30" s="228">
        <f t="shared" si="4"/>
        <v>484</v>
      </c>
      <c r="AA30" s="228">
        <f t="shared" si="4"/>
        <v>486.7</v>
      </c>
      <c r="AB30" s="228">
        <f t="shared" si="4"/>
        <v>486</v>
      </c>
      <c r="AC30" s="228">
        <f t="shared" si="4"/>
        <v>486.1</v>
      </c>
      <c r="AD30" s="228">
        <f t="shared" si="4"/>
        <v>483.1</v>
      </c>
      <c r="AE30" s="228">
        <f t="shared" si="4"/>
        <v>480.4</v>
      </c>
      <c r="AF30" s="228">
        <f t="shared" si="4"/>
        <v>480.3</v>
      </c>
      <c r="AG30" s="59">
        <f>SUM(AG11:AG29)</f>
        <v>729.2</v>
      </c>
      <c r="AH30" s="52">
        <f t="shared" si="2"/>
        <v>491.3</v>
      </c>
      <c r="AI30" s="53">
        <f t="shared" si="3"/>
        <v>458.8</v>
      </c>
      <c r="AK30" s="54"/>
    </row>
    <row r="31" spans="1:88" ht="15.75" x14ac:dyDescent="0.25">
      <c r="A31" s="55" t="s">
        <v>38</v>
      </c>
      <c r="B31" s="224">
        <v>143</v>
      </c>
      <c r="C31" s="224">
        <v>143</v>
      </c>
      <c r="D31" s="224">
        <v>141.4</v>
      </c>
      <c r="E31" s="224">
        <v>143.6</v>
      </c>
      <c r="F31" s="224">
        <v>143.6</v>
      </c>
      <c r="G31" s="224">
        <v>143.9</v>
      </c>
      <c r="H31" s="224">
        <v>143.80000000000001</v>
      </c>
      <c r="I31" s="224">
        <v>144.19999999999999</v>
      </c>
      <c r="J31" s="224">
        <v>143.80000000000001</v>
      </c>
      <c r="K31" s="224">
        <v>143.19999999999999</v>
      </c>
      <c r="L31" s="218">
        <v>142.80000000000001</v>
      </c>
      <c r="M31" s="218">
        <v>142</v>
      </c>
      <c r="N31" s="218">
        <v>130</v>
      </c>
      <c r="O31" s="218">
        <v>132.4</v>
      </c>
      <c r="P31" s="218">
        <v>132.21</v>
      </c>
      <c r="Q31" s="218">
        <v>131.69999999999999</v>
      </c>
      <c r="R31" s="218">
        <v>131.69999999999999</v>
      </c>
      <c r="S31" s="218">
        <v>141.1</v>
      </c>
      <c r="T31" s="218">
        <v>141.30000000000001</v>
      </c>
      <c r="U31" s="218">
        <v>118.4</v>
      </c>
      <c r="V31" s="218">
        <v>141.4</v>
      </c>
      <c r="W31" s="218">
        <v>141.4</v>
      </c>
      <c r="X31" s="218">
        <v>141.6</v>
      </c>
      <c r="Y31" s="218">
        <v>141.1</v>
      </c>
      <c r="Z31" s="218">
        <v>141.80000000000001</v>
      </c>
      <c r="AA31" s="237">
        <v>141.9</v>
      </c>
      <c r="AB31" s="48">
        <v>142.19999999999999</v>
      </c>
      <c r="AC31" s="48">
        <v>142</v>
      </c>
      <c r="AD31" s="48">
        <v>142.4</v>
      </c>
      <c r="AE31" s="48">
        <v>142.6</v>
      </c>
      <c r="AF31" s="48">
        <v>143.1</v>
      </c>
      <c r="AG31" s="57">
        <v>144</v>
      </c>
      <c r="AH31" s="52">
        <f t="shared" si="2"/>
        <v>144.19999999999999</v>
      </c>
      <c r="AI31" s="53">
        <f t="shared" si="3"/>
        <v>118.4</v>
      </c>
      <c r="AK31" s="54"/>
    </row>
    <row r="32" spans="1:88" ht="15.75" x14ac:dyDescent="0.25">
      <c r="A32" s="58" t="s">
        <v>39</v>
      </c>
      <c r="B32" s="224">
        <v>70</v>
      </c>
      <c r="C32" s="224">
        <v>70</v>
      </c>
      <c r="D32" s="224">
        <v>70.5</v>
      </c>
      <c r="E32" s="224">
        <v>70.900000000000006</v>
      </c>
      <c r="F32" s="224">
        <v>71.099999999999994</v>
      </c>
      <c r="G32" s="224">
        <v>69.900000000000006</v>
      </c>
      <c r="H32" s="224">
        <v>71.3</v>
      </c>
      <c r="I32" s="224">
        <v>70.8</v>
      </c>
      <c r="J32" s="224">
        <v>70.5</v>
      </c>
      <c r="K32" s="224">
        <v>69.8</v>
      </c>
      <c r="L32" s="219">
        <v>69.3</v>
      </c>
      <c r="M32" s="219">
        <v>58</v>
      </c>
      <c r="N32" s="219">
        <v>58.9</v>
      </c>
      <c r="O32" s="219">
        <v>60.7</v>
      </c>
      <c r="P32" s="219">
        <v>61.3</v>
      </c>
      <c r="Q32" s="219">
        <v>62</v>
      </c>
      <c r="R32" s="219">
        <v>61</v>
      </c>
      <c r="S32" s="219">
        <v>69.7</v>
      </c>
      <c r="T32" s="219">
        <v>70.099999999999994</v>
      </c>
      <c r="U32" s="219">
        <v>72.099999999999994</v>
      </c>
      <c r="V32" s="219">
        <v>70</v>
      </c>
      <c r="W32" s="219">
        <v>58.9</v>
      </c>
      <c r="X32" s="219">
        <v>59.4</v>
      </c>
      <c r="Y32" s="219">
        <v>60.5</v>
      </c>
      <c r="Z32" s="219">
        <v>70</v>
      </c>
      <c r="AA32" s="237">
        <v>69.599999999999994</v>
      </c>
      <c r="AB32" s="224">
        <v>69.400000000000006</v>
      </c>
      <c r="AC32" s="224">
        <v>70</v>
      </c>
      <c r="AD32" s="224">
        <v>69.5</v>
      </c>
      <c r="AE32" s="224">
        <v>70.400000000000006</v>
      </c>
      <c r="AF32" s="224">
        <v>72</v>
      </c>
      <c r="AG32" s="59">
        <v>70</v>
      </c>
      <c r="AH32" s="52">
        <f t="shared" si="2"/>
        <v>72.099999999999994</v>
      </c>
      <c r="AI32" s="53">
        <f t="shared" si="3"/>
        <v>58</v>
      </c>
      <c r="AK32" s="54"/>
    </row>
    <row r="33" spans="1:41" ht="15.75" x14ac:dyDescent="0.25">
      <c r="A33" s="58" t="s">
        <v>40</v>
      </c>
      <c r="B33" s="224">
        <v>62.5</v>
      </c>
      <c r="C33" s="224">
        <v>62.5</v>
      </c>
      <c r="D33" s="224">
        <v>62.7</v>
      </c>
      <c r="E33" s="224">
        <v>63.2</v>
      </c>
      <c r="F33" s="224">
        <v>39.799999999999997</v>
      </c>
      <c r="G33" s="224">
        <v>38.799999999999997</v>
      </c>
      <c r="H33" s="224">
        <v>39.299999999999997</v>
      </c>
      <c r="I33" s="224">
        <v>39.799999999999997</v>
      </c>
      <c r="J33" s="224">
        <v>39.700000000000003</v>
      </c>
      <c r="K33" s="224">
        <v>39.1</v>
      </c>
      <c r="L33" s="219">
        <v>38.299999999999997</v>
      </c>
      <c r="M33" s="219">
        <v>39.5</v>
      </c>
      <c r="N33" s="219">
        <v>21.1</v>
      </c>
      <c r="O33" s="219">
        <v>23.5</v>
      </c>
      <c r="P33" s="219">
        <v>22.1</v>
      </c>
      <c r="Q33" s="219">
        <v>22.3</v>
      </c>
      <c r="R33" s="219">
        <v>21</v>
      </c>
      <c r="S33" s="219">
        <v>39.1</v>
      </c>
      <c r="T33" s="219">
        <v>21.7</v>
      </c>
      <c r="U33" s="219">
        <v>22.6</v>
      </c>
      <c r="V33" s="219">
        <v>39</v>
      </c>
      <c r="W33" s="219">
        <v>39.200000000000003</v>
      </c>
      <c r="X33" s="219">
        <v>39.6</v>
      </c>
      <c r="Y33" s="219">
        <v>39.4</v>
      </c>
      <c r="Z33" s="219">
        <v>39.700000000000003</v>
      </c>
      <c r="AA33" s="237">
        <v>39</v>
      </c>
      <c r="AB33" s="224">
        <v>39</v>
      </c>
      <c r="AC33" s="224">
        <v>39</v>
      </c>
      <c r="AD33" s="224">
        <v>36.200000000000003</v>
      </c>
      <c r="AE33" s="224">
        <v>37.200000000000003</v>
      </c>
      <c r="AF33" s="224">
        <v>39.6</v>
      </c>
      <c r="AG33" s="59">
        <v>69</v>
      </c>
      <c r="AH33" s="52">
        <f t="shared" si="2"/>
        <v>63.2</v>
      </c>
      <c r="AI33" s="53">
        <f t="shared" si="3"/>
        <v>21</v>
      </c>
      <c r="AK33" s="54"/>
    </row>
    <row r="34" spans="1:41" ht="15.75" x14ac:dyDescent="0.25">
      <c r="A34" s="58" t="s">
        <v>41</v>
      </c>
      <c r="B34" s="224">
        <v>28.5</v>
      </c>
      <c r="C34" s="224">
        <v>28.5</v>
      </c>
      <c r="D34" s="224">
        <v>28.7</v>
      </c>
      <c r="E34" s="224">
        <v>28.7</v>
      </c>
      <c r="F34" s="224">
        <v>28.7</v>
      </c>
      <c r="G34" s="224">
        <v>28.7</v>
      </c>
      <c r="H34" s="224">
        <v>28.7</v>
      </c>
      <c r="I34" s="224">
        <v>28.7</v>
      </c>
      <c r="J34" s="224">
        <v>28.7</v>
      </c>
      <c r="K34" s="224">
        <v>28.7</v>
      </c>
      <c r="L34" s="219">
        <v>28.5</v>
      </c>
      <c r="M34" s="219">
        <v>28.5</v>
      </c>
      <c r="N34" s="219">
        <v>29</v>
      </c>
      <c r="O34" s="219">
        <v>0</v>
      </c>
      <c r="P34" s="219">
        <v>0</v>
      </c>
      <c r="Q34" s="219">
        <v>0</v>
      </c>
      <c r="R34" s="219">
        <v>0</v>
      </c>
      <c r="S34" s="219">
        <v>0</v>
      </c>
      <c r="T34" s="219">
        <v>0</v>
      </c>
      <c r="U34" s="219">
        <v>0</v>
      </c>
      <c r="V34" s="219">
        <v>0</v>
      </c>
      <c r="W34" s="219">
        <v>28.2</v>
      </c>
      <c r="X34" s="219">
        <v>28.2</v>
      </c>
      <c r="Y34" s="219">
        <v>28.2</v>
      </c>
      <c r="Z34" s="219">
        <v>28.2</v>
      </c>
      <c r="AA34" s="237">
        <v>28.2</v>
      </c>
      <c r="AB34" s="224">
        <v>28.5</v>
      </c>
      <c r="AC34" s="224">
        <v>28.5</v>
      </c>
      <c r="AD34" s="224">
        <v>28.5</v>
      </c>
      <c r="AE34" s="224">
        <v>28.5</v>
      </c>
      <c r="AF34" s="224">
        <v>28.5</v>
      </c>
      <c r="AG34" s="59">
        <v>60</v>
      </c>
      <c r="AH34" s="52">
        <f t="shared" si="2"/>
        <v>29</v>
      </c>
      <c r="AI34" s="53">
        <f t="shared" si="3"/>
        <v>0</v>
      </c>
      <c r="AK34" s="54"/>
    </row>
    <row r="35" spans="1:41" ht="15.75" x14ac:dyDescent="0.25">
      <c r="A35" s="58" t="s">
        <v>42</v>
      </c>
      <c r="B35" s="224">
        <v>29.3</v>
      </c>
      <c r="C35" s="224">
        <v>29.3</v>
      </c>
      <c r="D35" s="224">
        <v>29.6</v>
      </c>
      <c r="E35" s="224">
        <v>29.5</v>
      </c>
      <c r="F35" s="224">
        <v>38.9</v>
      </c>
      <c r="G35" s="224">
        <v>20</v>
      </c>
      <c r="H35" s="224">
        <v>20</v>
      </c>
      <c r="I35" s="224">
        <v>21.9</v>
      </c>
      <c r="J35" s="224">
        <v>21</v>
      </c>
      <c r="K35" s="224">
        <v>30.2</v>
      </c>
      <c r="L35" s="218">
        <v>30</v>
      </c>
      <c r="M35" s="218">
        <v>30</v>
      </c>
      <c r="N35" s="218">
        <v>30</v>
      </c>
      <c r="O35" s="218">
        <v>29.8</v>
      </c>
      <c r="P35" s="218">
        <v>29.8</v>
      </c>
      <c r="Q35" s="218">
        <v>29.6</v>
      </c>
      <c r="R35" s="218">
        <v>29</v>
      </c>
      <c r="S35" s="218">
        <v>30</v>
      </c>
      <c r="T35" s="218">
        <v>29.7</v>
      </c>
      <c r="U35" s="218">
        <v>29.8</v>
      </c>
      <c r="V35" s="219">
        <v>29.8</v>
      </c>
      <c r="W35" s="219">
        <v>29.8</v>
      </c>
      <c r="X35" s="219">
        <v>29.9</v>
      </c>
      <c r="Y35" s="219">
        <v>30</v>
      </c>
      <c r="Z35" s="219">
        <v>30</v>
      </c>
      <c r="AA35" s="236">
        <v>29.9</v>
      </c>
      <c r="AB35" s="224">
        <v>29.8</v>
      </c>
      <c r="AC35" s="224">
        <v>29.8</v>
      </c>
      <c r="AD35" s="224">
        <v>29.9</v>
      </c>
      <c r="AE35" s="224">
        <v>29.9</v>
      </c>
      <c r="AF35" s="224">
        <v>29.6</v>
      </c>
      <c r="AG35" s="59">
        <v>30</v>
      </c>
      <c r="AH35" s="52">
        <f t="shared" si="2"/>
        <v>38.9</v>
      </c>
      <c r="AI35" s="53">
        <f t="shared" si="3"/>
        <v>20</v>
      </c>
      <c r="AK35" s="54"/>
    </row>
    <row r="36" spans="1:41" ht="15.75" x14ac:dyDescent="0.25">
      <c r="A36" s="58" t="s">
        <v>43</v>
      </c>
      <c r="B36" s="71">
        <v>16.5</v>
      </c>
      <c r="C36" s="71">
        <v>16.5</v>
      </c>
      <c r="D36" s="71">
        <v>14.5</v>
      </c>
      <c r="E36" s="71">
        <v>14.8</v>
      </c>
      <c r="F36" s="71">
        <v>14.8</v>
      </c>
      <c r="G36" s="71">
        <v>14.9</v>
      </c>
      <c r="H36" s="71">
        <v>14.9</v>
      </c>
      <c r="I36" s="71">
        <v>15.4</v>
      </c>
      <c r="J36" s="71">
        <v>15.3</v>
      </c>
      <c r="K36" s="71">
        <v>15.2</v>
      </c>
      <c r="L36" s="218">
        <v>15.2</v>
      </c>
      <c r="M36" s="218">
        <v>15.2</v>
      </c>
      <c r="N36" s="218">
        <v>16.600000000000001</v>
      </c>
      <c r="O36" s="218">
        <v>16.7</v>
      </c>
      <c r="P36" s="218">
        <v>16.899999999999999</v>
      </c>
      <c r="Q36" s="218">
        <v>16.8</v>
      </c>
      <c r="R36" s="218">
        <v>15.3</v>
      </c>
      <c r="S36" s="218">
        <v>15.4</v>
      </c>
      <c r="T36" s="218">
        <v>16.100000000000001</v>
      </c>
      <c r="U36" s="218">
        <v>16.100000000000001</v>
      </c>
      <c r="V36" s="218">
        <v>15.9</v>
      </c>
      <c r="W36" s="218">
        <v>15.8</v>
      </c>
      <c r="X36" s="218">
        <v>15.9</v>
      </c>
      <c r="Y36" s="218">
        <v>15.7</v>
      </c>
      <c r="Z36" s="218">
        <v>15.6</v>
      </c>
      <c r="AA36" s="236">
        <v>15.6</v>
      </c>
      <c r="AB36" s="224">
        <v>15.6</v>
      </c>
      <c r="AC36" s="224">
        <v>15.6</v>
      </c>
      <c r="AD36" s="224">
        <v>15.6</v>
      </c>
      <c r="AE36" s="224">
        <v>15.5</v>
      </c>
      <c r="AF36" s="224">
        <v>15.6</v>
      </c>
      <c r="AG36" s="59">
        <v>24</v>
      </c>
      <c r="AH36" s="52">
        <f t="shared" si="2"/>
        <v>16.899999999999999</v>
      </c>
      <c r="AI36" s="53">
        <f t="shared" si="3"/>
        <v>14.5</v>
      </c>
      <c r="AK36" s="54"/>
    </row>
    <row r="37" spans="1:41" ht="15.75" x14ac:dyDescent="0.25">
      <c r="A37" s="58" t="s">
        <v>44</v>
      </c>
      <c r="B37" s="224">
        <v>2.1</v>
      </c>
      <c r="C37" s="224">
        <v>2.1</v>
      </c>
      <c r="D37" s="224">
        <v>2.1</v>
      </c>
      <c r="E37" s="224">
        <v>2.1</v>
      </c>
      <c r="F37" s="224">
        <v>2.1</v>
      </c>
      <c r="G37" s="224">
        <v>2.1</v>
      </c>
      <c r="H37" s="224">
        <v>2.1</v>
      </c>
      <c r="I37" s="224">
        <v>2.1</v>
      </c>
      <c r="J37" s="224">
        <v>2.1</v>
      </c>
      <c r="K37" s="224">
        <v>2.1</v>
      </c>
      <c r="L37" s="218">
        <v>2.1</v>
      </c>
      <c r="M37" s="218">
        <v>2.1</v>
      </c>
      <c r="N37" s="218">
        <v>2.1</v>
      </c>
      <c r="O37" s="218">
        <v>2.1</v>
      </c>
      <c r="P37" s="218">
        <v>2.2000000000000002</v>
      </c>
      <c r="Q37" s="218">
        <v>2.2000000000000002</v>
      </c>
      <c r="R37" s="218">
        <v>2.1</v>
      </c>
      <c r="S37" s="218">
        <v>2.1</v>
      </c>
      <c r="T37" s="218">
        <v>2.1</v>
      </c>
      <c r="U37" s="218">
        <v>2.1</v>
      </c>
      <c r="V37" s="218">
        <v>2.1</v>
      </c>
      <c r="W37" s="218">
        <v>2.1</v>
      </c>
      <c r="X37" s="218">
        <v>2.1</v>
      </c>
      <c r="Y37" s="218">
        <v>2.1</v>
      </c>
      <c r="Z37" s="218">
        <v>2.1</v>
      </c>
      <c r="AA37" s="238">
        <v>2.1</v>
      </c>
      <c r="AB37" s="224">
        <v>2.1</v>
      </c>
      <c r="AC37" s="258">
        <v>2.1</v>
      </c>
      <c r="AD37" s="224">
        <v>2.1</v>
      </c>
      <c r="AE37" s="224">
        <v>2.1</v>
      </c>
      <c r="AF37" s="224">
        <v>2.1</v>
      </c>
      <c r="AG37" s="59">
        <v>15</v>
      </c>
      <c r="AH37" s="52">
        <f t="shared" si="2"/>
        <v>2.2000000000000002</v>
      </c>
      <c r="AI37" s="53">
        <f t="shared" si="3"/>
        <v>2.1</v>
      </c>
      <c r="AK37" s="54"/>
    </row>
    <row r="38" spans="1:41" ht="15.75" x14ac:dyDescent="0.25">
      <c r="A38" s="58" t="s">
        <v>45</v>
      </c>
      <c r="B38" s="224">
        <v>10</v>
      </c>
      <c r="C38" s="224">
        <v>10</v>
      </c>
      <c r="D38" s="224">
        <v>10</v>
      </c>
      <c r="E38" s="224">
        <v>10</v>
      </c>
      <c r="F38" s="224">
        <v>10</v>
      </c>
      <c r="G38" s="224">
        <v>10</v>
      </c>
      <c r="H38" s="224">
        <v>10</v>
      </c>
      <c r="I38" s="224">
        <v>10</v>
      </c>
      <c r="J38" s="224">
        <v>10</v>
      </c>
      <c r="K38" s="224">
        <v>10</v>
      </c>
      <c r="L38" s="218">
        <v>10</v>
      </c>
      <c r="M38" s="218">
        <v>10</v>
      </c>
      <c r="N38" s="218">
        <v>10</v>
      </c>
      <c r="O38" s="218">
        <v>10</v>
      </c>
      <c r="P38" s="218">
        <v>10</v>
      </c>
      <c r="Q38" s="218">
        <v>10</v>
      </c>
      <c r="R38" s="218">
        <v>10</v>
      </c>
      <c r="S38" s="218">
        <v>10</v>
      </c>
      <c r="T38" s="218">
        <v>10</v>
      </c>
      <c r="U38" s="218">
        <v>10</v>
      </c>
      <c r="V38" s="218">
        <v>10</v>
      </c>
      <c r="W38" s="218">
        <v>10</v>
      </c>
      <c r="X38" s="218">
        <v>10</v>
      </c>
      <c r="Y38" s="218">
        <v>10</v>
      </c>
      <c r="Z38" s="218">
        <v>10</v>
      </c>
      <c r="AA38" s="238">
        <v>10</v>
      </c>
      <c r="AB38" s="224">
        <v>10</v>
      </c>
      <c r="AC38" s="258">
        <v>10</v>
      </c>
      <c r="AD38" s="224">
        <v>10</v>
      </c>
      <c r="AE38" s="224">
        <v>10</v>
      </c>
      <c r="AF38" s="224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ht="15.75" x14ac:dyDescent="0.25">
      <c r="A39" s="72" t="s">
        <v>46</v>
      </c>
      <c r="B39" s="71">
        <v>12</v>
      </c>
      <c r="C39" s="71">
        <v>12</v>
      </c>
      <c r="D39" s="71">
        <v>10</v>
      </c>
      <c r="E39" s="71">
        <v>10</v>
      </c>
      <c r="F39" s="71">
        <v>10</v>
      </c>
      <c r="G39" s="71">
        <v>10</v>
      </c>
      <c r="H39" s="71">
        <v>10</v>
      </c>
      <c r="I39" s="71">
        <v>10</v>
      </c>
      <c r="J39" s="71">
        <v>10</v>
      </c>
      <c r="K39" s="71">
        <v>10</v>
      </c>
      <c r="L39" s="218">
        <v>10</v>
      </c>
      <c r="M39" s="218">
        <v>10</v>
      </c>
      <c r="N39" s="218">
        <v>10</v>
      </c>
      <c r="O39" s="218">
        <v>10</v>
      </c>
      <c r="P39" s="218">
        <v>10</v>
      </c>
      <c r="Q39" s="218">
        <v>10</v>
      </c>
      <c r="R39" s="218">
        <v>0</v>
      </c>
      <c r="S39" s="218">
        <v>0</v>
      </c>
      <c r="T39" s="218">
        <v>13.5</v>
      </c>
      <c r="U39" s="218">
        <v>13.5</v>
      </c>
      <c r="V39" s="218">
        <v>13.5</v>
      </c>
      <c r="W39" s="218">
        <v>13.5</v>
      </c>
      <c r="X39" s="218">
        <v>13.5</v>
      </c>
      <c r="Y39" s="218">
        <v>13.5</v>
      </c>
      <c r="Z39" s="218">
        <v>13.5</v>
      </c>
      <c r="AA39" s="238">
        <v>13.5</v>
      </c>
      <c r="AB39" s="224">
        <v>12</v>
      </c>
      <c r="AC39" s="258">
        <v>12</v>
      </c>
      <c r="AD39" s="224">
        <v>12</v>
      </c>
      <c r="AE39" s="224">
        <v>10</v>
      </c>
      <c r="AF39" s="224">
        <v>10</v>
      </c>
      <c r="AG39" s="59">
        <v>14</v>
      </c>
      <c r="AH39" s="52">
        <f t="shared" si="2"/>
        <v>13.5</v>
      </c>
      <c r="AI39" s="53">
        <f t="shared" si="3"/>
        <v>0</v>
      </c>
      <c r="AJ39" s="1"/>
      <c r="AK39" s="54"/>
      <c r="AL39" s="211"/>
      <c r="AM39" s="211"/>
      <c r="AN39" s="211"/>
      <c r="AO39" s="211"/>
    </row>
    <row r="40" spans="1:41" ht="15.75" x14ac:dyDescent="0.25">
      <c r="A40" s="58" t="s">
        <v>47</v>
      </c>
      <c r="B40" s="224">
        <v>9.1</v>
      </c>
      <c r="C40" s="224">
        <v>9.1</v>
      </c>
      <c r="D40" s="224">
        <v>9.1</v>
      </c>
      <c r="E40" s="224">
        <v>9.1</v>
      </c>
      <c r="F40" s="224">
        <v>9.1</v>
      </c>
      <c r="G40" s="224">
        <v>9.1</v>
      </c>
      <c r="H40" s="224">
        <v>9.1</v>
      </c>
      <c r="I40" s="224">
        <v>9.1</v>
      </c>
      <c r="J40" s="224">
        <v>9.1</v>
      </c>
      <c r="K40" s="224">
        <v>9.1</v>
      </c>
      <c r="L40" s="218">
        <v>9.1</v>
      </c>
      <c r="M40" s="218">
        <v>9.1</v>
      </c>
      <c r="N40" s="218">
        <v>9.1</v>
      </c>
      <c r="O40" s="218">
        <v>7.2</v>
      </c>
      <c r="P40" s="218">
        <v>7.2</v>
      </c>
      <c r="Q40" s="218">
        <v>7.2</v>
      </c>
      <c r="R40" s="218">
        <v>7.2</v>
      </c>
      <c r="S40" s="218">
        <v>7.2</v>
      </c>
      <c r="T40" s="218">
        <v>9.3000000000000007</v>
      </c>
      <c r="U40" s="218">
        <v>9.3000000000000007</v>
      </c>
      <c r="V40" s="218">
        <v>9.3000000000000007</v>
      </c>
      <c r="W40" s="218">
        <v>9.4</v>
      </c>
      <c r="X40" s="218">
        <v>9.3000000000000007</v>
      </c>
      <c r="Y40" s="218">
        <v>9.3000000000000007</v>
      </c>
      <c r="Z40" s="218">
        <v>9.3000000000000007</v>
      </c>
      <c r="AA40" s="238">
        <v>9.3000000000000007</v>
      </c>
      <c r="AB40" s="224">
        <v>9.3000000000000007</v>
      </c>
      <c r="AC40" s="258">
        <v>9.3000000000000007</v>
      </c>
      <c r="AD40" s="224">
        <v>9.3000000000000007</v>
      </c>
      <c r="AE40" s="224">
        <v>9.3000000000000007</v>
      </c>
      <c r="AF40" s="224">
        <v>9.3000000000000007</v>
      </c>
      <c r="AG40" s="59">
        <v>10.050000000000001</v>
      </c>
      <c r="AH40" s="52">
        <f t="shared" si="2"/>
        <v>9.4</v>
      </c>
      <c r="AI40" s="53">
        <f t="shared" si="3"/>
        <v>7.2</v>
      </c>
      <c r="AK40" s="54"/>
    </row>
    <row r="41" spans="1:41" ht="15.75" x14ac:dyDescent="0.25">
      <c r="A41" s="58" t="s">
        <v>48</v>
      </c>
      <c r="B41" s="224">
        <v>5</v>
      </c>
      <c r="C41" s="224">
        <v>5</v>
      </c>
      <c r="D41" s="224">
        <v>5</v>
      </c>
      <c r="E41" s="224">
        <v>5</v>
      </c>
      <c r="F41" s="224">
        <v>5</v>
      </c>
      <c r="G41" s="224">
        <v>5</v>
      </c>
      <c r="H41" s="224">
        <v>5</v>
      </c>
      <c r="I41" s="224">
        <v>5</v>
      </c>
      <c r="J41" s="224">
        <v>5</v>
      </c>
      <c r="K41" s="224">
        <v>5</v>
      </c>
      <c r="L41" s="218">
        <v>5</v>
      </c>
      <c r="M41" s="218">
        <v>5</v>
      </c>
      <c r="N41" s="218">
        <v>5</v>
      </c>
      <c r="O41" s="218">
        <v>5</v>
      </c>
      <c r="P41" s="218">
        <v>5</v>
      </c>
      <c r="Q41" s="218">
        <v>5</v>
      </c>
      <c r="R41" s="218">
        <v>5</v>
      </c>
      <c r="S41" s="218">
        <v>5</v>
      </c>
      <c r="T41" s="218">
        <v>5</v>
      </c>
      <c r="U41" s="218">
        <v>5</v>
      </c>
      <c r="V41" s="218">
        <v>5</v>
      </c>
      <c r="W41" s="218">
        <v>5</v>
      </c>
      <c r="X41" s="218">
        <v>5</v>
      </c>
      <c r="Y41" s="218">
        <v>5</v>
      </c>
      <c r="Z41" s="218">
        <v>5</v>
      </c>
      <c r="AA41" s="238">
        <v>5</v>
      </c>
      <c r="AB41" s="224">
        <v>5</v>
      </c>
      <c r="AC41" s="258">
        <v>5</v>
      </c>
      <c r="AD41" s="224">
        <v>5</v>
      </c>
      <c r="AE41" s="224">
        <v>5</v>
      </c>
      <c r="AF41" s="224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229">
        <f>B179</f>
        <v>3.54</v>
      </c>
      <c r="C42" s="229">
        <f t="shared" ref="C42:AF42" si="5">C179</f>
        <v>3.54</v>
      </c>
      <c r="D42" s="229">
        <f t="shared" si="5"/>
        <v>3.54</v>
      </c>
      <c r="E42" s="229">
        <f t="shared" si="5"/>
        <v>3.54</v>
      </c>
      <c r="F42" s="229">
        <f t="shared" si="5"/>
        <v>3.54</v>
      </c>
      <c r="G42" s="229">
        <f t="shared" si="5"/>
        <v>3.54</v>
      </c>
      <c r="H42" s="229">
        <f t="shared" si="5"/>
        <v>3.54</v>
      </c>
      <c r="I42" s="229">
        <f t="shared" si="5"/>
        <v>3.54</v>
      </c>
      <c r="J42" s="229">
        <f t="shared" si="5"/>
        <v>3.54</v>
      </c>
      <c r="K42" s="229">
        <f t="shared" si="5"/>
        <v>3.54</v>
      </c>
      <c r="L42" s="229">
        <f t="shared" si="5"/>
        <v>3.54</v>
      </c>
      <c r="M42" s="229">
        <f t="shared" si="5"/>
        <v>3.54</v>
      </c>
      <c r="N42" s="229">
        <f t="shared" si="5"/>
        <v>3.54</v>
      </c>
      <c r="O42" s="229">
        <f t="shared" si="5"/>
        <v>3.54</v>
      </c>
      <c r="P42" s="229">
        <f t="shared" si="5"/>
        <v>3.54</v>
      </c>
      <c r="Q42" s="229">
        <f t="shared" si="5"/>
        <v>3.54</v>
      </c>
      <c r="R42" s="229">
        <f t="shared" si="5"/>
        <v>3.54</v>
      </c>
      <c r="S42" s="229">
        <f t="shared" si="5"/>
        <v>3.54</v>
      </c>
      <c r="T42" s="229">
        <f t="shared" si="5"/>
        <v>3.54</v>
      </c>
      <c r="U42" s="229">
        <f t="shared" si="5"/>
        <v>3.54</v>
      </c>
      <c r="V42" s="229">
        <f t="shared" si="5"/>
        <v>3.54</v>
      </c>
      <c r="W42" s="229">
        <f t="shared" si="5"/>
        <v>3.54</v>
      </c>
      <c r="X42" s="229">
        <f t="shared" si="5"/>
        <v>3.54</v>
      </c>
      <c r="Y42" s="229">
        <f t="shared" si="5"/>
        <v>3.54</v>
      </c>
      <c r="Z42" s="229">
        <f t="shared" si="5"/>
        <v>3.54</v>
      </c>
      <c r="AA42" s="239">
        <f t="shared" si="5"/>
        <v>3.54</v>
      </c>
      <c r="AB42" s="229">
        <f t="shared" si="5"/>
        <v>3.54</v>
      </c>
      <c r="AC42" s="229">
        <f t="shared" si="5"/>
        <v>3.54</v>
      </c>
      <c r="AD42" s="229">
        <f t="shared" si="5"/>
        <v>3.54</v>
      </c>
      <c r="AE42" s="229">
        <f t="shared" si="5"/>
        <v>3.54</v>
      </c>
      <c r="AF42" s="229">
        <f t="shared" si="5"/>
        <v>3.54</v>
      </c>
      <c r="AG42" s="229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228">
        <f t="shared" ref="B43:AF43" si="6">SUM(B31:B42)</f>
        <v>391.54000000000008</v>
      </c>
      <c r="C43" s="228">
        <f t="shared" si="6"/>
        <v>391.54000000000008</v>
      </c>
      <c r="D43" s="228">
        <f t="shared" si="6"/>
        <v>387.1400000000001</v>
      </c>
      <c r="E43" s="228">
        <f t="shared" si="6"/>
        <v>390.44000000000005</v>
      </c>
      <c r="F43" s="228">
        <f t="shared" si="6"/>
        <v>376.64000000000004</v>
      </c>
      <c r="G43" s="228">
        <f t="shared" si="6"/>
        <v>355.94000000000005</v>
      </c>
      <c r="H43" s="228">
        <f t="shared" si="6"/>
        <v>357.74000000000007</v>
      </c>
      <c r="I43" s="228">
        <f t="shared" si="6"/>
        <v>360.54</v>
      </c>
      <c r="J43" s="228">
        <f t="shared" si="6"/>
        <v>358.74000000000007</v>
      </c>
      <c r="K43" s="228">
        <f t="shared" si="6"/>
        <v>365.94000000000005</v>
      </c>
      <c r="L43" s="228">
        <f t="shared" si="6"/>
        <v>363.84000000000009</v>
      </c>
      <c r="M43" s="228">
        <f t="shared" si="6"/>
        <v>352.94000000000005</v>
      </c>
      <c r="N43" s="228">
        <f t="shared" si="6"/>
        <v>325.34000000000009</v>
      </c>
      <c r="O43" s="228">
        <f t="shared" si="6"/>
        <v>300.94000000000005</v>
      </c>
      <c r="P43" s="228">
        <f t="shared" si="6"/>
        <v>300.25</v>
      </c>
      <c r="Q43" s="228">
        <f t="shared" si="6"/>
        <v>300.33999999999997</v>
      </c>
      <c r="R43" s="228">
        <f t="shared" si="6"/>
        <v>285.84000000000003</v>
      </c>
      <c r="S43" s="228">
        <f t="shared" si="6"/>
        <v>323.14</v>
      </c>
      <c r="T43" s="228">
        <f t="shared" si="6"/>
        <v>322.34000000000009</v>
      </c>
      <c r="U43" s="228">
        <f t="shared" si="6"/>
        <v>302.44000000000005</v>
      </c>
      <c r="V43" s="228">
        <f t="shared" si="6"/>
        <v>339.54</v>
      </c>
      <c r="W43" s="228">
        <f t="shared" si="6"/>
        <v>356.84000000000003</v>
      </c>
      <c r="X43" s="228">
        <f t="shared" si="6"/>
        <v>358.04</v>
      </c>
      <c r="Y43" s="228">
        <f t="shared" si="6"/>
        <v>358.34000000000003</v>
      </c>
      <c r="Z43" s="228">
        <f t="shared" si="6"/>
        <v>368.74000000000007</v>
      </c>
      <c r="AA43" s="228">
        <f t="shared" si="6"/>
        <v>367.64000000000004</v>
      </c>
      <c r="AB43" s="228">
        <f t="shared" si="6"/>
        <v>366.44000000000011</v>
      </c>
      <c r="AC43" s="228">
        <f t="shared" si="6"/>
        <v>366.84000000000009</v>
      </c>
      <c r="AD43" s="228">
        <f t="shared" si="6"/>
        <v>364.04000000000008</v>
      </c>
      <c r="AE43" s="228">
        <f t="shared" si="6"/>
        <v>364.04</v>
      </c>
      <c r="AF43" s="228">
        <f t="shared" si="6"/>
        <v>368.34000000000009</v>
      </c>
      <c r="AG43" s="74">
        <f>SUM(AG31:AG42)</f>
        <v>464.91</v>
      </c>
      <c r="AH43" s="52">
        <f t="shared" si="2"/>
        <v>391.54000000000008</v>
      </c>
      <c r="AI43" s="53">
        <f t="shared" si="3"/>
        <v>285.84000000000003</v>
      </c>
      <c r="AK43" s="54"/>
    </row>
    <row r="44" spans="1:41" ht="15.75" x14ac:dyDescent="0.25">
      <c r="A44" s="55" t="s">
        <v>51</v>
      </c>
      <c r="B44" s="224">
        <v>0</v>
      </c>
      <c r="C44" s="224">
        <v>0</v>
      </c>
      <c r="D44" s="224">
        <v>0</v>
      </c>
      <c r="E44" s="224">
        <v>0</v>
      </c>
      <c r="F44" s="224">
        <v>10</v>
      </c>
      <c r="G44" s="224">
        <v>30</v>
      </c>
      <c r="H44" s="224">
        <v>30</v>
      </c>
      <c r="I44" s="224">
        <v>30.3</v>
      </c>
      <c r="J44" s="224">
        <v>42.26</v>
      </c>
      <c r="K44" s="224">
        <v>13.8</v>
      </c>
      <c r="L44" s="75">
        <v>0</v>
      </c>
      <c r="M44" s="75">
        <v>0</v>
      </c>
      <c r="N44" s="75">
        <v>0</v>
      </c>
      <c r="O44" s="75">
        <v>0</v>
      </c>
      <c r="P44" s="218">
        <v>0</v>
      </c>
      <c r="Q44" s="218">
        <v>0</v>
      </c>
      <c r="R44" s="218">
        <v>0</v>
      </c>
      <c r="S44" s="218">
        <v>0</v>
      </c>
      <c r="T44" s="218">
        <v>0</v>
      </c>
      <c r="U44" s="218">
        <v>0</v>
      </c>
      <c r="V44" s="218">
        <v>0</v>
      </c>
      <c r="W44" s="218">
        <v>0</v>
      </c>
      <c r="X44" s="218">
        <v>0</v>
      </c>
      <c r="Y44" s="218">
        <v>0</v>
      </c>
      <c r="Z44" s="218">
        <v>29.8</v>
      </c>
      <c r="AA44" s="241">
        <v>59.2</v>
      </c>
      <c r="AB44" s="218">
        <v>30.5</v>
      </c>
      <c r="AC44" s="218">
        <v>30.5</v>
      </c>
      <c r="AD44" s="218">
        <v>30.1</v>
      </c>
      <c r="AE44" s="218">
        <v>13</v>
      </c>
      <c r="AF44" s="218">
        <v>30.4</v>
      </c>
      <c r="AG44" s="57">
        <v>60</v>
      </c>
      <c r="AH44" s="52">
        <f t="shared" si="2"/>
        <v>59.2</v>
      </c>
      <c r="AI44" s="53">
        <f t="shared" si="3"/>
        <v>0</v>
      </c>
      <c r="AK44" s="54"/>
    </row>
    <row r="45" spans="1:41" ht="15.75" x14ac:dyDescent="0.25">
      <c r="A45" s="58" t="s">
        <v>52</v>
      </c>
      <c r="B45" s="224">
        <v>0</v>
      </c>
      <c r="C45" s="224">
        <v>0</v>
      </c>
      <c r="D45" s="224">
        <v>0</v>
      </c>
      <c r="E45" s="224">
        <v>0</v>
      </c>
      <c r="F45" s="224">
        <v>3.9</v>
      </c>
      <c r="G45" s="224">
        <v>11</v>
      </c>
      <c r="H45" s="224">
        <v>15</v>
      </c>
      <c r="I45" s="224">
        <v>15.7</v>
      </c>
      <c r="J45" s="224">
        <v>15.7</v>
      </c>
      <c r="K45" s="224">
        <v>7</v>
      </c>
      <c r="L45" s="75">
        <v>0</v>
      </c>
      <c r="M45" s="75">
        <v>0</v>
      </c>
      <c r="N45" s="75">
        <v>0</v>
      </c>
      <c r="O45" s="75">
        <v>0</v>
      </c>
      <c r="P45" s="219">
        <v>0</v>
      </c>
      <c r="Q45" s="219">
        <v>0</v>
      </c>
      <c r="R45" s="218">
        <v>0</v>
      </c>
      <c r="S45" s="218">
        <v>0</v>
      </c>
      <c r="T45" s="218">
        <v>0</v>
      </c>
      <c r="U45" s="219">
        <v>0</v>
      </c>
      <c r="V45" s="219">
        <v>0</v>
      </c>
      <c r="W45" s="219">
        <v>0</v>
      </c>
      <c r="X45" s="219">
        <v>0</v>
      </c>
      <c r="Y45" s="219">
        <v>0</v>
      </c>
      <c r="Z45" s="219">
        <v>15.2</v>
      </c>
      <c r="AA45" s="240">
        <v>29.6</v>
      </c>
      <c r="AB45" s="219">
        <v>16</v>
      </c>
      <c r="AC45" s="219">
        <v>15.6</v>
      </c>
      <c r="AD45" s="219">
        <v>15.9</v>
      </c>
      <c r="AE45" s="219">
        <v>6.5</v>
      </c>
      <c r="AF45" s="219">
        <v>16</v>
      </c>
      <c r="AG45" s="59">
        <v>32</v>
      </c>
      <c r="AH45" s="52">
        <f t="shared" si="2"/>
        <v>29.6</v>
      </c>
      <c r="AI45" s="53">
        <f t="shared" si="3"/>
        <v>0</v>
      </c>
      <c r="AK45" s="54"/>
    </row>
    <row r="46" spans="1:41" ht="16.5" thickBot="1" x14ac:dyDescent="0.3">
      <c r="A46" s="72" t="s">
        <v>53</v>
      </c>
      <c r="B46" s="71">
        <v>0</v>
      </c>
      <c r="C46" s="71">
        <v>0</v>
      </c>
      <c r="D46" s="71">
        <v>0</v>
      </c>
      <c r="E46" s="71">
        <v>0</v>
      </c>
      <c r="F46" s="71">
        <v>1.4</v>
      </c>
      <c r="G46" s="71">
        <v>4</v>
      </c>
      <c r="H46" s="71">
        <v>5</v>
      </c>
      <c r="I46" s="71">
        <v>5.7</v>
      </c>
      <c r="J46" s="71">
        <v>5.7</v>
      </c>
      <c r="K46" s="71">
        <v>2.5</v>
      </c>
      <c r="L46" s="76">
        <v>0</v>
      </c>
      <c r="M46" s="76">
        <v>0</v>
      </c>
      <c r="N46" s="76">
        <v>0</v>
      </c>
      <c r="O46" s="76">
        <v>0</v>
      </c>
      <c r="P46" s="230">
        <v>0</v>
      </c>
      <c r="Q46" s="230">
        <v>0</v>
      </c>
      <c r="R46" s="218">
        <v>0</v>
      </c>
      <c r="S46" s="218">
        <v>0</v>
      </c>
      <c r="T46" s="218">
        <v>0</v>
      </c>
      <c r="U46" s="230">
        <v>0</v>
      </c>
      <c r="V46" s="230">
        <v>0</v>
      </c>
      <c r="W46" s="230">
        <v>0</v>
      </c>
      <c r="X46" s="230">
        <v>0</v>
      </c>
      <c r="Y46" s="230">
        <v>0</v>
      </c>
      <c r="Z46" s="230">
        <v>5.6</v>
      </c>
      <c r="AA46" s="242">
        <v>10.8</v>
      </c>
      <c r="AB46" s="230">
        <v>5.8</v>
      </c>
      <c r="AC46" s="230">
        <v>5.8</v>
      </c>
      <c r="AD46" s="230">
        <v>5.8</v>
      </c>
      <c r="AE46" s="230">
        <v>2.4</v>
      </c>
      <c r="AF46" s="230">
        <v>5.8</v>
      </c>
      <c r="AG46" s="78">
        <v>14</v>
      </c>
      <c r="AH46" s="52">
        <f t="shared" si="2"/>
        <v>10.8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228">
        <f>SUM(B44:B46)</f>
        <v>0</v>
      </c>
      <c r="C47" s="228">
        <f t="shared" ref="C47:AF47" si="7">SUM(C44:C46)</f>
        <v>0</v>
      </c>
      <c r="D47" s="228">
        <f t="shared" si="7"/>
        <v>0</v>
      </c>
      <c r="E47" s="228">
        <f t="shared" si="7"/>
        <v>0</v>
      </c>
      <c r="F47" s="228">
        <f t="shared" si="7"/>
        <v>15.3</v>
      </c>
      <c r="G47" s="228">
        <f t="shared" si="7"/>
        <v>45</v>
      </c>
      <c r="H47" s="228">
        <f t="shared" si="7"/>
        <v>50</v>
      </c>
      <c r="I47" s="228">
        <f t="shared" si="7"/>
        <v>51.7</v>
      </c>
      <c r="J47" s="228">
        <f t="shared" si="7"/>
        <v>63.66</v>
      </c>
      <c r="K47" s="228">
        <f t="shared" si="7"/>
        <v>23.3</v>
      </c>
      <c r="L47" s="228">
        <f t="shared" si="7"/>
        <v>0</v>
      </c>
      <c r="M47" s="228">
        <f t="shared" si="7"/>
        <v>0</v>
      </c>
      <c r="N47" s="228">
        <f t="shared" si="7"/>
        <v>0</v>
      </c>
      <c r="O47" s="228">
        <f t="shared" si="7"/>
        <v>0</v>
      </c>
      <c r="P47" s="228">
        <f t="shared" si="7"/>
        <v>0</v>
      </c>
      <c r="Q47" s="228">
        <f t="shared" si="7"/>
        <v>0</v>
      </c>
      <c r="R47" s="228">
        <f t="shared" si="7"/>
        <v>0</v>
      </c>
      <c r="S47" s="228">
        <f t="shared" si="7"/>
        <v>0</v>
      </c>
      <c r="T47" s="228">
        <f t="shared" si="7"/>
        <v>0</v>
      </c>
      <c r="U47" s="228">
        <f t="shared" si="7"/>
        <v>0</v>
      </c>
      <c r="V47" s="228">
        <f t="shared" si="7"/>
        <v>0</v>
      </c>
      <c r="W47" s="228">
        <f t="shared" si="7"/>
        <v>0</v>
      </c>
      <c r="X47" s="228">
        <f t="shared" si="7"/>
        <v>0</v>
      </c>
      <c r="Y47" s="228">
        <f t="shared" si="7"/>
        <v>0</v>
      </c>
      <c r="Z47" s="228">
        <f t="shared" si="7"/>
        <v>50.6</v>
      </c>
      <c r="AA47" s="228">
        <f t="shared" si="7"/>
        <v>99.600000000000009</v>
      </c>
      <c r="AB47" s="228">
        <f t="shared" si="7"/>
        <v>52.3</v>
      </c>
      <c r="AC47" s="228">
        <f t="shared" si="7"/>
        <v>51.9</v>
      </c>
      <c r="AD47" s="228">
        <f t="shared" si="7"/>
        <v>51.8</v>
      </c>
      <c r="AE47" s="228">
        <f t="shared" si="7"/>
        <v>21.9</v>
      </c>
      <c r="AF47" s="228">
        <f t="shared" si="7"/>
        <v>52.199999999999996</v>
      </c>
      <c r="AG47" s="74">
        <f>SUM(AG44:AG46)</f>
        <v>106</v>
      </c>
      <c r="AH47" s="52">
        <f t="shared" si="2"/>
        <v>99.600000000000009</v>
      </c>
      <c r="AI47" s="53">
        <f t="shared" si="3"/>
        <v>0</v>
      </c>
      <c r="AK47" s="54"/>
    </row>
    <row r="48" spans="1:41" ht="15.75" x14ac:dyDescent="0.25">
      <c r="A48" s="55" t="s">
        <v>55</v>
      </c>
      <c r="B48" s="218">
        <v>50</v>
      </c>
      <c r="C48" s="218">
        <v>48</v>
      </c>
      <c r="D48" s="218">
        <v>46.15</v>
      </c>
      <c r="E48" s="218">
        <v>42.53</v>
      </c>
      <c r="F48" s="218">
        <v>39.200000000000003</v>
      </c>
      <c r="G48" s="218">
        <v>44</v>
      </c>
      <c r="H48" s="218">
        <v>39.5</v>
      </c>
      <c r="I48" s="218">
        <v>41.67</v>
      </c>
      <c r="J48" s="218">
        <v>41.7</v>
      </c>
      <c r="K48" s="218">
        <v>40.33</v>
      </c>
      <c r="L48" s="218">
        <v>38.869999999999997</v>
      </c>
      <c r="M48" s="218">
        <v>41.8</v>
      </c>
      <c r="N48" s="218">
        <v>35</v>
      </c>
      <c r="O48" s="218">
        <v>35.4</v>
      </c>
      <c r="P48" s="218">
        <v>39.68</v>
      </c>
      <c r="Q48" s="218">
        <v>38</v>
      </c>
      <c r="R48" s="218">
        <v>46</v>
      </c>
      <c r="S48" s="218">
        <v>43.4</v>
      </c>
      <c r="T48" s="218">
        <v>40.299999999999997</v>
      </c>
      <c r="U48" s="218">
        <v>31.02</v>
      </c>
      <c r="V48" s="218">
        <v>33.75</v>
      </c>
      <c r="W48" s="218">
        <v>33.4</v>
      </c>
      <c r="X48" s="218">
        <v>34.93</v>
      </c>
      <c r="Y48" s="218">
        <v>33.1</v>
      </c>
      <c r="Z48" s="218">
        <v>45</v>
      </c>
      <c r="AA48" s="247">
        <v>63.5</v>
      </c>
      <c r="AB48" s="218">
        <v>68.599999999999994</v>
      </c>
      <c r="AC48" s="218">
        <v>72</v>
      </c>
      <c r="AD48" s="218">
        <v>70.45</v>
      </c>
      <c r="AE48" s="218">
        <v>64.900000000000006</v>
      </c>
      <c r="AF48" s="218">
        <v>62</v>
      </c>
      <c r="AG48" s="57"/>
      <c r="AH48" s="52">
        <f t="shared" si="2"/>
        <v>72</v>
      </c>
      <c r="AI48" s="53">
        <f t="shared" si="3"/>
        <v>31.02</v>
      </c>
      <c r="AK48" s="54"/>
    </row>
    <row r="49" spans="1:37" ht="15.75" x14ac:dyDescent="0.25">
      <c r="A49" s="58" t="s">
        <v>56</v>
      </c>
      <c r="B49" s="219">
        <v>0</v>
      </c>
      <c r="C49" s="219">
        <v>0</v>
      </c>
      <c r="D49" s="219">
        <v>0</v>
      </c>
      <c r="E49" s="219">
        <v>0</v>
      </c>
      <c r="F49" s="219">
        <v>0</v>
      </c>
      <c r="G49" s="219">
        <v>0</v>
      </c>
      <c r="H49" s="219">
        <v>0</v>
      </c>
      <c r="I49" s="219">
        <v>0</v>
      </c>
      <c r="J49" s="219">
        <v>0</v>
      </c>
      <c r="K49" s="219">
        <v>0</v>
      </c>
      <c r="L49" s="218">
        <v>0</v>
      </c>
      <c r="M49" s="218">
        <v>0</v>
      </c>
      <c r="N49" s="218">
        <v>0</v>
      </c>
      <c r="O49" s="218">
        <v>0</v>
      </c>
      <c r="P49" s="218">
        <v>0</v>
      </c>
      <c r="Q49" s="218">
        <v>0</v>
      </c>
      <c r="R49" s="218">
        <v>0</v>
      </c>
      <c r="S49" s="218">
        <v>0</v>
      </c>
      <c r="T49" s="218">
        <v>0</v>
      </c>
      <c r="U49" s="220">
        <v>0</v>
      </c>
      <c r="V49" s="220">
        <v>0</v>
      </c>
      <c r="W49" s="220">
        <v>0</v>
      </c>
      <c r="X49" s="220">
        <v>0</v>
      </c>
      <c r="Y49" s="220">
        <v>0</v>
      </c>
      <c r="Z49" s="220">
        <v>0</v>
      </c>
      <c r="AA49" s="248">
        <v>0</v>
      </c>
      <c r="AB49" s="219">
        <v>0</v>
      </c>
      <c r="AC49" s="219">
        <v>0</v>
      </c>
      <c r="AD49" s="219">
        <v>0</v>
      </c>
      <c r="AE49" s="219">
        <v>0</v>
      </c>
      <c r="AF49" s="219">
        <v>0</v>
      </c>
      <c r="AG49" s="59"/>
      <c r="AH49" s="52">
        <f t="shared" si="2"/>
        <v>0</v>
      </c>
      <c r="AI49" s="53">
        <f t="shared" si="3"/>
        <v>0</v>
      </c>
      <c r="AK49" s="54"/>
    </row>
    <row r="50" spans="1:37" ht="15.75" x14ac:dyDescent="0.25">
      <c r="A50" s="58" t="s">
        <v>57</v>
      </c>
      <c r="B50" s="219">
        <v>135</v>
      </c>
      <c r="C50" s="219">
        <v>104</v>
      </c>
      <c r="D50" s="219">
        <v>100.4</v>
      </c>
      <c r="E50" s="219">
        <v>100</v>
      </c>
      <c r="F50" s="219">
        <v>82</v>
      </c>
      <c r="G50" s="218">
        <v>89</v>
      </c>
      <c r="H50" s="218">
        <v>66</v>
      </c>
      <c r="I50" s="218">
        <v>121</v>
      </c>
      <c r="J50" s="218">
        <v>121.2</v>
      </c>
      <c r="K50" s="218">
        <v>116</v>
      </c>
      <c r="L50" s="219">
        <v>130</v>
      </c>
      <c r="M50" s="219">
        <v>142</v>
      </c>
      <c r="N50" s="219">
        <v>116</v>
      </c>
      <c r="O50" s="219">
        <v>80</v>
      </c>
      <c r="P50" s="219">
        <v>65</v>
      </c>
      <c r="Q50" s="219">
        <v>105</v>
      </c>
      <c r="R50" s="219">
        <v>140</v>
      </c>
      <c r="S50" s="219">
        <v>158.6</v>
      </c>
      <c r="T50" s="219">
        <v>113.8</v>
      </c>
      <c r="U50" s="231">
        <v>106.2</v>
      </c>
      <c r="V50" s="231">
        <v>85.6</v>
      </c>
      <c r="W50" s="231">
        <v>81.7</v>
      </c>
      <c r="X50" s="231">
        <v>92.6</v>
      </c>
      <c r="Y50" s="231">
        <v>163.6</v>
      </c>
      <c r="Z50" s="231">
        <v>217.3</v>
      </c>
      <c r="AA50" s="248">
        <v>192.3</v>
      </c>
      <c r="AB50" s="219">
        <f>111+111</f>
        <v>222</v>
      </c>
      <c r="AC50" s="219">
        <v>220</v>
      </c>
      <c r="AD50" s="219">
        <f>75+76</f>
        <v>151</v>
      </c>
      <c r="AE50" s="219">
        <v>138</v>
      </c>
      <c r="AF50" s="219">
        <v>115</v>
      </c>
      <c r="AG50" s="81"/>
      <c r="AH50" s="52">
        <f t="shared" si="2"/>
        <v>222</v>
      </c>
      <c r="AI50" s="53">
        <f t="shared" si="3"/>
        <v>65</v>
      </c>
      <c r="AK50" s="54"/>
    </row>
    <row r="51" spans="1:37" ht="15.75" x14ac:dyDescent="0.25">
      <c r="A51" s="58" t="s">
        <v>58</v>
      </c>
      <c r="B51" s="222">
        <v>0</v>
      </c>
      <c r="C51" s="222">
        <v>0</v>
      </c>
      <c r="D51" s="222">
        <v>0</v>
      </c>
      <c r="E51" s="222">
        <v>0</v>
      </c>
      <c r="F51" s="222">
        <v>0</v>
      </c>
      <c r="G51" s="222">
        <v>0</v>
      </c>
      <c r="H51" s="222">
        <v>0</v>
      </c>
      <c r="I51" s="222">
        <v>0</v>
      </c>
      <c r="J51" s="222">
        <v>0</v>
      </c>
      <c r="K51" s="222">
        <v>0</v>
      </c>
      <c r="L51" s="222">
        <v>0</v>
      </c>
      <c r="M51" s="222">
        <v>0</v>
      </c>
      <c r="N51" s="219">
        <v>0</v>
      </c>
      <c r="O51" s="219">
        <v>0</v>
      </c>
      <c r="P51" s="219">
        <v>0</v>
      </c>
      <c r="Q51" s="219">
        <v>0</v>
      </c>
      <c r="R51" s="219">
        <v>0</v>
      </c>
      <c r="S51" s="219">
        <v>0</v>
      </c>
      <c r="T51" s="219">
        <v>0</v>
      </c>
      <c r="U51" s="219">
        <v>0</v>
      </c>
      <c r="V51" s="219">
        <v>0</v>
      </c>
      <c r="W51" s="219">
        <v>0</v>
      </c>
      <c r="X51" s="219">
        <v>0</v>
      </c>
      <c r="Y51" s="219">
        <v>0</v>
      </c>
      <c r="Z51" s="219">
        <v>0</v>
      </c>
      <c r="AA51" s="248">
        <v>0</v>
      </c>
      <c r="AB51" s="222">
        <v>0</v>
      </c>
      <c r="AC51" s="222">
        <v>0</v>
      </c>
      <c r="AD51" s="222">
        <v>0</v>
      </c>
      <c r="AE51" s="222">
        <v>0</v>
      </c>
      <c r="AF51" s="222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ht="15.75" x14ac:dyDescent="0.25">
      <c r="A52" s="58" t="s">
        <v>59</v>
      </c>
      <c r="B52" s="222">
        <v>0</v>
      </c>
      <c r="C52" s="222">
        <v>0</v>
      </c>
      <c r="D52" s="222">
        <v>0</v>
      </c>
      <c r="E52" s="222">
        <v>0</v>
      </c>
      <c r="F52" s="222">
        <v>0</v>
      </c>
      <c r="G52" s="222">
        <v>0</v>
      </c>
      <c r="H52" s="222">
        <v>0</v>
      </c>
      <c r="I52" s="222">
        <v>0</v>
      </c>
      <c r="J52" s="222">
        <v>0</v>
      </c>
      <c r="K52" s="222">
        <v>0</v>
      </c>
      <c r="L52" s="222">
        <v>0</v>
      </c>
      <c r="M52" s="222">
        <v>0</v>
      </c>
      <c r="N52" s="218">
        <v>0</v>
      </c>
      <c r="O52" s="218">
        <v>0</v>
      </c>
      <c r="P52" s="218">
        <v>0</v>
      </c>
      <c r="Q52" s="218">
        <v>0</v>
      </c>
      <c r="R52" s="218">
        <v>0</v>
      </c>
      <c r="S52" s="218">
        <v>0</v>
      </c>
      <c r="T52" s="218">
        <v>0</v>
      </c>
      <c r="U52" s="218">
        <v>0</v>
      </c>
      <c r="V52" s="218">
        <v>0</v>
      </c>
      <c r="W52" s="218">
        <v>0</v>
      </c>
      <c r="X52" s="218">
        <v>0</v>
      </c>
      <c r="Y52" s="218">
        <v>0</v>
      </c>
      <c r="Z52" s="218">
        <v>0</v>
      </c>
      <c r="AA52" s="248">
        <v>0</v>
      </c>
      <c r="AB52" s="256">
        <v>0</v>
      </c>
      <c r="AC52" s="256">
        <v>0</v>
      </c>
      <c r="AD52" s="218">
        <v>0</v>
      </c>
      <c r="AE52" s="256">
        <v>0</v>
      </c>
      <c r="AF52" s="256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ht="15.75" x14ac:dyDescent="0.25">
      <c r="A53" s="58" t="s">
        <v>60</v>
      </c>
      <c r="B53" s="222">
        <v>0</v>
      </c>
      <c r="C53" s="222">
        <v>0</v>
      </c>
      <c r="D53" s="222">
        <v>0</v>
      </c>
      <c r="E53" s="222">
        <v>0</v>
      </c>
      <c r="F53" s="222">
        <v>0</v>
      </c>
      <c r="G53" s="222">
        <v>0</v>
      </c>
      <c r="H53" s="222">
        <v>0</v>
      </c>
      <c r="I53" s="222">
        <v>0</v>
      </c>
      <c r="J53" s="222">
        <v>0</v>
      </c>
      <c r="K53" s="222">
        <v>0</v>
      </c>
      <c r="L53" s="222">
        <v>0</v>
      </c>
      <c r="M53" s="222">
        <v>0</v>
      </c>
      <c r="N53" s="222">
        <v>0</v>
      </c>
      <c r="O53" s="221">
        <v>0</v>
      </c>
      <c r="P53" s="221">
        <v>0</v>
      </c>
      <c r="Q53" s="221">
        <v>0</v>
      </c>
      <c r="R53" s="221">
        <v>0</v>
      </c>
      <c r="S53" s="221">
        <v>0</v>
      </c>
      <c r="T53" s="221">
        <v>0</v>
      </c>
      <c r="U53" s="221">
        <v>0</v>
      </c>
      <c r="V53" s="221">
        <v>0</v>
      </c>
      <c r="W53" s="221">
        <v>0</v>
      </c>
      <c r="X53" s="221">
        <v>0</v>
      </c>
      <c r="Y53" s="221">
        <v>0</v>
      </c>
      <c r="Z53" s="221">
        <v>0</v>
      </c>
      <c r="AA53" s="248">
        <v>0</v>
      </c>
      <c r="AB53" s="256">
        <v>0</v>
      </c>
      <c r="AC53" s="256">
        <v>0</v>
      </c>
      <c r="AD53" s="252">
        <v>0</v>
      </c>
      <c r="AE53" s="256">
        <v>0</v>
      </c>
      <c r="AF53" s="256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ht="15.75" x14ac:dyDescent="0.25">
      <c r="A54" s="58" t="s">
        <v>61</v>
      </c>
      <c r="B54" s="222">
        <v>0</v>
      </c>
      <c r="C54" s="222">
        <v>0</v>
      </c>
      <c r="D54" s="222">
        <v>0</v>
      </c>
      <c r="E54" s="222">
        <v>0</v>
      </c>
      <c r="F54" s="222">
        <v>0</v>
      </c>
      <c r="G54" s="222">
        <v>0</v>
      </c>
      <c r="H54" s="222">
        <v>0</v>
      </c>
      <c r="I54" s="222">
        <v>0</v>
      </c>
      <c r="J54" s="222">
        <v>0</v>
      </c>
      <c r="K54" s="222">
        <v>0</v>
      </c>
      <c r="L54" s="222">
        <v>0</v>
      </c>
      <c r="M54" s="222">
        <v>0</v>
      </c>
      <c r="N54" s="222">
        <v>0</v>
      </c>
      <c r="O54" s="221">
        <v>0</v>
      </c>
      <c r="P54" s="221">
        <v>0</v>
      </c>
      <c r="Q54" s="221">
        <v>0</v>
      </c>
      <c r="R54" s="221">
        <v>0</v>
      </c>
      <c r="S54" s="221">
        <v>0</v>
      </c>
      <c r="T54" s="221">
        <v>0</v>
      </c>
      <c r="U54" s="221">
        <v>0</v>
      </c>
      <c r="V54" s="221">
        <v>0</v>
      </c>
      <c r="W54" s="221">
        <v>0</v>
      </c>
      <c r="X54" s="221">
        <v>0</v>
      </c>
      <c r="Y54" s="221">
        <v>0</v>
      </c>
      <c r="Z54" s="221">
        <v>0</v>
      </c>
      <c r="AA54" s="248">
        <v>0</v>
      </c>
      <c r="AB54" s="256">
        <v>0</v>
      </c>
      <c r="AC54" s="256">
        <v>0</v>
      </c>
      <c r="AD54" s="252">
        <v>0</v>
      </c>
      <c r="AE54" s="256">
        <v>0</v>
      </c>
      <c r="AF54" s="256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ht="15.75" x14ac:dyDescent="0.25">
      <c r="A55" s="58" t="s">
        <v>62</v>
      </c>
      <c r="B55" s="222">
        <v>0</v>
      </c>
      <c r="C55" s="222">
        <v>0</v>
      </c>
      <c r="D55" s="222">
        <v>0</v>
      </c>
      <c r="E55" s="222">
        <v>0</v>
      </c>
      <c r="F55" s="222">
        <v>0</v>
      </c>
      <c r="G55" s="222">
        <v>0</v>
      </c>
      <c r="H55" s="222">
        <v>0</v>
      </c>
      <c r="I55" s="222">
        <v>0</v>
      </c>
      <c r="J55" s="222">
        <v>0</v>
      </c>
      <c r="K55" s="222">
        <v>0</v>
      </c>
      <c r="L55" s="222">
        <v>0</v>
      </c>
      <c r="M55" s="222">
        <v>0</v>
      </c>
      <c r="N55" s="222">
        <v>0</v>
      </c>
      <c r="O55" s="222">
        <v>0</v>
      </c>
      <c r="P55" s="222">
        <v>0</v>
      </c>
      <c r="Q55" s="222">
        <v>0</v>
      </c>
      <c r="R55" s="222">
        <v>0</v>
      </c>
      <c r="S55" s="222">
        <v>0</v>
      </c>
      <c r="T55" s="222">
        <v>0</v>
      </c>
      <c r="U55" s="222">
        <v>0</v>
      </c>
      <c r="V55" s="222">
        <v>0</v>
      </c>
      <c r="W55" s="222">
        <v>0</v>
      </c>
      <c r="X55" s="222">
        <v>0</v>
      </c>
      <c r="Y55" s="222">
        <v>0</v>
      </c>
      <c r="Z55" s="222">
        <v>0</v>
      </c>
      <c r="AA55" s="248">
        <v>0</v>
      </c>
      <c r="AB55" s="256">
        <v>0</v>
      </c>
      <c r="AC55" s="256">
        <v>0</v>
      </c>
      <c r="AD55" s="252">
        <v>0</v>
      </c>
      <c r="AE55" s="256">
        <v>0</v>
      </c>
      <c r="AF55" s="256">
        <v>0</v>
      </c>
      <c r="AG55" s="81"/>
      <c r="AH55" s="52">
        <f t="shared" si="2"/>
        <v>0</v>
      </c>
      <c r="AI55" s="53">
        <f t="shared" si="3"/>
        <v>0</v>
      </c>
      <c r="AK55" s="54"/>
    </row>
    <row r="56" spans="1:37" ht="15.75" x14ac:dyDescent="0.25">
      <c r="A56" s="58" t="s">
        <v>63</v>
      </c>
      <c r="B56" s="222">
        <v>0</v>
      </c>
      <c r="C56" s="222">
        <v>0</v>
      </c>
      <c r="D56" s="222">
        <v>0</v>
      </c>
      <c r="E56" s="222">
        <v>0</v>
      </c>
      <c r="F56" s="222">
        <v>0</v>
      </c>
      <c r="G56" s="222">
        <v>0</v>
      </c>
      <c r="H56" s="222">
        <v>0</v>
      </c>
      <c r="I56" s="222">
        <v>0</v>
      </c>
      <c r="J56" s="222">
        <v>0</v>
      </c>
      <c r="K56" s="222">
        <v>0</v>
      </c>
      <c r="L56" s="222">
        <v>0</v>
      </c>
      <c r="M56" s="222">
        <v>0</v>
      </c>
      <c r="N56" s="222">
        <v>0</v>
      </c>
      <c r="O56" s="222">
        <v>0</v>
      </c>
      <c r="P56" s="222">
        <v>0</v>
      </c>
      <c r="Q56" s="222">
        <v>0</v>
      </c>
      <c r="R56" s="222">
        <v>0</v>
      </c>
      <c r="S56" s="222">
        <v>0</v>
      </c>
      <c r="T56" s="222">
        <v>0</v>
      </c>
      <c r="U56" s="222">
        <v>0</v>
      </c>
      <c r="V56" s="222">
        <v>0</v>
      </c>
      <c r="W56" s="222">
        <v>0</v>
      </c>
      <c r="X56" s="222">
        <v>0</v>
      </c>
      <c r="Y56" s="222">
        <v>0</v>
      </c>
      <c r="Z56" s="222">
        <v>0</v>
      </c>
      <c r="AA56" s="248">
        <v>0</v>
      </c>
      <c r="AB56" s="256">
        <v>0</v>
      </c>
      <c r="AC56" s="256">
        <v>0</v>
      </c>
      <c r="AD56" s="252">
        <v>0</v>
      </c>
      <c r="AE56" s="256">
        <v>0</v>
      </c>
      <c r="AF56" s="256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5.75" x14ac:dyDescent="0.25">
      <c r="A57" s="84" t="s">
        <v>64</v>
      </c>
      <c r="B57" s="222">
        <v>0</v>
      </c>
      <c r="C57" s="222">
        <v>0</v>
      </c>
      <c r="D57" s="222">
        <v>0</v>
      </c>
      <c r="E57" s="222">
        <v>0</v>
      </c>
      <c r="F57" s="222">
        <v>0</v>
      </c>
      <c r="G57" s="222">
        <v>0</v>
      </c>
      <c r="H57" s="222">
        <v>0</v>
      </c>
      <c r="I57" s="222">
        <v>0</v>
      </c>
      <c r="J57" s="222">
        <v>0</v>
      </c>
      <c r="K57" s="222">
        <v>0</v>
      </c>
      <c r="L57" s="222">
        <v>0</v>
      </c>
      <c r="M57" s="222">
        <v>0</v>
      </c>
      <c r="N57" s="222">
        <v>0</v>
      </c>
      <c r="O57" s="223">
        <v>0</v>
      </c>
      <c r="P57" s="223">
        <v>0</v>
      </c>
      <c r="Q57" s="223">
        <v>0</v>
      </c>
      <c r="R57" s="223">
        <v>0</v>
      </c>
      <c r="S57" s="223">
        <v>0</v>
      </c>
      <c r="T57" s="223">
        <v>0</v>
      </c>
      <c r="U57" s="223">
        <v>0</v>
      </c>
      <c r="V57" s="223">
        <v>0</v>
      </c>
      <c r="W57" s="223">
        <v>0</v>
      </c>
      <c r="X57" s="223">
        <v>0</v>
      </c>
      <c r="Y57" s="223">
        <v>0</v>
      </c>
      <c r="Z57" s="223">
        <v>0</v>
      </c>
      <c r="AA57" s="248">
        <v>0</v>
      </c>
      <c r="AB57" s="256">
        <v>0</v>
      </c>
      <c r="AC57" s="256">
        <v>0</v>
      </c>
      <c r="AD57" s="252">
        <v>0</v>
      </c>
      <c r="AE57" s="256">
        <v>0</v>
      </c>
      <c r="AF57" s="256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6.5" thickBot="1" x14ac:dyDescent="0.3">
      <c r="A58" s="84" t="s">
        <v>65</v>
      </c>
      <c r="B58" s="222">
        <v>0</v>
      </c>
      <c r="C58" s="222">
        <v>0</v>
      </c>
      <c r="D58" s="222">
        <v>0</v>
      </c>
      <c r="E58" s="222">
        <v>0</v>
      </c>
      <c r="F58" s="222">
        <v>0</v>
      </c>
      <c r="G58" s="222">
        <v>0</v>
      </c>
      <c r="H58" s="222">
        <v>0</v>
      </c>
      <c r="I58" s="222">
        <v>0</v>
      </c>
      <c r="J58" s="222">
        <v>0</v>
      </c>
      <c r="K58" s="222">
        <v>0</v>
      </c>
      <c r="L58" s="222">
        <v>0</v>
      </c>
      <c r="M58" s="222">
        <v>0</v>
      </c>
      <c r="N58" s="222">
        <v>0</v>
      </c>
      <c r="O58" s="223">
        <v>0</v>
      </c>
      <c r="P58" s="223">
        <v>0</v>
      </c>
      <c r="Q58" s="223">
        <v>0</v>
      </c>
      <c r="R58" s="223">
        <v>0</v>
      </c>
      <c r="S58" s="223">
        <v>0</v>
      </c>
      <c r="T58" s="223">
        <v>0</v>
      </c>
      <c r="U58" s="223">
        <v>0</v>
      </c>
      <c r="V58" s="223">
        <v>0</v>
      </c>
      <c r="W58" s="223">
        <v>0</v>
      </c>
      <c r="X58" s="223">
        <v>0</v>
      </c>
      <c r="Y58" s="223">
        <v>0</v>
      </c>
      <c r="Z58" s="223">
        <v>0</v>
      </c>
      <c r="AA58" s="249">
        <v>0</v>
      </c>
      <c r="AB58" s="256">
        <v>0</v>
      </c>
      <c r="AC58" s="256">
        <v>0</v>
      </c>
      <c r="AD58" s="252">
        <v>0</v>
      </c>
      <c r="AE58" s="256">
        <v>0</v>
      </c>
      <c r="AF58" s="256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228">
        <f>SUM(B48:B58)</f>
        <v>185</v>
      </c>
      <c r="C59" s="228">
        <f t="shared" ref="C59:AF59" si="8">SUM(C48:C58)</f>
        <v>152</v>
      </c>
      <c r="D59" s="228">
        <f t="shared" si="8"/>
        <v>146.55000000000001</v>
      </c>
      <c r="E59" s="228">
        <f t="shared" si="8"/>
        <v>142.53</v>
      </c>
      <c r="F59" s="228">
        <f t="shared" si="8"/>
        <v>121.2</v>
      </c>
      <c r="G59" s="228">
        <f t="shared" si="8"/>
        <v>133</v>
      </c>
      <c r="H59" s="228">
        <f t="shared" si="8"/>
        <v>105.5</v>
      </c>
      <c r="I59" s="228">
        <f t="shared" si="8"/>
        <v>162.67000000000002</v>
      </c>
      <c r="J59" s="228">
        <f t="shared" si="8"/>
        <v>162.9</v>
      </c>
      <c r="K59" s="228">
        <f t="shared" si="8"/>
        <v>156.32999999999998</v>
      </c>
      <c r="L59" s="228">
        <f t="shared" si="8"/>
        <v>168.87</v>
      </c>
      <c r="M59" s="228">
        <f t="shared" si="8"/>
        <v>183.8</v>
      </c>
      <c r="N59" s="228">
        <f t="shared" si="8"/>
        <v>151</v>
      </c>
      <c r="O59" s="228">
        <f t="shared" si="8"/>
        <v>115.4</v>
      </c>
      <c r="P59" s="228">
        <f t="shared" si="8"/>
        <v>104.68</v>
      </c>
      <c r="Q59" s="228">
        <f t="shared" si="8"/>
        <v>143</v>
      </c>
      <c r="R59" s="228">
        <f t="shared" si="8"/>
        <v>186</v>
      </c>
      <c r="S59" s="228">
        <f t="shared" si="8"/>
        <v>202</v>
      </c>
      <c r="T59" s="228">
        <f t="shared" si="8"/>
        <v>154.1</v>
      </c>
      <c r="U59" s="228">
        <f t="shared" si="8"/>
        <v>137.22</v>
      </c>
      <c r="V59" s="228">
        <f t="shared" si="8"/>
        <v>119.35</v>
      </c>
      <c r="W59" s="228">
        <f t="shared" si="8"/>
        <v>115.1</v>
      </c>
      <c r="X59" s="228">
        <f t="shared" si="8"/>
        <v>127.53</v>
      </c>
      <c r="Y59" s="228">
        <f t="shared" si="8"/>
        <v>196.7</v>
      </c>
      <c r="Z59" s="228">
        <f t="shared" si="8"/>
        <v>262.3</v>
      </c>
      <c r="AA59" s="228">
        <f t="shared" si="8"/>
        <v>255.8</v>
      </c>
      <c r="AB59" s="228">
        <f t="shared" si="8"/>
        <v>290.60000000000002</v>
      </c>
      <c r="AC59" s="228">
        <f t="shared" si="8"/>
        <v>292</v>
      </c>
      <c r="AD59" s="228">
        <f t="shared" si="8"/>
        <v>221.45</v>
      </c>
      <c r="AE59" s="228">
        <f t="shared" si="8"/>
        <v>202.9</v>
      </c>
      <c r="AF59" s="228">
        <f t="shared" si="8"/>
        <v>177</v>
      </c>
      <c r="AG59" s="74">
        <f>SUM(AG48:AG58)</f>
        <v>0</v>
      </c>
      <c r="AH59" s="52">
        <f t="shared" si="2"/>
        <v>292</v>
      </c>
      <c r="AI59" s="53">
        <f t="shared" si="3"/>
        <v>104.68</v>
      </c>
      <c r="AK59" s="54"/>
    </row>
    <row r="60" spans="1:37" x14ac:dyDescent="0.25">
      <c r="A60" s="55" t="s">
        <v>67</v>
      </c>
      <c r="B60" s="222">
        <v>0</v>
      </c>
      <c r="C60" s="222">
        <v>0</v>
      </c>
      <c r="D60" s="222">
        <v>0</v>
      </c>
      <c r="E60" s="222">
        <v>0</v>
      </c>
      <c r="F60" s="222">
        <v>0</v>
      </c>
      <c r="G60" s="222">
        <v>0</v>
      </c>
      <c r="H60" s="222">
        <v>0</v>
      </c>
      <c r="I60" s="222">
        <v>0</v>
      </c>
      <c r="J60" s="222">
        <v>0</v>
      </c>
      <c r="K60" s="222">
        <v>0</v>
      </c>
      <c r="L60" s="223">
        <v>0</v>
      </c>
      <c r="M60" s="223">
        <v>0</v>
      </c>
      <c r="N60" s="223">
        <v>0</v>
      </c>
      <c r="O60" s="223">
        <v>0</v>
      </c>
      <c r="P60" s="223">
        <v>0</v>
      </c>
      <c r="Q60" s="223">
        <v>0</v>
      </c>
      <c r="R60" s="223">
        <v>0</v>
      </c>
      <c r="S60" s="223">
        <v>0</v>
      </c>
      <c r="T60" s="223">
        <v>0</v>
      </c>
      <c r="U60" s="223">
        <v>0</v>
      </c>
      <c r="V60" s="223">
        <v>0</v>
      </c>
      <c r="W60" s="223">
        <v>0</v>
      </c>
      <c r="X60" s="223">
        <v>0</v>
      </c>
      <c r="Y60" s="223">
        <v>0</v>
      </c>
      <c r="Z60" s="223">
        <v>0</v>
      </c>
      <c r="AA60" s="222">
        <v>0</v>
      </c>
      <c r="AB60" s="222">
        <v>0</v>
      </c>
      <c r="AC60" s="222">
        <v>0</v>
      </c>
      <c r="AD60" s="222">
        <v>0</v>
      </c>
      <c r="AE60" s="222">
        <v>0</v>
      </c>
      <c r="AF60" s="22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221">
        <v>0</v>
      </c>
      <c r="C61" s="221">
        <v>0</v>
      </c>
      <c r="D61" s="221">
        <v>0</v>
      </c>
      <c r="E61" s="221">
        <v>0</v>
      </c>
      <c r="F61" s="221">
        <v>0</v>
      </c>
      <c r="G61" s="221">
        <v>0</v>
      </c>
      <c r="H61" s="221">
        <v>0</v>
      </c>
      <c r="I61" s="221">
        <v>0</v>
      </c>
      <c r="J61" s="221">
        <v>0</v>
      </c>
      <c r="K61" s="221">
        <v>0</v>
      </c>
      <c r="L61" s="223">
        <v>0</v>
      </c>
      <c r="M61" s="223">
        <v>0</v>
      </c>
      <c r="N61" s="223">
        <v>0</v>
      </c>
      <c r="O61" s="223">
        <v>0</v>
      </c>
      <c r="P61" s="223">
        <v>0</v>
      </c>
      <c r="Q61" s="223">
        <v>0</v>
      </c>
      <c r="R61" s="223">
        <v>0</v>
      </c>
      <c r="S61" s="223">
        <v>0</v>
      </c>
      <c r="T61" s="223">
        <v>0</v>
      </c>
      <c r="U61" s="223">
        <v>0</v>
      </c>
      <c r="V61" s="223">
        <v>0</v>
      </c>
      <c r="W61" s="223">
        <v>0</v>
      </c>
      <c r="X61" s="223">
        <v>0</v>
      </c>
      <c r="Y61" s="223">
        <v>0</v>
      </c>
      <c r="Z61" s="223">
        <v>0</v>
      </c>
      <c r="AA61" s="221">
        <v>0</v>
      </c>
      <c r="AB61" s="221">
        <v>0</v>
      </c>
      <c r="AC61" s="221">
        <v>0</v>
      </c>
      <c r="AD61" s="221">
        <v>0</v>
      </c>
      <c r="AE61" s="221">
        <v>0</v>
      </c>
      <c r="AF61" s="221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222">
        <v>0</v>
      </c>
      <c r="C62" s="222">
        <v>0</v>
      </c>
      <c r="D62" s="222">
        <v>0</v>
      </c>
      <c r="E62" s="222">
        <v>0</v>
      </c>
      <c r="F62" s="222">
        <v>0</v>
      </c>
      <c r="G62" s="222">
        <v>0</v>
      </c>
      <c r="H62" s="222">
        <v>0</v>
      </c>
      <c r="I62" s="222">
        <v>0</v>
      </c>
      <c r="J62" s="222">
        <v>0</v>
      </c>
      <c r="K62" s="222">
        <v>0</v>
      </c>
      <c r="L62" s="223">
        <v>0</v>
      </c>
      <c r="M62" s="223">
        <v>0</v>
      </c>
      <c r="N62" s="223">
        <v>0</v>
      </c>
      <c r="O62" s="223">
        <v>0</v>
      </c>
      <c r="P62" s="223">
        <v>0</v>
      </c>
      <c r="Q62" s="223">
        <v>0</v>
      </c>
      <c r="R62" s="223">
        <v>0</v>
      </c>
      <c r="S62" s="223">
        <v>0</v>
      </c>
      <c r="T62" s="223">
        <v>0</v>
      </c>
      <c r="U62" s="223">
        <v>0</v>
      </c>
      <c r="V62" s="223">
        <v>0</v>
      </c>
      <c r="W62" s="223">
        <v>0</v>
      </c>
      <c r="X62" s="223">
        <v>0</v>
      </c>
      <c r="Y62" s="223">
        <v>0</v>
      </c>
      <c r="Z62" s="223">
        <v>0</v>
      </c>
      <c r="AA62" s="223">
        <v>0</v>
      </c>
      <c r="AB62" s="223">
        <v>0</v>
      </c>
      <c r="AC62" s="223">
        <v>0</v>
      </c>
      <c r="AD62" s="223">
        <v>0</v>
      </c>
      <c r="AE62" s="223">
        <v>0</v>
      </c>
      <c r="AF62" s="223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228">
        <f>SUM(B60:B62)</f>
        <v>0</v>
      </c>
      <c r="C63" s="228">
        <f t="shared" ref="C63:AF63" si="9">SUM(C60:C62)</f>
        <v>0</v>
      </c>
      <c r="D63" s="228">
        <f t="shared" si="9"/>
        <v>0</v>
      </c>
      <c r="E63" s="228">
        <f t="shared" si="9"/>
        <v>0</v>
      </c>
      <c r="F63" s="228">
        <f t="shared" si="9"/>
        <v>0</v>
      </c>
      <c r="G63" s="228">
        <f t="shared" si="9"/>
        <v>0</v>
      </c>
      <c r="H63" s="228">
        <f t="shared" si="9"/>
        <v>0</v>
      </c>
      <c r="I63" s="228">
        <f t="shared" si="9"/>
        <v>0</v>
      </c>
      <c r="J63" s="228">
        <f t="shared" si="9"/>
        <v>0</v>
      </c>
      <c r="K63" s="228">
        <f t="shared" si="9"/>
        <v>0</v>
      </c>
      <c r="L63" s="228">
        <f t="shared" si="9"/>
        <v>0</v>
      </c>
      <c r="M63" s="228">
        <f t="shared" si="9"/>
        <v>0</v>
      </c>
      <c r="N63" s="228">
        <f t="shared" si="9"/>
        <v>0</v>
      </c>
      <c r="O63" s="228">
        <f t="shared" si="9"/>
        <v>0</v>
      </c>
      <c r="P63" s="228">
        <f t="shared" si="9"/>
        <v>0</v>
      </c>
      <c r="Q63" s="228">
        <f t="shared" si="9"/>
        <v>0</v>
      </c>
      <c r="R63" s="228">
        <f t="shared" si="9"/>
        <v>0</v>
      </c>
      <c r="S63" s="228">
        <f t="shared" si="9"/>
        <v>0</v>
      </c>
      <c r="T63" s="228">
        <f t="shared" si="9"/>
        <v>0</v>
      </c>
      <c r="U63" s="228">
        <f t="shared" si="9"/>
        <v>0</v>
      </c>
      <c r="V63" s="228">
        <f t="shared" si="9"/>
        <v>0</v>
      </c>
      <c r="W63" s="228">
        <f t="shared" si="9"/>
        <v>0</v>
      </c>
      <c r="X63" s="228">
        <f t="shared" si="9"/>
        <v>0</v>
      </c>
      <c r="Y63" s="228">
        <f t="shared" si="9"/>
        <v>0</v>
      </c>
      <c r="Z63" s="228">
        <f t="shared" si="9"/>
        <v>0</v>
      </c>
      <c r="AA63" s="228">
        <f t="shared" si="9"/>
        <v>0</v>
      </c>
      <c r="AB63" s="228">
        <f t="shared" si="9"/>
        <v>0</v>
      </c>
      <c r="AC63" s="228">
        <f t="shared" si="9"/>
        <v>0</v>
      </c>
      <c r="AD63" s="228">
        <f t="shared" si="9"/>
        <v>0</v>
      </c>
      <c r="AE63" s="228">
        <f t="shared" si="9"/>
        <v>0</v>
      </c>
      <c r="AF63" s="228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1046.44</v>
      </c>
      <c r="C65" s="91">
        <f t="shared" ref="C65:AF65" si="10">C63+C59+C47+C43+C30+C64</f>
        <v>1033.44</v>
      </c>
      <c r="D65" s="91">
        <f t="shared" si="10"/>
        <v>1016.5900000000001</v>
      </c>
      <c r="E65" s="91">
        <f t="shared" si="10"/>
        <v>1015.47</v>
      </c>
      <c r="F65" s="91">
        <f t="shared" si="10"/>
        <v>998.34000000000015</v>
      </c>
      <c r="G65" s="91">
        <f t="shared" si="10"/>
        <v>992.84000000000015</v>
      </c>
      <c r="H65" s="91">
        <f t="shared" si="10"/>
        <v>972.14</v>
      </c>
      <c r="I65" s="91">
        <f t="shared" si="10"/>
        <v>1034.1100000000001</v>
      </c>
      <c r="J65" s="91">
        <f t="shared" si="10"/>
        <v>1044.1000000000001</v>
      </c>
      <c r="K65" s="91">
        <f t="shared" si="10"/>
        <v>1027.97</v>
      </c>
      <c r="L65" s="91">
        <f t="shared" si="10"/>
        <v>995.91000000000008</v>
      </c>
      <c r="M65" s="91">
        <f t="shared" si="10"/>
        <v>1000.64</v>
      </c>
      <c r="N65" s="91">
        <f t="shared" si="10"/>
        <v>944.6400000000001</v>
      </c>
      <c r="O65" s="91">
        <f t="shared" si="10"/>
        <v>907.6400000000001</v>
      </c>
      <c r="P65" s="91">
        <f t="shared" si="10"/>
        <v>895.43000000000006</v>
      </c>
      <c r="Q65" s="91">
        <f t="shared" si="10"/>
        <v>933.83999999999992</v>
      </c>
      <c r="R65" s="91">
        <f t="shared" si="10"/>
        <v>962.84</v>
      </c>
      <c r="S65" s="91">
        <f t="shared" si="10"/>
        <v>1010.14</v>
      </c>
      <c r="T65" s="91">
        <f t="shared" si="10"/>
        <v>960.34</v>
      </c>
      <c r="U65" s="91">
        <f t="shared" si="10"/>
        <v>923.06000000000017</v>
      </c>
      <c r="V65" s="91">
        <f t="shared" si="10"/>
        <v>941.39</v>
      </c>
      <c r="W65" s="91">
        <f t="shared" si="10"/>
        <v>955.34</v>
      </c>
      <c r="X65" s="91">
        <f t="shared" si="10"/>
        <v>969.77</v>
      </c>
      <c r="Y65" s="91">
        <f t="shared" si="10"/>
        <v>1038.3399999999999</v>
      </c>
      <c r="Z65" s="91">
        <f t="shared" si="10"/>
        <v>1165.6400000000001</v>
      </c>
      <c r="AA65" s="91">
        <f t="shared" si="10"/>
        <v>1209.74</v>
      </c>
      <c r="AB65" s="91">
        <f t="shared" si="10"/>
        <v>1195.3400000000001</v>
      </c>
      <c r="AC65" s="91">
        <f t="shared" si="10"/>
        <v>1196.8400000000001</v>
      </c>
      <c r="AD65" s="91">
        <f t="shared" si="10"/>
        <v>1120.3900000000001</v>
      </c>
      <c r="AE65" s="91">
        <f t="shared" si="10"/>
        <v>1069.24</v>
      </c>
      <c r="AF65" s="91">
        <f t="shared" si="10"/>
        <v>1077.8400000000001</v>
      </c>
      <c r="AG65" s="74">
        <f>AG63+AG59+AG47+AG43+AG30+AG64</f>
        <v>1355.5100000000002</v>
      </c>
      <c r="AH65" s="52">
        <f t="shared" si="2"/>
        <v>1209.74</v>
      </c>
      <c r="AI65" s="53">
        <f t="shared" si="3"/>
        <v>895.43000000000006</v>
      </c>
    </row>
    <row r="66" spans="1:35" x14ac:dyDescent="0.25">
      <c r="A66" s="55" t="s">
        <v>73</v>
      </c>
      <c r="B66" s="222">
        <f t="shared" ref="B66:Q66" si="11">IF(B51&lt;0,B51*-1,0)</f>
        <v>0</v>
      </c>
      <c r="C66" s="222">
        <f t="shared" si="11"/>
        <v>0</v>
      </c>
      <c r="D66" s="222">
        <f t="shared" si="11"/>
        <v>0</v>
      </c>
      <c r="E66" s="222">
        <f t="shared" si="11"/>
        <v>0</v>
      </c>
      <c r="F66" s="222">
        <f t="shared" si="11"/>
        <v>0</v>
      </c>
      <c r="G66" s="222">
        <f t="shared" si="11"/>
        <v>0</v>
      </c>
      <c r="H66" s="222">
        <f t="shared" si="11"/>
        <v>0</v>
      </c>
      <c r="I66" s="222">
        <f t="shared" si="11"/>
        <v>0</v>
      </c>
      <c r="J66" s="222">
        <f t="shared" si="11"/>
        <v>0</v>
      </c>
      <c r="K66" s="222">
        <f t="shared" si="11"/>
        <v>0</v>
      </c>
      <c r="L66" s="222">
        <f t="shared" si="11"/>
        <v>0</v>
      </c>
      <c r="M66" s="222">
        <f t="shared" si="11"/>
        <v>0</v>
      </c>
      <c r="N66" s="222">
        <f t="shared" si="11"/>
        <v>0</v>
      </c>
      <c r="O66" s="222">
        <f t="shared" si="11"/>
        <v>0</v>
      </c>
      <c r="P66" s="222">
        <f t="shared" si="11"/>
        <v>0</v>
      </c>
      <c r="Q66" s="222">
        <f t="shared" si="11"/>
        <v>0</v>
      </c>
      <c r="R66" s="222">
        <f>IF(R51&lt;0,R51*-1,0)</f>
        <v>0</v>
      </c>
      <c r="S66" s="222">
        <f t="shared" ref="S66:AF66" si="12">IF(S51&lt;0,S51*-1,0)</f>
        <v>0</v>
      </c>
      <c r="T66" s="222">
        <f t="shared" si="12"/>
        <v>0</v>
      </c>
      <c r="U66" s="222">
        <f t="shared" si="12"/>
        <v>0</v>
      </c>
      <c r="V66" s="222">
        <f t="shared" si="12"/>
        <v>0</v>
      </c>
      <c r="W66" s="222">
        <f t="shared" si="12"/>
        <v>0</v>
      </c>
      <c r="X66" s="222">
        <f t="shared" si="12"/>
        <v>0</v>
      </c>
      <c r="Y66" s="222">
        <f t="shared" si="12"/>
        <v>0</v>
      </c>
      <c r="Z66" s="222">
        <f t="shared" si="12"/>
        <v>0</v>
      </c>
      <c r="AA66" s="222">
        <f t="shared" si="12"/>
        <v>0</v>
      </c>
      <c r="AB66" s="222">
        <f t="shared" si="12"/>
        <v>0</v>
      </c>
      <c r="AC66" s="222">
        <f t="shared" si="12"/>
        <v>0</v>
      </c>
      <c r="AD66" s="222">
        <f t="shared" si="12"/>
        <v>0</v>
      </c>
      <c r="AE66" s="222">
        <f t="shared" si="12"/>
        <v>0</v>
      </c>
      <c r="AF66" s="22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222">
        <f t="shared" ref="B67:Q67" si="13">IF(B49&lt;0,B49*-1,0)</f>
        <v>0</v>
      </c>
      <c r="C67" s="222">
        <f t="shared" si="13"/>
        <v>0</v>
      </c>
      <c r="D67" s="222">
        <f t="shared" si="13"/>
        <v>0</v>
      </c>
      <c r="E67" s="222">
        <f t="shared" si="13"/>
        <v>0</v>
      </c>
      <c r="F67" s="222">
        <f t="shared" si="13"/>
        <v>0</v>
      </c>
      <c r="G67" s="222">
        <f t="shared" si="13"/>
        <v>0</v>
      </c>
      <c r="H67" s="222">
        <f t="shared" si="13"/>
        <v>0</v>
      </c>
      <c r="I67" s="222">
        <f t="shared" si="13"/>
        <v>0</v>
      </c>
      <c r="J67" s="222">
        <f t="shared" si="13"/>
        <v>0</v>
      </c>
      <c r="K67" s="222">
        <f t="shared" si="13"/>
        <v>0</v>
      </c>
      <c r="L67" s="222">
        <f t="shared" si="13"/>
        <v>0</v>
      </c>
      <c r="M67" s="222">
        <f t="shared" si="13"/>
        <v>0</v>
      </c>
      <c r="N67" s="222">
        <f t="shared" si="13"/>
        <v>0</v>
      </c>
      <c r="O67" s="222">
        <f t="shared" si="13"/>
        <v>0</v>
      </c>
      <c r="P67" s="222">
        <f t="shared" si="13"/>
        <v>0</v>
      </c>
      <c r="Q67" s="222">
        <f t="shared" si="13"/>
        <v>0</v>
      </c>
      <c r="R67" s="222">
        <f>IF(R49&lt;0,R49*-1,0)</f>
        <v>0</v>
      </c>
      <c r="S67" s="222">
        <f t="shared" ref="S67:AF67" si="14">IF(S49&lt;0,S49*-1,0)</f>
        <v>0</v>
      </c>
      <c r="T67" s="222">
        <f t="shared" si="14"/>
        <v>0</v>
      </c>
      <c r="U67" s="222">
        <f t="shared" si="14"/>
        <v>0</v>
      </c>
      <c r="V67" s="222">
        <f t="shared" si="14"/>
        <v>0</v>
      </c>
      <c r="W67" s="222">
        <f t="shared" si="14"/>
        <v>0</v>
      </c>
      <c r="X67" s="222">
        <f t="shared" si="14"/>
        <v>0</v>
      </c>
      <c r="Y67" s="222">
        <f t="shared" si="14"/>
        <v>0</v>
      </c>
      <c r="Z67" s="222">
        <f t="shared" si="14"/>
        <v>0</v>
      </c>
      <c r="AA67" s="222">
        <f t="shared" si="14"/>
        <v>0</v>
      </c>
      <c r="AB67" s="222">
        <f t="shared" si="14"/>
        <v>0</v>
      </c>
      <c r="AC67" s="222">
        <f t="shared" si="14"/>
        <v>0</v>
      </c>
      <c r="AD67" s="222">
        <f t="shared" si="14"/>
        <v>0</v>
      </c>
      <c r="AE67" s="222">
        <f t="shared" si="14"/>
        <v>0</v>
      </c>
      <c r="AF67" s="22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222">
        <f t="shared" ref="B68:Q68" si="15">IF(B52&lt;0,B52*-1,0)</f>
        <v>0</v>
      </c>
      <c r="C68" s="222">
        <f t="shared" si="15"/>
        <v>0</v>
      </c>
      <c r="D68" s="222">
        <f t="shared" si="15"/>
        <v>0</v>
      </c>
      <c r="E68" s="222">
        <f t="shared" si="15"/>
        <v>0</v>
      </c>
      <c r="F68" s="222">
        <f t="shared" si="15"/>
        <v>0</v>
      </c>
      <c r="G68" s="222">
        <f t="shared" si="15"/>
        <v>0</v>
      </c>
      <c r="H68" s="222">
        <f t="shared" si="15"/>
        <v>0</v>
      </c>
      <c r="I68" s="222">
        <f t="shared" si="15"/>
        <v>0</v>
      </c>
      <c r="J68" s="222">
        <f t="shared" si="15"/>
        <v>0</v>
      </c>
      <c r="K68" s="222">
        <f t="shared" si="15"/>
        <v>0</v>
      </c>
      <c r="L68" s="222">
        <f t="shared" si="15"/>
        <v>0</v>
      </c>
      <c r="M68" s="222">
        <f t="shared" si="15"/>
        <v>0</v>
      </c>
      <c r="N68" s="222">
        <f t="shared" si="15"/>
        <v>0</v>
      </c>
      <c r="O68" s="222">
        <f t="shared" si="15"/>
        <v>0</v>
      </c>
      <c r="P68" s="222">
        <f t="shared" si="15"/>
        <v>0</v>
      </c>
      <c r="Q68" s="222">
        <f t="shared" si="15"/>
        <v>0</v>
      </c>
      <c r="R68" s="222">
        <f>IF(R52&lt;0,R52*-1,0)</f>
        <v>0</v>
      </c>
      <c r="S68" s="222">
        <f t="shared" ref="S68:AF68" si="16">IF(S52&lt;0,S52*-1,0)</f>
        <v>0</v>
      </c>
      <c r="T68" s="222">
        <f t="shared" si="16"/>
        <v>0</v>
      </c>
      <c r="U68" s="222">
        <f t="shared" si="16"/>
        <v>0</v>
      </c>
      <c r="V68" s="222">
        <f t="shared" si="16"/>
        <v>0</v>
      </c>
      <c r="W68" s="222">
        <f t="shared" si="16"/>
        <v>0</v>
      </c>
      <c r="X68" s="222">
        <f t="shared" si="16"/>
        <v>0</v>
      </c>
      <c r="Y68" s="222">
        <f t="shared" si="16"/>
        <v>0</v>
      </c>
      <c r="Z68" s="222">
        <f t="shared" si="16"/>
        <v>0</v>
      </c>
      <c r="AA68" s="222">
        <f t="shared" si="16"/>
        <v>0</v>
      </c>
      <c r="AB68" s="222">
        <f t="shared" si="16"/>
        <v>0</v>
      </c>
      <c r="AC68" s="222">
        <f t="shared" si="16"/>
        <v>0</v>
      </c>
      <c r="AD68" s="222">
        <f t="shared" si="16"/>
        <v>0</v>
      </c>
      <c r="AE68" s="222">
        <f t="shared" si="16"/>
        <v>0</v>
      </c>
      <c r="AF68" s="22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222">
        <f>IF(B50&lt;0,B50*-1,0)</f>
        <v>0</v>
      </c>
      <c r="C69" s="222">
        <f t="shared" ref="C69:AF69" si="17">IF(C50&lt;0,C50*-1,0)</f>
        <v>0</v>
      </c>
      <c r="D69" s="222">
        <f t="shared" si="17"/>
        <v>0</v>
      </c>
      <c r="E69" s="222">
        <f t="shared" si="17"/>
        <v>0</v>
      </c>
      <c r="F69" s="222">
        <f t="shared" si="17"/>
        <v>0</v>
      </c>
      <c r="G69" s="222">
        <f t="shared" si="17"/>
        <v>0</v>
      </c>
      <c r="H69" s="222">
        <f t="shared" si="17"/>
        <v>0</v>
      </c>
      <c r="I69" s="222">
        <f t="shared" si="17"/>
        <v>0</v>
      </c>
      <c r="J69" s="222">
        <f t="shared" si="17"/>
        <v>0</v>
      </c>
      <c r="K69" s="222">
        <f t="shared" si="17"/>
        <v>0</v>
      </c>
      <c r="L69" s="222">
        <f t="shared" si="17"/>
        <v>0</v>
      </c>
      <c r="M69" s="222">
        <f t="shared" si="17"/>
        <v>0</v>
      </c>
      <c r="N69" s="222">
        <f t="shared" si="17"/>
        <v>0</v>
      </c>
      <c r="O69" s="222">
        <f t="shared" si="17"/>
        <v>0</v>
      </c>
      <c r="P69" s="222">
        <f t="shared" si="17"/>
        <v>0</v>
      </c>
      <c r="Q69" s="222">
        <f t="shared" si="17"/>
        <v>0</v>
      </c>
      <c r="R69" s="222">
        <f t="shared" si="17"/>
        <v>0</v>
      </c>
      <c r="S69" s="222">
        <f t="shared" si="17"/>
        <v>0</v>
      </c>
      <c r="T69" s="222">
        <f t="shared" si="17"/>
        <v>0</v>
      </c>
      <c r="U69" s="222">
        <f t="shared" si="17"/>
        <v>0</v>
      </c>
      <c r="V69" s="222">
        <f t="shared" si="17"/>
        <v>0</v>
      </c>
      <c r="W69" s="222">
        <f t="shared" si="17"/>
        <v>0</v>
      </c>
      <c r="X69" s="222">
        <f t="shared" si="17"/>
        <v>0</v>
      </c>
      <c r="Y69" s="222">
        <f t="shared" si="17"/>
        <v>0</v>
      </c>
      <c r="Z69" s="222">
        <f t="shared" si="17"/>
        <v>0</v>
      </c>
      <c r="AA69" s="222">
        <f t="shared" si="17"/>
        <v>0</v>
      </c>
      <c r="AB69" s="222">
        <f t="shared" si="17"/>
        <v>0</v>
      </c>
      <c r="AC69" s="222">
        <f t="shared" si="17"/>
        <v>0</v>
      </c>
      <c r="AD69" s="222">
        <f t="shared" si="17"/>
        <v>0</v>
      </c>
      <c r="AE69" s="222">
        <f t="shared" si="17"/>
        <v>0</v>
      </c>
      <c r="AF69" s="22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18"/>
      <c r="S70" s="218"/>
      <c r="T70" s="218"/>
      <c r="U70" s="218"/>
      <c r="V70" s="218"/>
      <c r="W70" s="218"/>
      <c r="X70" s="218"/>
      <c r="Y70" s="218"/>
      <c r="Z70" s="218"/>
      <c r="AA70" s="223"/>
      <c r="AB70" s="223"/>
      <c r="AC70" s="223"/>
      <c r="AD70" s="223"/>
      <c r="AE70" s="223"/>
      <c r="AF70" s="223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228">
        <f>SUM(B66:B70)</f>
        <v>0</v>
      </c>
      <c r="C71" s="228">
        <f t="shared" ref="C71:AF71" si="18">SUM(C66:C70)</f>
        <v>0</v>
      </c>
      <c r="D71" s="228">
        <f t="shared" si="18"/>
        <v>0</v>
      </c>
      <c r="E71" s="228">
        <f t="shared" si="18"/>
        <v>0</v>
      </c>
      <c r="F71" s="228">
        <f t="shared" si="18"/>
        <v>0</v>
      </c>
      <c r="G71" s="228">
        <f t="shared" si="18"/>
        <v>0</v>
      </c>
      <c r="H71" s="228">
        <f t="shared" si="18"/>
        <v>0</v>
      </c>
      <c r="I71" s="228">
        <f t="shared" si="18"/>
        <v>0</v>
      </c>
      <c r="J71" s="228">
        <f t="shared" si="18"/>
        <v>0</v>
      </c>
      <c r="K71" s="228">
        <f t="shared" si="18"/>
        <v>0</v>
      </c>
      <c r="L71" s="228">
        <f t="shared" si="18"/>
        <v>0</v>
      </c>
      <c r="M71" s="228">
        <f t="shared" si="18"/>
        <v>0</v>
      </c>
      <c r="N71" s="228">
        <f t="shared" si="18"/>
        <v>0</v>
      </c>
      <c r="O71" s="228">
        <f t="shared" si="18"/>
        <v>0</v>
      </c>
      <c r="P71" s="228">
        <f t="shared" si="18"/>
        <v>0</v>
      </c>
      <c r="Q71" s="228">
        <f t="shared" si="18"/>
        <v>0</v>
      </c>
      <c r="R71" s="228">
        <f t="shared" si="18"/>
        <v>0</v>
      </c>
      <c r="S71" s="228">
        <f t="shared" si="18"/>
        <v>0</v>
      </c>
      <c r="T71" s="228">
        <f t="shared" si="18"/>
        <v>0</v>
      </c>
      <c r="U71" s="228">
        <f t="shared" si="18"/>
        <v>0</v>
      </c>
      <c r="V71" s="228">
        <f t="shared" si="18"/>
        <v>0</v>
      </c>
      <c r="W71" s="228">
        <f t="shared" si="18"/>
        <v>0</v>
      </c>
      <c r="X71" s="228">
        <f t="shared" si="18"/>
        <v>0</v>
      </c>
      <c r="Y71" s="228">
        <f t="shared" si="18"/>
        <v>0</v>
      </c>
      <c r="Z71" s="228">
        <f t="shared" si="18"/>
        <v>0</v>
      </c>
      <c r="AA71" s="228">
        <f t="shared" si="18"/>
        <v>0</v>
      </c>
      <c r="AB71" s="228">
        <f t="shared" si="18"/>
        <v>0</v>
      </c>
      <c r="AC71" s="228">
        <f t="shared" si="18"/>
        <v>0</v>
      </c>
      <c r="AD71" s="228">
        <f t="shared" si="18"/>
        <v>0</v>
      </c>
      <c r="AE71" s="228">
        <f t="shared" si="18"/>
        <v>0</v>
      </c>
      <c r="AF71" s="228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50.07</v>
      </c>
      <c r="C72" s="94">
        <v>50</v>
      </c>
      <c r="D72" s="94">
        <v>49.98</v>
      </c>
      <c r="E72" s="94">
        <v>49.99</v>
      </c>
      <c r="F72" s="94">
        <v>49.9</v>
      </c>
      <c r="G72" s="94">
        <v>50.04</v>
      </c>
      <c r="H72" s="94">
        <v>49.82</v>
      </c>
      <c r="I72" s="94">
        <v>49.88</v>
      </c>
      <c r="J72" s="94">
        <v>49.99</v>
      </c>
      <c r="K72" s="94">
        <v>50.05</v>
      </c>
      <c r="L72" s="94">
        <v>50.13</v>
      </c>
      <c r="M72" s="94">
        <v>49.41</v>
      </c>
      <c r="N72" s="94">
        <v>50.067</v>
      </c>
      <c r="O72" s="94">
        <v>49.89</v>
      </c>
      <c r="P72" s="94">
        <v>49.968000000000004</v>
      </c>
      <c r="Q72" s="95">
        <v>49.906999999999996</v>
      </c>
      <c r="R72" s="94">
        <v>50.033000000000001</v>
      </c>
      <c r="S72" s="94">
        <v>50.003999999999998</v>
      </c>
      <c r="T72" s="94">
        <v>49.941000000000003</v>
      </c>
      <c r="U72" s="94">
        <v>49.911999999999999</v>
      </c>
      <c r="V72" s="94">
        <v>50.100999999999999</v>
      </c>
      <c r="W72" s="94">
        <v>50.036999999999999</v>
      </c>
      <c r="X72" s="94">
        <v>50.036000000000001</v>
      </c>
      <c r="Y72" s="94">
        <v>49.945999999999998</v>
      </c>
      <c r="Z72" s="94">
        <v>50.000999999999998</v>
      </c>
      <c r="AA72" s="94">
        <v>50.009</v>
      </c>
      <c r="AB72" s="94">
        <v>50.087000000000003</v>
      </c>
      <c r="AC72" s="94">
        <v>50.02</v>
      </c>
      <c r="AD72" s="94">
        <v>50.116999999999997</v>
      </c>
      <c r="AE72" s="94">
        <v>50.003999999999998</v>
      </c>
      <c r="AF72" s="96">
        <v>49.819000000000003</v>
      </c>
      <c r="AG72" s="97"/>
      <c r="AH72" s="52">
        <f t="shared" si="2"/>
        <v>50.13</v>
      </c>
      <c r="AI72" s="53">
        <f t="shared" si="3"/>
        <v>49.41</v>
      </c>
    </row>
    <row r="73" spans="1:35" x14ac:dyDescent="0.25">
      <c r="A73" s="98" t="s">
        <v>80</v>
      </c>
      <c r="B73" s="219">
        <v>124</v>
      </c>
      <c r="C73" s="219">
        <v>123</v>
      </c>
      <c r="D73" s="219">
        <v>125.7</v>
      </c>
      <c r="E73" s="219">
        <v>125.6</v>
      </c>
      <c r="F73" s="219">
        <v>125.4</v>
      </c>
      <c r="G73" s="219">
        <v>126.4</v>
      </c>
      <c r="H73" s="219">
        <v>127.6</v>
      </c>
      <c r="I73" s="219">
        <v>126.5</v>
      </c>
      <c r="J73" s="219">
        <v>126</v>
      </c>
      <c r="K73" s="219">
        <v>124.7</v>
      </c>
      <c r="L73" s="219">
        <v>124.6</v>
      </c>
      <c r="M73" s="219">
        <v>123</v>
      </c>
      <c r="N73" s="219">
        <v>123.9</v>
      </c>
      <c r="O73" s="219">
        <v>122</v>
      </c>
      <c r="P73" s="219">
        <v>123.6</v>
      </c>
      <c r="Q73" s="99">
        <v>123.5</v>
      </c>
      <c r="R73" s="99">
        <v>123</v>
      </c>
      <c r="S73" s="99">
        <v>123.9</v>
      </c>
      <c r="T73" s="99">
        <v>124.6</v>
      </c>
      <c r="U73" s="99">
        <v>125.4</v>
      </c>
      <c r="V73" s="99">
        <v>125.9</v>
      </c>
      <c r="W73" s="99">
        <v>125.9</v>
      </c>
      <c r="X73" s="99">
        <v>124.6</v>
      </c>
      <c r="Y73" s="99">
        <v>123.6</v>
      </c>
      <c r="Z73" s="99">
        <v>124.5</v>
      </c>
      <c r="AA73" s="219">
        <v>125.6</v>
      </c>
      <c r="AB73" s="219">
        <v>125.5</v>
      </c>
      <c r="AC73" s="219">
        <v>124.8</v>
      </c>
      <c r="AD73" s="219">
        <v>125.5</v>
      </c>
      <c r="AE73" s="219">
        <v>123.5</v>
      </c>
      <c r="AF73" s="100">
        <v>124.1</v>
      </c>
      <c r="AG73" s="101"/>
      <c r="AH73" s="52">
        <f t="shared" si="2"/>
        <v>127.6</v>
      </c>
      <c r="AI73" s="53">
        <f t="shared" si="3"/>
        <v>122</v>
      </c>
    </row>
    <row r="74" spans="1:35" x14ac:dyDescent="0.25">
      <c r="A74" s="98" t="s">
        <v>81</v>
      </c>
      <c r="B74" s="219">
        <v>128</v>
      </c>
      <c r="C74" s="219">
        <v>127</v>
      </c>
      <c r="D74" s="219">
        <v>129.4</v>
      </c>
      <c r="E74" s="219">
        <v>129.6</v>
      </c>
      <c r="F74" s="219">
        <v>129.1</v>
      </c>
      <c r="G74" s="219">
        <v>129.5</v>
      </c>
      <c r="H74" s="219">
        <v>130.30000000000001</v>
      </c>
      <c r="I74" s="219">
        <v>129.4</v>
      </c>
      <c r="J74" s="219">
        <v>128.69999999999999</v>
      </c>
      <c r="K74" s="219">
        <v>127.4</v>
      </c>
      <c r="L74" s="219">
        <v>127.4</v>
      </c>
      <c r="M74" s="219">
        <v>126</v>
      </c>
      <c r="N74" s="219">
        <v>126</v>
      </c>
      <c r="O74" s="219">
        <v>124.7</v>
      </c>
      <c r="P74" s="219">
        <v>126.5</v>
      </c>
      <c r="Q74" s="99">
        <v>126.1</v>
      </c>
      <c r="R74" s="99">
        <v>125</v>
      </c>
      <c r="S74" s="99">
        <v>126.9</v>
      </c>
      <c r="T74" s="99">
        <v>127.2</v>
      </c>
      <c r="U74" s="99">
        <v>128.4</v>
      </c>
      <c r="V74" s="99">
        <v>128.4</v>
      </c>
      <c r="W74" s="99">
        <v>128.6</v>
      </c>
      <c r="X74" s="99">
        <v>127.3</v>
      </c>
      <c r="Y74" s="99">
        <v>126.5</v>
      </c>
      <c r="Z74" s="99">
        <v>127.4</v>
      </c>
      <c r="AA74" s="219">
        <v>128</v>
      </c>
      <c r="AB74" s="219">
        <v>128.30000000000001</v>
      </c>
      <c r="AC74" s="219">
        <v>127.4</v>
      </c>
      <c r="AD74" s="219">
        <v>128.9</v>
      </c>
      <c r="AE74" s="219">
        <v>127.1</v>
      </c>
      <c r="AF74" s="100">
        <v>127.5</v>
      </c>
      <c r="AG74" s="101"/>
      <c r="AH74" s="52">
        <f t="shared" si="2"/>
        <v>130.30000000000001</v>
      </c>
      <c r="AI74" s="53">
        <f t="shared" si="3"/>
        <v>124.7</v>
      </c>
    </row>
    <row r="75" spans="1:35" x14ac:dyDescent="0.25">
      <c r="A75" s="98" t="s">
        <v>82</v>
      </c>
      <c r="B75" s="219">
        <v>128</v>
      </c>
      <c r="C75" s="219">
        <v>128</v>
      </c>
      <c r="D75" s="219">
        <v>128.9</v>
      </c>
      <c r="E75" s="219">
        <v>129.9</v>
      </c>
      <c r="F75" s="219">
        <v>127.4</v>
      </c>
      <c r="G75" s="219">
        <v>128.4</v>
      </c>
      <c r="H75" s="219">
        <v>128.5</v>
      </c>
      <c r="I75" s="219">
        <v>128.30000000000001</v>
      </c>
      <c r="J75" s="219">
        <v>127.7</v>
      </c>
      <c r="K75" s="219">
        <v>127.6</v>
      </c>
      <c r="L75" s="219">
        <v>128.4</v>
      </c>
      <c r="M75" s="219">
        <v>127.5</v>
      </c>
      <c r="N75" s="219">
        <v>124.8</v>
      </c>
      <c r="O75" s="219">
        <v>127.1</v>
      </c>
      <c r="P75" s="219">
        <v>132</v>
      </c>
      <c r="Q75" s="219">
        <v>129.4</v>
      </c>
      <c r="R75" s="219">
        <v>129</v>
      </c>
      <c r="S75" s="219">
        <v>126.2</v>
      </c>
      <c r="T75" s="99">
        <v>127.8</v>
      </c>
      <c r="U75" s="99">
        <v>129.19999999999999</v>
      </c>
      <c r="V75" s="99">
        <v>128.69999999999999</v>
      </c>
      <c r="W75" s="99">
        <v>128.1</v>
      </c>
      <c r="X75" s="99">
        <v>127.9</v>
      </c>
      <c r="Y75" s="99">
        <v>126.7</v>
      </c>
      <c r="Z75" s="99">
        <v>126.5</v>
      </c>
      <c r="AA75" s="219">
        <v>128.9</v>
      </c>
      <c r="AB75" s="219">
        <v>126</v>
      </c>
      <c r="AC75" s="219">
        <v>125.4</v>
      </c>
      <c r="AD75" s="219">
        <v>128.9</v>
      </c>
      <c r="AE75" s="219">
        <v>127.2</v>
      </c>
      <c r="AF75" s="100">
        <v>125.3</v>
      </c>
      <c r="AG75" s="101"/>
      <c r="AH75" s="52">
        <f t="shared" si="2"/>
        <v>132</v>
      </c>
      <c r="AI75" s="53">
        <f t="shared" si="3"/>
        <v>124.8</v>
      </c>
    </row>
    <row r="76" spans="1:35" x14ac:dyDescent="0.25">
      <c r="A76" s="102" t="s">
        <v>83</v>
      </c>
      <c r="B76" s="219">
        <v>130</v>
      </c>
      <c r="C76" s="219">
        <v>130</v>
      </c>
      <c r="D76" s="219">
        <v>131.1</v>
      </c>
      <c r="E76" s="219">
        <v>131.80000000000001</v>
      </c>
      <c r="F76" s="219">
        <v>129.30000000000001</v>
      </c>
      <c r="G76" s="219">
        <v>129.80000000000001</v>
      </c>
      <c r="H76" s="219">
        <v>130</v>
      </c>
      <c r="I76" s="219">
        <v>129.4</v>
      </c>
      <c r="J76" s="219">
        <v>128.69999999999999</v>
      </c>
      <c r="K76" s="219">
        <v>129.5</v>
      </c>
      <c r="L76" s="219">
        <v>130.69999999999999</v>
      </c>
      <c r="M76" s="219">
        <v>130</v>
      </c>
      <c r="N76" s="219">
        <v>128.19999999999999</v>
      </c>
      <c r="O76" s="219">
        <v>129.5</v>
      </c>
      <c r="P76" s="219">
        <v>135.19999999999999</v>
      </c>
      <c r="Q76" s="219">
        <v>133.19999999999999</v>
      </c>
      <c r="R76" s="219">
        <v>132</v>
      </c>
      <c r="S76" s="219">
        <v>127.8</v>
      </c>
      <c r="T76" s="99">
        <v>132.30000000000001</v>
      </c>
      <c r="U76" s="99">
        <v>131.9</v>
      </c>
      <c r="V76" s="99">
        <v>131.5</v>
      </c>
      <c r="W76" s="99">
        <v>131.6</v>
      </c>
      <c r="X76" s="99">
        <v>131.5</v>
      </c>
      <c r="Y76" s="99">
        <v>130.1</v>
      </c>
      <c r="Z76" s="99">
        <v>131.6</v>
      </c>
      <c r="AA76" s="219">
        <v>132.1</v>
      </c>
      <c r="AB76" s="219">
        <v>129.5</v>
      </c>
      <c r="AC76" s="219">
        <v>129.19999999999999</v>
      </c>
      <c r="AD76" s="219">
        <v>132.80000000000001</v>
      </c>
      <c r="AE76" s="219">
        <v>129.9</v>
      </c>
      <c r="AF76" s="100">
        <v>128.30000000000001</v>
      </c>
      <c r="AG76" s="101"/>
      <c r="AH76" s="52">
        <f t="shared" si="2"/>
        <v>135.19999999999999</v>
      </c>
      <c r="AI76" s="53">
        <f t="shared" si="3"/>
        <v>127.8</v>
      </c>
    </row>
    <row r="77" spans="1:35" x14ac:dyDescent="0.25">
      <c r="A77" s="102" t="s">
        <v>84</v>
      </c>
      <c r="B77" s="103">
        <v>134</v>
      </c>
      <c r="C77" s="103">
        <v>133</v>
      </c>
      <c r="D77" s="103">
        <v>133.80000000000001</v>
      </c>
      <c r="E77" s="103">
        <v>133.5</v>
      </c>
      <c r="F77" s="103">
        <v>134</v>
      </c>
      <c r="G77" s="103">
        <v>143.5</v>
      </c>
      <c r="H77" s="103">
        <v>143.69999999999999</v>
      </c>
      <c r="I77" s="103">
        <v>132.9</v>
      </c>
      <c r="J77" s="103">
        <v>132.4</v>
      </c>
      <c r="K77" s="103">
        <v>132.80000000000001</v>
      </c>
      <c r="L77" s="103">
        <v>133.30000000000001</v>
      </c>
      <c r="M77" s="103"/>
      <c r="N77" s="103"/>
      <c r="O77" s="103">
        <v>132.30000000000001</v>
      </c>
      <c r="P77" s="103">
        <v>132.80000000000001</v>
      </c>
      <c r="Q77" s="103">
        <v>133.4</v>
      </c>
      <c r="R77" s="103">
        <v>132</v>
      </c>
      <c r="S77" s="103">
        <v>133.5</v>
      </c>
      <c r="T77" s="99">
        <v>132.9</v>
      </c>
      <c r="U77" s="99">
        <v>132.4</v>
      </c>
      <c r="V77" s="99">
        <v>133.5</v>
      </c>
      <c r="W77" s="99">
        <v>133.30000000000001</v>
      </c>
      <c r="X77" s="99">
        <v>133.5</v>
      </c>
      <c r="Y77" s="99">
        <v>132.9</v>
      </c>
      <c r="Z77" s="99">
        <v>131.9</v>
      </c>
      <c r="AA77" s="103">
        <v>132.1</v>
      </c>
      <c r="AB77" s="103">
        <v>132.1</v>
      </c>
      <c r="AC77" s="103">
        <v>132.80000000000001</v>
      </c>
      <c r="AD77" s="103">
        <v>132.19999999999999</v>
      </c>
      <c r="AE77" s="103">
        <v>131.69999999999999</v>
      </c>
      <c r="AF77" s="104">
        <v>131.9</v>
      </c>
      <c r="AG77" s="105"/>
      <c r="AH77" s="52">
        <f t="shared" si="2"/>
        <v>143.69999999999999</v>
      </c>
      <c r="AI77" s="53">
        <f t="shared" si="3"/>
        <v>131.69999999999999</v>
      </c>
    </row>
    <row r="78" spans="1:35" x14ac:dyDescent="0.25">
      <c r="A78" s="98" t="s">
        <v>85</v>
      </c>
      <c r="B78" s="219">
        <v>133</v>
      </c>
      <c r="C78" s="219">
        <v>133</v>
      </c>
      <c r="D78" s="219">
        <v>137</v>
      </c>
      <c r="E78" s="219">
        <v>130.80000000000001</v>
      </c>
      <c r="F78" s="219">
        <v>131.69999999999999</v>
      </c>
      <c r="G78" s="219">
        <v>131.4</v>
      </c>
      <c r="H78" s="219">
        <v>132.30000000000001</v>
      </c>
      <c r="I78" s="219">
        <v>132.30000000000001</v>
      </c>
      <c r="J78" s="219">
        <v>133</v>
      </c>
      <c r="K78" s="219">
        <v>129</v>
      </c>
      <c r="L78" s="219">
        <v>128.30000000000001</v>
      </c>
      <c r="M78" s="219"/>
      <c r="N78" s="219"/>
      <c r="O78" s="219">
        <v>132.6</v>
      </c>
      <c r="P78" s="219">
        <v>131.30000000000001</v>
      </c>
      <c r="Q78" s="219">
        <v>132.9</v>
      </c>
      <c r="R78" s="219">
        <v>129</v>
      </c>
      <c r="S78" s="219">
        <v>129.5</v>
      </c>
      <c r="T78" s="99">
        <v>134.30000000000001</v>
      </c>
      <c r="U78" s="99">
        <v>129.19999999999999</v>
      </c>
      <c r="V78" s="99">
        <v>129.19999999999999</v>
      </c>
      <c r="W78" s="99">
        <v>128.5</v>
      </c>
      <c r="X78" s="99">
        <v>127.8</v>
      </c>
      <c r="Y78" s="99">
        <v>128.6</v>
      </c>
      <c r="Z78" s="99">
        <v>126.6</v>
      </c>
      <c r="AA78" s="219">
        <v>121.9</v>
      </c>
      <c r="AB78" s="219">
        <v>125.5</v>
      </c>
      <c r="AC78" s="219">
        <v>123</v>
      </c>
      <c r="AD78" s="219">
        <v>122.9</v>
      </c>
      <c r="AE78" s="219">
        <v>126.2</v>
      </c>
      <c r="AF78" s="100">
        <v>127.6</v>
      </c>
      <c r="AG78" s="101"/>
      <c r="AH78" s="52">
        <f>MAX(B78:AF78)</f>
        <v>137</v>
      </c>
      <c r="AI78" s="53">
        <f>MIN(B78:AF78)</f>
        <v>121.9</v>
      </c>
    </row>
    <row r="79" spans="1:35" ht="15.75" thickBot="1" x14ac:dyDescent="0.3">
      <c r="A79" s="98" t="s">
        <v>86</v>
      </c>
      <c r="B79" s="106">
        <v>65.5</v>
      </c>
      <c r="C79" s="106">
        <v>65.2</v>
      </c>
      <c r="D79" s="106">
        <v>129.4</v>
      </c>
      <c r="E79" s="106">
        <v>66.2</v>
      </c>
      <c r="F79" s="106">
        <v>66.2</v>
      </c>
      <c r="G79" s="106">
        <v>66.3</v>
      </c>
      <c r="H79" s="106">
        <v>66.599999999999994</v>
      </c>
      <c r="I79" s="106">
        <v>66.099999999999994</v>
      </c>
      <c r="J79" s="106">
        <v>65.8</v>
      </c>
      <c r="K79" s="106">
        <v>65.099999999999994</v>
      </c>
      <c r="L79" s="106">
        <v>65.3</v>
      </c>
      <c r="M79" s="106">
        <v>64.3</v>
      </c>
      <c r="N79" s="106">
        <v>64.7</v>
      </c>
      <c r="O79" s="106">
        <v>63.9</v>
      </c>
      <c r="P79" s="106">
        <v>64.900000000000006</v>
      </c>
      <c r="Q79" s="106">
        <v>64.8</v>
      </c>
      <c r="R79" s="106">
        <v>64.599999999999994</v>
      </c>
      <c r="S79" s="106">
        <v>65.2</v>
      </c>
      <c r="T79" s="106">
        <v>65.2</v>
      </c>
      <c r="U79" s="106">
        <v>65.900000000000006</v>
      </c>
      <c r="V79" s="106">
        <v>66.099999999999994</v>
      </c>
      <c r="W79" s="106">
        <v>66</v>
      </c>
      <c r="X79" s="106">
        <v>65.400000000000006</v>
      </c>
      <c r="Y79" s="106">
        <v>65</v>
      </c>
      <c r="Z79" s="106">
        <v>65.5</v>
      </c>
      <c r="AA79" s="106">
        <v>65.599999999999994</v>
      </c>
      <c r="AB79" s="106">
        <v>65.599999999999994</v>
      </c>
      <c r="AC79" s="106">
        <v>65.400000000000006</v>
      </c>
      <c r="AD79" s="106">
        <v>66.2</v>
      </c>
      <c r="AE79" s="106">
        <v>65.400000000000006</v>
      </c>
      <c r="AF79" s="107">
        <v>65.7</v>
      </c>
      <c r="AG79" s="108"/>
      <c r="AH79" s="52">
        <f>MAX(B79:AF79)</f>
        <v>129.4</v>
      </c>
      <c r="AI79" s="53">
        <f>MIN(B79:AF79)</f>
        <v>63.9</v>
      </c>
    </row>
    <row r="80" spans="1:35" x14ac:dyDescent="0.25">
      <c r="A80" s="109" t="s">
        <v>87</v>
      </c>
      <c r="B80" s="110">
        <f t="shared" ref="B80:AF80" si="19">SUMIF(B48:B57,"&gt;0")</f>
        <v>185</v>
      </c>
      <c r="C80" s="110">
        <f t="shared" si="19"/>
        <v>152</v>
      </c>
      <c r="D80" s="110">
        <f t="shared" si="19"/>
        <v>146.55000000000001</v>
      </c>
      <c r="E80" s="110">
        <f t="shared" si="19"/>
        <v>142.53</v>
      </c>
      <c r="F80" s="110">
        <f t="shared" si="19"/>
        <v>121.2</v>
      </c>
      <c r="G80" s="110">
        <f t="shared" si="19"/>
        <v>133</v>
      </c>
      <c r="H80" s="110">
        <f t="shared" si="19"/>
        <v>105.5</v>
      </c>
      <c r="I80" s="110">
        <f t="shared" si="19"/>
        <v>162.67000000000002</v>
      </c>
      <c r="J80" s="110">
        <f t="shared" si="19"/>
        <v>162.9</v>
      </c>
      <c r="K80" s="110">
        <f t="shared" si="19"/>
        <v>156.32999999999998</v>
      </c>
      <c r="L80" s="110">
        <f t="shared" si="19"/>
        <v>168.87</v>
      </c>
      <c r="M80" s="110">
        <f t="shared" si="19"/>
        <v>183.8</v>
      </c>
      <c r="N80" s="110">
        <f t="shared" si="19"/>
        <v>151</v>
      </c>
      <c r="O80" s="110">
        <f t="shared" si="19"/>
        <v>115.4</v>
      </c>
      <c r="P80" s="110">
        <f t="shared" si="19"/>
        <v>104.68</v>
      </c>
      <c r="Q80" s="110">
        <f t="shared" si="19"/>
        <v>143</v>
      </c>
      <c r="R80" s="110">
        <f t="shared" si="19"/>
        <v>186</v>
      </c>
      <c r="S80" s="110">
        <f t="shared" si="19"/>
        <v>202</v>
      </c>
      <c r="T80" s="110">
        <f t="shared" si="19"/>
        <v>154.1</v>
      </c>
      <c r="U80" s="110">
        <f t="shared" si="19"/>
        <v>137.22</v>
      </c>
      <c r="V80" s="110">
        <f t="shared" si="19"/>
        <v>119.35</v>
      </c>
      <c r="W80" s="110">
        <f t="shared" si="19"/>
        <v>115.1</v>
      </c>
      <c r="X80" s="110">
        <f t="shared" si="19"/>
        <v>127.53</v>
      </c>
      <c r="Y80" s="110">
        <f t="shared" si="19"/>
        <v>196.7</v>
      </c>
      <c r="Z80" s="110">
        <f t="shared" si="19"/>
        <v>262.3</v>
      </c>
      <c r="AA80" s="110">
        <f t="shared" si="19"/>
        <v>255.8</v>
      </c>
      <c r="AB80" s="110">
        <f t="shared" si="19"/>
        <v>290.60000000000002</v>
      </c>
      <c r="AC80" s="110">
        <f t="shared" si="19"/>
        <v>292</v>
      </c>
      <c r="AD80" s="110">
        <f t="shared" si="19"/>
        <v>221.45</v>
      </c>
      <c r="AE80" s="110">
        <f t="shared" si="19"/>
        <v>202.9</v>
      </c>
      <c r="AF80" s="110">
        <f t="shared" si="19"/>
        <v>177</v>
      </c>
      <c r="AG80" s="111"/>
      <c r="AH80" s="52">
        <f>MAX(B80:AF80)</f>
        <v>292</v>
      </c>
      <c r="AI80" s="53">
        <f>MIN(B80:AF80)</f>
        <v>104.68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122.21999999999997</v>
      </c>
      <c r="C82" s="115">
        <f t="shared" ref="C82:AF82" si="20">C11+C13+C17+C34+C36+C38+C40+C94+C108+C110+C121+C127+C130+C139+C143+C144+C147+C154+C159+C162+C163+C164+C172+C177+C83+C84+C85+C86+C99</f>
        <v>119.21999999999997</v>
      </c>
      <c r="D82" s="115">
        <f t="shared" si="20"/>
        <v>112.31999999999994</v>
      </c>
      <c r="E82" s="115">
        <f t="shared" si="20"/>
        <v>131.01999999999998</v>
      </c>
      <c r="F82" s="115">
        <f t="shared" si="20"/>
        <v>231.42</v>
      </c>
      <c r="G82" s="115">
        <f t="shared" si="20"/>
        <v>239.61999999999998</v>
      </c>
      <c r="H82" s="115">
        <f t="shared" si="20"/>
        <v>171.41999999999996</v>
      </c>
      <c r="I82" s="115">
        <f t="shared" si="20"/>
        <v>253.02</v>
      </c>
      <c r="J82" s="115">
        <f t="shared" si="20"/>
        <v>258.32</v>
      </c>
      <c r="K82" s="115">
        <f t="shared" si="20"/>
        <v>248.31999999999994</v>
      </c>
      <c r="L82" s="115">
        <f t="shared" si="20"/>
        <v>214.22</v>
      </c>
      <c r="M82" s="115">
        <f t="shared" si="20"/>
        <v>219.11999999999992</v>
      </c>
      <c r="N82" s="115">
        <f t="shared" si="20"/>
        <v>173.71999999999994</v>
      </c>
      <c r="O82" s="115">
        <f t="shared" si="20"/>
        <v>187.92</v>
      </c>
      <c r="P82" s="115">
        <f t="shared" si="20"/>
        <v>173.61999999999998</v>
      </c>
      <c r="Q82" s="115">
        <f t="shared" si="20"/>
        <v>166.82000000000002</v>
      </c>
      <c r="R82" s="115">
        <f t="shared" si="20"/>
        <v>165.92</v>
      </c>
      <c r="S82" s="115">
        <f t="shared" si="20"/>
        <v>176.42</v>
      </c>
      <c r="T82" s="115">
        <f t="shared" si="20"/>
        <v>172.12</v>
      </c>
      <c r="U82" s="115">
        <f t="shared" si="20"/>
        <v>173.52</v>
      </c>
      <c r="V82" s="115">
        <f t="shared" si="20"/>
        <v>172.42</v>
      </c>
      <c r="W82" s="115">
        <f t="shared" si="20"/>
        <v>191.92</v>
      </c>
      <c r="X82" s="115">
        <f t="shared" si="20"/>
        <v>204.42000000000002</v>
      </c>
      <c r="Y82" s="115">
        <f t="shared" si="20"/>
        <v>231.92</v>
      </c>
      <c r="Z82" s="115">
        <f t="shared" si="20"/>
        <v>262.11999999999995</v>
      </c>
      <c r="AA82" s="115">
        <f t="shared" si="20"/>
        <v>246.82</v>
      </c>
      <c r="AB82" s="115">
        <f t="shared" si="20"/>
        <v>228.32</v>
      </c>
      <c r="AC82" s="115">
        <f t="shared" si="20"/>
        <v>214.02</v>
      </c>
      <c r="AD82" s="115">
        <f t="shared" si="20"/>
        <v>160.91999999999999</v>
      </c>
      <c r="AE82" s="115">
        <f t="shared" si="20"/>
        <v>134.31999999999996</v>
      </c>
      <c r="AF82" s="115">
        <f t="shared" si="20"/>
        <v>127.62</v>
      </c>
      <c r="AG82" s="116"/>
      <c r="AH82" s="52">
        <f>MAX(B82:AF82)</f>
        <v>262.11999999999995</v>
      </c>
      <c r="AI82" s="53">
        <f>MIN(B82:AF82)</f>
        <v>112.31999999999994</v>
      </c>
    </row>
    <row r="83" spans="1:37" x14ac:dyDescent="0.25">
      <c r="A83" s="117" t="s">
        <v>89</v>
      </c>
      <c r="B83" s="225">
        <v>58</v>
      </c>
      <c r="C83" s="225">
        <v>70</v>
      </c>
      <c r="D83" s="225">
        <v>64.8</v>
      </c>
      <c r="E83" s="225">
        <v>65.900000000000006</v>
      </c>
      <c r="F83" s="225">
        <v>58.1</v>
      </c>
      <c r="G83" s="225">
        <v>48.8</v>
      </c>
      <c r="H83" s="225">
        <v>50</v>
      </c>
      <c r="I83" s="225">
        <v>47.3</v>
      </c>
      <c r="J83" s="225">
        <v>46.8</v>
      </c>
      <c r="K83" s="225">
        <v>65.7</v>
      </c>
      <c r="L83" s="225">
        <v>74.7</v>
      </c>
      <c r="M83" s="225">
        <v>72.5</v>
      </c>
      <c r="N83" s="225">
        <v>72.599999999999994</v>
      </c>
      <c r="O83" s="225">
        <v>74.599999999999994</v>
      </c>
      <c r="P83" s="225">
        <v>67.5</v>
      </c>
      <c r="Q83" s="225">
        <v>64.8</v>
      </c>
      <c r="R83" s="225">
        <v>45</v>
      </c>
      <c r="S83" s="225">
        <v>61</v>
      </c>
      <c r="T83" s="225">
        <v>64.599999999999994</v>
      </c>
      <c r="U83" s="225">
        <v>63.3</v>
      </c>
      <c r="V83" s="225">
        <v>69.400000000000006</v>
      </c>
      <c r="W83" s="225">
        <v>65.7</v>
      </c>
      <c r="X83" s="225">
        <v>69.400000000000006</v>
      </c>
      <c r="Y83" s="225">
        <v>71.8</v>
      </c>
      <c r="Z83" s="225">
        <v>60</v>
      </c>
      <c r="AA83" s="226">
        <v>57.2</v>
      </c>
      <c r="AB83" s="226">
        <v>55.5</v>
      </c>
      <c r="AC83" s="226">
        <v>55</v>
      </c>
      <c r="AD83" s="226">
        <v>52</v>
      </c>
      <c r="AE83" s="226">
        <v>58.9</v>
      </c>
      <c r="AF83" s="119">
        <v>60.6</v>
      </c>
      <c r="AG83" s="120">
        <v>75</v>
      </c>
      <c r="AH83" s="52">
        <f>IF(ABS(MAX(B83:AF83))&gt;ABS(MIN(B83:AF83)),MAX(B83:AF83),MIN(B83:AF83))</f>
        <v>74.7</v>
      </c>
      <c r="AI83" s="121">
        <f>INDEX($B$9:$AF$9,1,MATCH(AH83,B83:AF83,0))</f>
        <v>0.33333333333333331</v>
      </c>
    </row>
    <row r="84" spans="1:37" x14ac:dyDescent="0.25">
      <c r="A84" s="122" t="s">
        <v>90</v>
      </c>
      <c r="B84" s="221">
        <v>-45</v>
      </c>
      <c r="C84" s="221">
        <v>-55</v>
      </c>
      <c r="D84" s="221">
        <v>-59</v>
      </c>
      <c r="E84" s="221">
        <v>-47.1</v>
      </c>
      <c r="F84" s="221">
        <v>-46.9</v>
      </c>
      <c r="G84" s="221">
        <v>-37.200000000000003</v>
      </c>
      <c r="H84" s="221">
        <v>-37</v>
      </c>
      <c r="I84" s="221">
        <v>-26.9</v>
      </c>
      <c r="J84" s="221">
        <v>-23</v>
      </c>
      <c r="K84" s="221">
        <v>23.7</v>
      </c>
      <c r="L84" s="221">
        <v>-19.7</v>
      </c>
      <c r="M84" s="221">
        <v>-13</v>
      </c>
      <c r="N84" s="221">
        <v>-72.3</v>
      </c>
      <c r="O84" s="221">
        <f>-6.7-7.9</f>
        <v>-14.600000000000001</v>
      </c>
      <c r="P84" s="221">
        <v>-13.9</v>
      </c>
      <c r="Q84" s="221">
        <v>-14.9</v>
      </c>
      <c r="R84" s="221">
        <v>1.7</v>
      </c>
      <c r="S84" s="221">
        <v>-6.2</v>
      </c>
      <c r="T84" s="221">
        <v>-13.3</v>
      </c>
      <c r="U84" s="221">
        <v>-15</v>
      </c>
      <c r="V84" s="221">
        <v>-26.1</v>
      </c>
      <c r="W84" s="221">
        <v>-34.4</v>
      </c>
      <c r="X84" s="221">
        <v>-33.5</v>
      </c>
      <c r="Y84" s="221">
        <v>-22.2</v>
      </c>
      <c r="Z84" s="221">
        <v>-12.9</v>
      </c>
      <c r="AA84" s="219">
        <v>-20</v>
      </c>
      <c r="AB84" s="219">
        <v>-17</v>
      </c>
      <c r="AC84" s="219">
        <v>-21</v>
      </c>
      <c r="AD84" s="219">
        <v>-40</v>
      </c>
      <c r="AE84" s="219">
        <v>-50</v>
      </c>
      <c r="AF84" s="123">
        <v>-60</v>
      </c>
      <c r="AG84" s="120">
        <v>240</v>
      </c>
      <c r="AH84" s="52">
        <f>IF(ABS(MAX(B84:AF84))&gt;ABS(MIN(B84:AF84)),MAX(B84:AF84),MIN(B84:AF84))</f>
        <v>-72.3</v>
      </c>
      <c r="AI84" s="121">
        <f>INDEX($B$9:$AF$9,1,MATCH(AH84,B84:AF84,0))</f>
        <v>0.41666666666666702</v>
      </c>
    </row>
    <row r="85" spans="1:37" x14ac:dyDescent="0.25">
      <c r="A85" s="122" t="s">
        <v>91</v>
      </c>
      <c r="B85" s="221">
        <v>-8</v>
      </c>
      <c r="C85" s="221">
        <v>-12</v>
      </c>
      <c r="D85" s="221">
        <v>-8.8000000000000007</v>
      </c>
      <c r="E85" s="221">
        <v>-7.2</v>
      </c>
      <c r="F85" s="221">
        <v>0</v>
      </c>
      <c r="G85" s="221">
        <v>8.1</v>
      </c>
      <c r="H85" s="221">
        <v>14.3</v>
      </c>
      <c r="I85" s="221">
        <v>14.9</v>
      </c>
      <c r="J85" s="221">
        <v>16.899999999999999</v>
      </c>
      <c r="K85" s="221">
        <v>7.5</v>
      </c>
      <c r="L85" s="221">
        <v>0</v>
      </c>
      <c r="M85" s="221">
        <v>0.4</v>
      </c>
      <c r="N85" s="221">
        <v>13.1</v>
      </c>
      <c r="O85" s="221">
        <v>10.9</v>
      </c>
      <c r="P85" s="221">
        <v>10</v>
      </c>
      <c r="Q85" s="221">
        <v>7.8</v>
      </c>
      <c r="R85" s="221">
        <v>9.4</v>
      </c>
      <c r="S85" s="221">
        <v>11.5</v>
      </c>
      <c r="T85" s="221">
        <v>9.4</v>
      </c>
      <c r="U85" s="221">
        <v>10.9</v>
      </c>
      <c r="V85" s="221">
        <v>10.7</v>
      </c>
      <c r="W85" s="221">
        <v>9.6999999999999993</v>
      </c>
      <c r="X85" s="221">
        <v>10.5</v>
      </c>
      <c r="Y85" s="221">
        <v>12.1</v>
      </c>
      <c r="Z85" s="221">
        <v>29.9</v>
      </c>
      <c r="AA85" s="219">
        <v>31.4</v>
      </c>
      <c r="AB85" s="219">
        <v>21.7</v>
      </c>
      <c r="AC85" s="219">
        <v>19</v>
      </c>
      <c r="AD85" s="219">
        <v>15.7</v>
      </c>
      <c r="AE85" s="219">
        <v>5.5</v>
      </c>
      <c r="AF85" s="123">
        <v>5.6</v>
      </c>
      <c r="AG85" s="120">
        <v>60</v>
      </c>
      <c r="AH85" s="52">
        <f>IF(ABS(MAX(B85:AF85))&gt;ABS(MIN(B85:AF85)),MAX(B85:AF85),MIN(B85:AF85))</f>
        <v>31.4</v>
      </c>
      <c r="AI85" s="121">
        <f>INDEX($B$9:$AF$9,1,MATCH(AH85,B85:AF85,0))</f>
        <v>0.83333333333333337</v>
      </c>
    </row>
    <row r="86" spans="1:37" x14ac:dyDescent="0.25">
      <c r="A86" s="124" t="s">
        <v>92</v>
      </c>
      <c r="B86" s="223">
        <v>-104</v>
      </c>
      <c r="C86" s="223">
        <v>-105</v>
      </c>
      <c r="D86" s="223">
        <v>-104.5</v>
      </c>
      <c r="E86" s="223">
        <v>-100.6</v>
      </c>
      <c r="F86" s="223">
        <v>0</v>
      </c>
      <c r="G86" s="223">
        <v>0</v>
      </c>
      <c r="H86" s="223">
        <v>-75.8</v>
      </c>
      <c r="I86" s="223">
        <v>0</v>
      </c>
      <c r="J86" s="223">
        <v>0</v>
      </c>
      <c r="K86" s="223">
        <v>-65.900000000000006</v>
      </c>
      <c r="L86" s="223">
        <v>-57.3</v>
      </c>
      <c r="M86" s="223">
        <v>-58</v>
      </c>
      <c r="N86" s="223">
        <v>-58.8</v>
      </c>
      <c r="O86" s="223">
        <v>-71.3</v>
      </c>
      <c r="P86" s="223">
        <v>-78.5</v>
      </c>
      <c r="Q86" s="223">
        <v>-79.3</v>
      </c>
      <c r="R86" s="223">
        <v>-77.599999999999994</v>
      </c>
      <c r="S86" s="223">
        <v>-70.400000000000006</v>
      </c>
      <c r="T86" s="223">
        <v>-70.099999999999994</v>
      </c>
      <c r="U86" s="223">
        <v>-66.2</v>
      </c>
      <c r="V86" s="223">
        <v>-61.2</v>
      </c>
      <c r="W86" s="223">
        <v>-57.9</v>
      </c>
      <c r="X86" s="223">
        <v>-51.6</v>
      </c>
      <c r="Y86" s="223">
        <v>-38.200000000000003</v>
      </c>
      <c r="Z86" s="223">
        <v>-24.1</v>
      </c>
      <c r="AA86" s="125">
        <v>-33.4</v>
      </c>
      <c r="AB86" s="125">
        <v>-42.9</v>
      </c>
      <c r="AC86" s="125">
        <v>-50</v>
      </c>
      <c r="AD86" s="125">
        <v>-74.599999999999994</v>
      </c>
      <c r="AE86" s="125">
        <v>-87.8</v>
      </c>
      <c r="AF86" s="126">
        <v>-86</v>
      </c>
      <c r="AG86" s="127">
        <v>120</v>
      </c>
      <c r="AH86" s="52">
        <f>IF(ABS(MAX(B86:AF86))&gt;ABS(MIN(B86:AF86)),MAX(B86:AF86),MIN(B86:AF86))</f>
        <v>-105</v>
      </c>
      <c r="AI86" s="121">
        <f>INDEX($B$9:$AF$9,1,MATCH(AH86,B86:AF86,0))</f>
        <v>8.3333333333333301E-2</v>
      </c>
    </row>
    <row r="87" spans="1:37" ht="15.75" thickBot="1" x14ac:dyDescent="0.3">
      <c r="A87" s="124" t="s">
        <v>93</v>
      </c>
      <c r="B87" s="223">
        <v>50.4</v>
      </c>
      <c r="C87" s="223">
        <v>28.6</v>
      </c>
      <c r="D87" s="223">
        <v>28.7</v>
      </c>
      <c r="E87" s="223">
        <v>28.3</v>
      </c>
      <c r="F87" s="223">
        <v>24</v>
      </c>
      <c r="G87" s="223">
        <v>28.4</v>
      </c>
      <c r="H87" s="223">
        <v>19.5</v>
      </c>
      <c r="I87" s="223">
        <v>31.9</v>
      </c>
      <c r="J87" s="223">
        <v>33.5</v>
      </c>
      <c r="K87" s="223">
        <v>20.399999999999999</v>
      </c>
      <c r="L87" s="223">
        <v>30.1</v>
      </c>
      <c r="M87" s="223">
        <v>43.2</v>
      </c>
      <c r="N87" s="223">
        <v>34.1</v>
      </c>
      <c r="O87" s="223">
        <v>27.5</v>
      </c>
      <c r="P87" s="223">
        <v>37.5</v>
      </c>
      <c r="Q87" s="223">
        <v>43.1</v>
      </c>
      <c r="R87" s="223">
        <v>64</v>
      </c>
      <c r="S87" s="223">
        <v>57.2</v>
      </c>
      <c r="T87" s="223">
        <v>35.4</v>
      </c>
      <c r="U87" s="223">
        <v>32</v>
      </c>
      <c r="V87" s="223">
        <v>12.8</v>
      </c>
      <c r="W87" s="223">
        <v>16.8</v>
      </c>
      <c r="X87" s="223">
        <v>11.3</v>
      </c>
      <c r="Y87" s="223">
        <v>23</v>
      </c>
      <c r="Z87" s="223">
        <v>27.2</v>
      </c>
      <c r="AA87" s="125">
        <v>14.7</v>
      </c>
      <c r="AB87" s="125">
        <v>37.1</v>
      </c>
      <c r="AC87" s="125">
        <v>37</v>
      </c>
      <c r="AD87" s="125">
        <v>21.6</v>
      </c>
      <c r="AE87" s="125">
        <v>20.9</v>
      </c>
      <c r="AF87" s="126">
        <v>15.8</v>
      </c>
      <c r="AG87" s="127"/>
      <c r="AH87" s="52">
        <f>IF(ABS(MAX(B87:AF87))&gt;ABS(MIN(B87:AF87)),MAX(B87:AF87),MIN(B87:AF87))</f>
        <v>64</v>
      </c>
      <c r="AI87" s="121">
        <f>INDEX($B$9:$AF$9,1,MATCH(AH87,B87:AF87,0))</f>
        <v>0.58333333333333304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5"/>
      <c r="AG180" s="111"/>
      <c r="AH180" s="215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215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  <c r="AB186" s="215"/>
      <c r="AC186" s="215"/>
      <c r="AD186" s="215"/>
      <c r="AE186" s="215"/>
      <c r="AF186" s="215"/>
      <c r="AG186" s="215"/>
      <c r="AH186" s="215"/>
    </row>
    <row r="187" spans="1:50" x14ac:dyDescent="0.25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215"/>
      <c r="AC187" s="215"/>
      <c r="AD187" s="215"/>
      <c r="AE187" s="215"/>
      <c r="AF187" s="215"/>
      <c r="AG187" s="215"/>
      <c r="AH187" s="215"/>
    </row>
    <row r="188" spans="1:50" x14ac:dyDescent="0.25">
      <c r="A188" s="162" t="s">
        <v>189</v>
      </c>
      <c r="B188" s="163">
        <f>MAX(F65:M65)</f>
        <v>1044.1000000000001</v>
      </c>
      <c r="C188" s="164">
        <f>INDEX(F9:M9,1,MATCH(MAX(F65:M65),F65:M65,0))</f>
        <v>0.29166666666666669</v>
      </c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  <c r="AE188" s="215"/>
      <c r="AF188" s="215"/>
      <c r="AG188" s="215"/>
      <c r="AH188" s="215"/>
    </row>
    <row r="189" spans="1:50" x14ac:dyDescent="0.25"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165" t="str">
        <f ca="1">MID(CELL("filename",C7),FIND("]",CELL("filename",C7))+1,600)</f>
        <v>29</v>
      </c>
      <c r="T189" s="215"/>
      <c r="U189" s="215"/>
      <c r="V189" s="215"/>
      <c r="W189" s="215"/>
      <c r="X189" s="215"/>
      <c r="Y189" s="215"/>
      <c r="Z189" s="215"/>
      <c r="AA189" s="215"/>
      <c r="AB189" s="215"/>
      <c r="AC189" s="215"/>
      <c r="AD189" s="215"/>
      <c r="AE189" s="215"/>
      <c r="AF189" s="215"/>
      <c r="AG189" s="215"/>
      <c r="AH189" s="215"/>
    </row>
    <row r="190" spans="1:50" x14ac:dyDescent="0.25">
      <c r="A190" s="334" t="s">
        <v>190</v>
      </c>
      <c r="B190" s="334"/>
      <c r="C190" s="215"/>
      <c r="D190" s="165" t="str">
        <f ca="1">"Pie Chart of Daily Peak Demand(Inclusive of Export) of Nepal ("&amp;A4&amp;" "&amp;C4&amp;")"</f>
        <v>Pie Chart of Daily Peak Demand(Inclusive of Export) of Nepal (Date: 2078 Jestha 29)</v>
      </c>
      <c r="E190" s="215"/>
      <c r="F190" s="215"/>
      <c r="G190" s="16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165" t="str">
        <f ca="1">"Daily Load Curve(Excluding of Export) of Nepal ("&amp;A4&amp;" "&amp;C4&amp;")"</f>
        <v>Daily Load Curve(Excluding of Export) of Nepal (Date: 2078 Jestha 29)</v>
      </c>
      <c r="T190" s="215"/>
      <c r="U190" s="215"/>
      <c r="V190" s="215"/>
      <c r="W190" s="215"/>
      <c r="X190" s="215"/>
      <c r="Y190" s="215"/>
      <c r="Z190" s="215"/>
      <c r="AA190" s="215"/>
      <c r="AB190" s="215"/>
      <c r="AC190" s="215"/>
      <c r="AD190" s="215"/>
      <c r="AE190" s="215"/>
      <c r="AF190" s="215"/>
      <c r="AG190" s="215"/>
      <c r="AH190" s="215"/>
    </row>
    <row r="191" spans="1:50" ht="15.75" thickBot="1" x14ac:dyDescent="0.3">
      <c r="A191" s="166" t="s">
        <v>7</v>
      </c>
      <c r="B191" s="167"/>
      <c r="C191" s="215"/>
      <c r="D191" s="168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  <c r="AB191" s="215"/>
      <c r="AC191" s="215"/>
      <c r="AD191" s="215"/>
      <c r="AE191" s="215"/>
      <c r="AF191" s="215"/>
      <c r="AG191" s="215"/>
      <c r="AH191" s="215"/>
    </row>
    <row r="192" spans="1:50" ht="12.75" customHeight="1" thickTop="1" x14ac:dyDescent="0.25">
      <c r="A192" s="166" t="s">
        <v>191</v>
      </c>
      <c r="B192" s="167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 t="s">
        <v>194</v>
      </c>
      <c r="T193" s="173">
        <f t="shared" ref="T193:AX193" si="37">B65</f>
        <v>1046.44</v>
      </c>
      <c r="U193" s="173">
        <f t="shared" si="37"/>
        <v>1033.44</v>
      </c>
      <c r="V193" s="173">
        <f t="shared" si="37"/>
        <v>1016.5900000000001</v>
      </c>
      <c r="W193" s="173">
        <f t="shared" si="37"/>
        <v>1015.47</v>
      </c>
      <c r="X193" s="173">
        <f t="shared" si="37"/>
        <v>998.34000000000015</v>
      </c>
      <c r="Y193" s="173">
        <f t="shared" si="37"/>
        <v>992.84000000000015</v>
      </c>
      <c r="Z193" s="173">
        <f t="shared" si="37"/>
        <v>972.14</v>
      </c>
      <c r="AA193" s="173">
        <f t="shared" si="37"/>
        <v>1034.1100000000001</v>
      </c>
      <c r="AB193" s="173">
        <f t="shared" si="37"/>
        <v>1044.1000000000001</v>
      </c>
      <c r="AC193" s="173">
        <f t="shared" si="37"/>
        <v>1027.97</v>
      </c>
      <c r="AD193" s="173">
        <f t="shared" si="37"/>
        <v>995.91000000000008</v>
      </c>
      <c r="AE193" s="173">
        <f t="shared" si="37"/>
        <v>1000.64</v>
      </c>
      <c r="AF193" s="173">
        <f t="shared" si="37"/>
        <v>944.6400000000001</v>
      </c>
      <c r="AG193" s="173">
        <f t="shared" si="37"/>
        <v>907.6400000000001</v>
      </c>
      <c r="AH193" s="173">
        <f t="shared" si="37"/>
        <v>895.43000000000006</v>
      </c>
      <c r="AI193" s="173">
        <f t="shared" si="37"/>
        <v>933.83999999999992</v>
      </c>
      <c r="AJ193" s="173">
        <f t="shared" si="37"/>
        <v>962.84</v>
      </c>
      <c r="AK193" s="173">
        <f t="shared" si="37"/>
        <v>1010.14</v>
      </c>
      <c r="AL193" s="173">
        <f t="shared" si="37"/>
        <v>960.34</v>
      </c>
      <c r="AM193" s="173">
        <f t="shared" si="37"/>
        <v>923.06000000000017</v>
      </c>
      <c r="AN193" s="173">
        <f t="shared" si="37"/>
        <v>941.39</v>
      </c>
      <c r="AO193" s="173">
        <f t="shared" si="37"/>
        <v>955.34</v>
      </c>
      <c r="AP193" s="173">
        <f t="shared" si="37"/>
        <v>969.77</v>
      </c>
      <c r="AQ193" s="173">
        <f t="shared" si="37"/>
        <v>1038.3399999999999</v>
      </c>
      <c r="AR193" s="173">
        <f t="shared" si="37"/>
        <v>1165.6400000000001</v>
      </c>
      <c r="AS193" s="173">
        <f t="shared" si="37"/>
        <v>1209.74</v>
      </c>
      <c r="AT193" s="173">
        <f t="shared" si="37"/>
        <v>1195.3400000000001</v>
      </c>
      <c r="AU193" s="173">
        <f t="shared" si="37"/>
        <v>1196.8400000000001</v>
      </c>
      <c r="AV193" s="173">
        <f t="shared" si="37"/>
        <v>1120.3900000000001</v>
      </c>
      <c r="AW193" s="173">
        <f t="shared" si="37"/>
        <v>1069.24</v>
      </c>
      <c r="AX193" s="173">
        <f t="shared" si="37"/>
        <v>1077.8400000000001</v>
      </c>
    </row>
    <row r="194" spans="1:50" x14ac:dyDescent="0.25">
      <c r="A194" s="166" t="s">
        <v>195</v>
      </c>
      <c r="B194" s="167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  <c r="AB194" s="215"/>
      <c r="AC194" s="215"/>
      <c r="AD194" s="215"/>
      <c r="AE194" s="215"/>
      <c r="AF194" s="215"/>
      <c r="AG194" s="215"/>
      <c r="AH194" s="215"/>
    </row>
    <row r="195" spans="1:50" x14ac:dyDescent="0.25">
      <c r="A195" s="166" t="s">
        <v>196</v>
      </c>
      <c r="B195" s="167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  <c r="AB195" s="215"/>
      <c r="AC195" s="215"/>
      <c r="AD195" s="215"/>
      <c r="AE195" s="215"/>
      <c r="AF195" s="215"/>
      <c r="AG195" s="215"/>
      <c r="AH195" s="215"/>
    </row>
    <row r="196" spans="1:50" x14ac:dyDescent="0.25">
      <c r="A196" s="166" t="s">
        <v>197</v>
      </c>
      <c r="B196" s="167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  <c r="AB196" s="215"/>
      <c r="AC196" s="215"/>
      <c r="AD196" s="215"/>
      <c r="AE196" s="215"/>
      <c r="AF196" s="215"/>
      <c r="AG196" s="215"/>
      <c r="AH196" s="215"/>
    </row>
    <row r="197" spans="1:50" x14ac:dyDescent="0.25">
      <c r="A197" s="166" t="s">
        <v>198</v>
      </c>
      <c r="B197" s="174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215"/>
      <c r="AC197" s="215"/>
      <c r="AD197" s="215"/>
      <c r="AE197" s="215"/>
      <c r="AF197" s="215"/>
      <c r="AG197" s="215"/>
      <c r="AH197" s="215"/>
    </row>
    <row r="198" spans="1:50" x14ac:dyDescent="0.25">
      <c r="A198" s="166" t="s">
        <v>199</v>
      </c>
      <c r="B198" s="167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  <c r="AB198" s="215"/>
      <c r="AC198" s="215"/>
      <c r="AD198" s="215"/>
      <c r="AE198" s="215"/>
      <c r="AF198" s="215"/>
      <c r="AG198" s="215"/>
      <c r="AH198" s="215"/>
    </row>
    <row r="199" spans="1:50" x14ac:dyDescent="0.25"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  <c r="AB199" s="215"/>
      <c r="AC199" s="215"/>
      <c r="AD199" s="215"/>
      <c r="AE199" s="215"/>
      <c r="AF199" s="215"/>
      <c r="AG199" s="215"/>
      <c r="AH199" s="215"/>
    </row>
    <row r="200" spans="1:50" x14ac:dyDescent="0.25"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  <c r="AB200" s="215"/>
      <c r="AC200" s="215"/>
      <c r="AD200" s="215"/>
      <c r="AE200" s="215"/>
      <c r="AF200" s="215"/>
      <c r="AG200" s="215"/>
      <c r="AH200" s="215"/>
    </row>
    <row r="201" spans="1:50" x14ac:dyDescent="0.25"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  <c r="AB201" s="215"/>
      <c r="AC201" s="215"/>
      <c r="AD201" s="215"/>
      <c r="AE201" s="215"/>
      <c r="AF201" s="215"/>
      <c r="AG201" s="215"/>
      <c r="AH201" s="215"/>
    </row>
    <row r="202" spans="1:50" x14ac:dyDescent="0.25"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215"/>
      <c r="AC202" s="215"/>
      <c r="AD202" s="215"/>
      <c r="AE202" s="215"/>
      <c r="AF202" s="215"/>
      <c r="AG202" s="215"/>
      <c r="AH202" s="215"/>
    </row>
    <row r="203" spans="1:50" x14ac:dyDescent="0.25"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  <c r="AB203" s="215"/>
      <c r="AC203" s="215"/>
      <c r="AD203" s="215"/>
      <c r="AE203" s="215"/>
      <c r="AF203" s="215"/>
      <c r="AG203" s="215"/>
      <c r="AH203" s="215"/>
    </row>
    <row r="204" spans="1:50" x14ac:dyDescent="0.25"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  <c r="AB204" s="215"/>
      <c r="AC204" s="215"/>
      <c r="AD204" s="215"/>
      <c r="AE204" s="215"/>
      <c r="AF204" s="215"/>
      <c r="AG204" s="215"/>
      <c r="AH204" s="215"/>
    </row>
    <row r="205" spans="1:50" x14ac:dyDescent="0.25"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  <c r="AB205" s="215"/>
      <c r="AC205" s="215"/>
      <c r="AD205" s="215"/>
      <c r="AE205" s="215"/>
      <c r="AF205" s="215"/>
      <c r="AG205" s="215"/>
      <c r="AH205" s="215"/>
    </row>
    <row r="206" spans="1:50" x14ac:dyDescent="0.25"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  <c r="AB206" s="215"/>
      <c r="AC206" s="215"/>
      <c r="AD206" s="215"/>
      <c r="AE206" s="215"/>
      <c r="AF206" s="215"/>
      <c r="AG206" s="215"/>
      <c r="AH206" s="215"/>
    </row>
    <row r="207" spans="1:50" x14ac:dyDescent="0.25"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  <c r="AB207" s="215"/>
      <c r="AC207" s="215"/>
      <c r="AD207" s="215"/>
      <c r="AE207" s="215"/>
      <c r="AF207" s="215"/>
      <c r="AG207" s="215"/>
      <c r="AH207" s="215"/>
    </row>
    <row r="208" spans="1:50" x14ac:dyDescent="0.25"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  <c r="AA208" s="215"/>
      <c r="AB208" s="215"/>
      <c r="AC208" s="215"/>
      <c r="AD208" s="215"/>
      <c r="AE208" s="215"/>
      <c r="AF208" s="215"/>
      <c r="AG208" s="215"/>
      <c r="AH208" s="215"/>
    </row>
    <row r="209" spans="1:34" x14ac:dyDescent="0.25"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  <c r="AB209" s="215"/>
      <c r="AC209" s="215"/>
      <c r="AD209" s="215"/>
      <c r="AE209" s="215"/>
      <c r="AF209" s="215"/>
      <c r="AG209" s="215"/>
      <c r="AH209" s="215"/>
    </row>
    <row r="210" spans="1:34" x14ac:dyDescent="0.25"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  <c r="AB210" s="215"/>
      <c r="AC210" s="215"/>
      <c r="AD210" s="215"/>
      <c r="AE210" s="215"/>
      <c r="AF210" s="215"/>
      <c r="AG210" s="215"/>
      <c r="AH210" s="215"/>
    </row>
    <row r="211" spans="1:34" x14ac:dyDescent="0.25"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  <c r="AB211" s="215"/>
      <c r="AC211" s="215"/>
      <c r="AD211" s="215"/>
      <c r="AE211" s="215"/>
      <c r="AF211" s="215"/>
      <c r="AG211" s="215"/>
      <c r="AH211" s="215"/>
    </row>
    <row r="212" spans="1:34" x14ac:dyDescent="0.25"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  <c r="AB212" s="215"/>
      <c r="AC212" s="215"/>
      <c r="AD212" s="215"/>
      <c r="AE212" s="215"/>
      <c r="AF212" s="215"/>
      <c r="AG212" s="215"/>
      <c r="AH212" s="215"/>
    </row>
    <row r="213" spans="1:34" x14ac:dyDescent="0.25"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  <c r="AB213" s="215"/>
      <c r="AC213" s="215"/>
      <c r="AD213" s="215"/>
      <c r="AE213" s="215"/>
      <c r="AF213" s="215"/>
      <c r="AG213" s="215"/>
      <c r="AH213" s="215"/>
    </row>
    <row r="214" spans="1:34" x14ac:dyDescent="0.25">
      <c r="A214" s="216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215"/>
      <c r="AH214" s="215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215"/>
      <c r="AH215" s="215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215"/>
      <c r="AH216" s="215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215"/>
      <c r="AH217" s="215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215"/>
      <c r="AH218" s="215"/>
    </row>
    <row r="219" spans="1:34" x14ac:dyDescent="0.25"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  <c r="AA219" s="215"/>
      <c r="AB219" s="215"/>
      <c r="AC219" s="215"/>
      <c r="AD219" s="215"/>
      <c r="AE219" s="215"/>
      <c r="AF219" s="215"/>
      <c r="AG219" s="215"/>
      <c r="AH219" s="215"/>
    </row>
    <row r="220" spans="1:34" x14ac:dyDescent="0.25"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  <c r="AA220" s="215"/>
      <c r="AB220" s="215"/>
      <c r="AC220" s="215"/>
      <c r="AD220" s="215"/>
      <c r="AE220" s="215"/>
      <c r="AF220" s="215"/>
      <c r="AG220" s="215"/>
      <c r="AH220" s="215"/>
    </row>
    <row r="221" spans="1:34" x14ac:dyDescent="0.25"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  <c r="AA221" s="215"/>
      <c r="AB221" s="215"/>
      <c r="AC221" s="215"/>
      <c r="AD221" s="215"/>
      <c r="AE221" s="215"/>
      <c r="AF221" s="215"/>
      <c r="AG221" s="215"/>
      <c r="AH221" s="215"/>
    </row>
    <row r="222" spans="1:34" x14ac:dyDescent="0.25"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  <c r="AA222" s="215"/>
      <c r="AB222" s="215"/>
      <c r="AC222" s="215"/>
      <c r="AD222" s="215"/>
      <c r="AE222" s="215"/>
      <c r="AF222" s="215"/>
      <c r="AG222" s="215"/>
      <c r="AH222" s="215"/>
    </row>
    <row r="223" spans="1:34" x14ac:dyDescent="0.25"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  <c r="AA223" s="215"/>
      <c r="AB223" s="215"/>
      <c r="AC223" s="215"/>
      <c r="AD223" s="215"/>
      <c r="AE223" s="215"/>
      <c r="AF223" s="215"/>
      <c r="AG223" s="215"/>
      <c r="AH223" s="215"/>
    </row>
    <row r="224" spans="1:34" x14ac:dyDescent="0.25"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  <c r="AA224" s="215"/>
      <c r="AB224" s="215"/>
      <c r="AC224" s="215"/>
      <c r="AD224" s="215"/>
      <c r="AE224" s="215"/>
      <c r="AF224" s="215"/>
      <c r="AG224" s="215"/>
      <c r="AH224" s="215"/>
    </row>
    <row r="225" spans="2:32" x14ac:dyDescent="0.25"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  <c r="AA225" s="215"/>
      <c r="AB225" s="215"/>
      <c r="AC225" s="215"/>
      <c r="AD225" s="215"/>
      <c r="AE225" s="215"/>
      <c r="AF225" s="21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18" priority="157">
      <formula>S$9&gt;=20/24</formula>
    </cfRule>
    <cfRule type="expression" dxfId="817" priority="158">
      <formula>AND(S$9&gt;=14/24,S$9&lt;20/24)</formula>
    </cfRule>
    <cfRule type="expression" dxfId="816" priority="159">
      <formula>AND(S$9&gt;=8/24,S$9&lt;14/24)</formula>
    </cfRule>
    <cfRule type="expression" dxfId="815" priority="160">
      <formula>S$9&lt;8/24</formula>
    </cfRule>
  </conditionalFormatting>
  <conditionalFormatting sqref="B8:AF10 AA70:AF70 B70:Q70 L32:Z33 L31:Q31 B47:AF47 B71:AF71 B48:K50 C173:AF179 M36 N35:Q36 L29:Q29 L49:T50 V35:W35 S34:W34 X34:Z35 AA72:AF79 AA48:AF51 B59:AF69 U11:Z12 L34:Q34 N73:Z79 N72:Q72 B72:M79 M37:Q39 R11:T11 L44:AF46 B51:S58 AB52:AC58 AE52:AF58">
    <cfRule type="expression" dxfId="814" priority="153">
      <formula>B$9&gt;=20/24</formula>
    </cfRule>
    <cfRule type="expression" dxfId="813" priority="154">
      <formula>AND(B$9&gt;=14/24,B$9&lt;20/24)</formula>
    </cfRule>
    <cfRule type="expression" dxfId="812" priority="155">
      <formula>AND(B$9&gt;=8/24,B$9&lt;14/24)</formula>
    </cfRule>
    <cfRule type="expression" dxfId="811" priority="156">
      <formula>B$9&lt;8/24</formula>
    </cfRule>
  </conditionalFormatting>
  <conditionalFormatting sqref="B171:AF171">
    <cfRule type="expression" dxfId="810" priority="149">
      <formula>B$9&gt;=20/24</formula>
    </cfRule>
    <cfRule type="expression" dxfId="809" priority="150">
      <formula>AND(B$9&gt;=14/24,B$9&lt;20/24)</formula>
    </cfRule>
    <cfRule type="expression" dxfId="808" priority="151">
      <formula>AND(B$9&gt;=8/24,B$9&lt;14/24)</formula>
    </cfRule>
    <cfRule type="expression" dxfId="807" priority="152">
      <formula>B$9&lt;8/24</formula>
    </cfRule>
  </conditionalFormatting>
  <conditionalFormatting sqref="AL4:AL6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806" priority="144">
      <formula>L$9&gt;=20/24</formula>
    </cfRule>
    <cfRule type="expression" dxfId="805" priority="145">
      <formula>AND(L$9&gt;=14/24,L$9&lt;20/24)</formula>
    </cfRule>
    <cfRule type="expression" dxfId="804" priority="146">
      <formula>AND(L$9&gt;=8/24,L$9&lt;14/24)</formula>
    </cfRule>
    <cfRule type="expression" dxfId="803" priority="147">
      <formula>L$9&lt;8/24</formula>
    </cfRule>
  </conditionalFormatting>
  <conditionalFormatting sqref="L35:M35">
    <cfRule type="expression" dxfId="802" priority="140">
      <formula>L$9&gt;=20/24</formula>
    </cfRule>
    <cfRule type="expression" dxfId="801" priority="141">
      <formula>AND(L$9&gt;=14/24,L$9&lt;20/24)</formula>
    </cfRule>
    <cfRule type="expression" dxfId="800" priority="142">
      <formula>AND(L$9&gt;=8/24,L$9&lt;14/24)</formula>
    </cfRule>
    <cfRule type="expression" dxfId="799" priority="143">
      <formula>L$9&lt;8/24</formula>
    </cfRule>
  </conditionalFormatting>
  <conditionalFormatting sqref="U13:Z13">
    <cfRule type="expression" dxfId="798" priority="136">
      <formula>U$9&gt;=20/24</formula>
    </cfRule>
    <cfRule type="expression" dxfId="797" priority="137">
      <formula>AND(U$9&gt;=14/24,U$9&lt;20/24)</formula>
    </cfRule>
    <cfRule type="expression" dxfId="796" priority="138">
      <formula>AND(U$9&gt;=8/24,U$9&lt;14/24)</formula>
    </cfRule>
    <cfRule type="expression" dxfId="795" priority="139">
      <formula>U$9&lt;8/24</formula>
    </cfRule>
  </conditionalFormatting>
  <conditionalFormatting sqref="R31:Z31">
    <cfRule type="expression" dxfId="794" priority="132">
      <formula>R$9&gt;=20/24</formula>
    </cfRule>
    <cfRule type="expression" dxfId="793" priority="133">
      <formula>AND(R$9&gt;=14/24,R$9&lt;20/24)</formula>
    </cfRule>
    <cfRule type="expression" dxfId="792" priority="134">
      <formula>AND(R$9&gt;=8/24,R$9&lt;14/24)</formula>
    </cfRule>
    <cfRule type="expression" dxfId="791" priority="135">
      <formula>R$9&lt;8/24</formula>
    </cfRule>
  </conditionalFormatting>
  <conditionalFormatting sqref="R48:Z48">
    <cfRule type="expression" dxfId="790" priority="128">
      <formula>R$9&gt;=20/24</formula>
    </cfRule>
    <cfRule type="expression" dxfId="789" priority="129">
      <formula>AND(R$9&gt;=14/24,R$9&lt;20/24)</formula>
    </cfRule>
    <cfRule type="expression" dxfId="788" priority="130">
      <formula>AND(R$9&gt;=8/24,R$9&lt;14/24)</formula>
    </cfRule>
    <cfRule type="expression" dxfId="787" priority="131">
      <formula>R$9&lt;8/24</formula>
    </cfRule>
  </conditionalFormatting>
  <conditionalFormatting sqref="R70:Z70">
    <cfRule type="expression" dxfId="786" priority="124">
      <formula>R$9&gt;=20/24</formula>
    </cfRule>
    <cfRule type="expression" dxfId="785" priority="125">
      <formula>AND(R$9&gt;=14/24,R$9&lt;20/24)</formula>
    </cfRule>
    <cfRule type="expression" dxfId="784" priority="126">
      <formula>AND(R$9&gt;=8/24,R$9&lt;14/24)</formula>
    </cfRule>
    <cfRule type="expression" dxfId="783" priority="127">
      <formula>R$9&lt;8/24</formula>
    </cfRule>
  </conditionalFormatting>
  <conditionalFormatting sqref="R72:Z72">
    <cfRule type="expression" dxfId="782" priority="120">
      <formula>R$9&gt;=20/24</formula>
    </cfRule>
    <cfRule type="expression" dxfId="781" priority="121">
      <formula>AND(R$9&gt;=14/24,R$9&lt;20/24)</formula>
    </cfRule>
    <cfRule type="expression" dxfId="780" priority="122">
      <formula>AND(R$9&gt;=8/24,R$9&lt;14/24)</formula>
    </cfRule>
    <cfRule type="expression" dxfId="779" priority="123">
      <formula>R$9&lt;8/24</formula>
    </cfRule>
  </conditionalFormatting>
  <conditionalFormatting sqref="R22:T26 B11:L11 L11:S27 T22:T27 O21:AF21">
    <cfRule type="expression" dxfId="778" priority="116">
      <formula>B$9&gt;=20/24</formula>
    </cfRule>
    <cfRule type="expression" dxfId="777" priority="117">
      <formula>AND(B$9&gt;=14/24,B$9&lt;20/24)</formula>
    </cfRule>
    <cfRule type="expression" dxfId="776" priority="118">
      <formula>AND(B$9&gt;=8/24,B$9&lt;14/24)</formula>
    </cfRule>
    <cfRule type="expression" dxfId="775" priority="119">
      <formula>B$9&lt;8/24</formula>
    </cfRule>
  </conditionalFormatting>
  <conditionalFormatting sqref="L40:Q40">
    <cfRule type="expression" dxfId="774" priority="112">
      <formula>L$9&gt;=20/24</formula>
    </cfRule>
    <cfRule type="expression" dxfId="773" priority="113">
      <formula>AND(L$9&gt;=14/24,L$9&lt;20/24)</formula>
    </cfRule>
    <cfRule type="expression" dxfId="772" priority="114">
      <formula>AND(L$9&gt;=8/24,L$9&lt;14/24)</formula>
    </cfRule>
    <cfRule type="expression" dxfId="771" priority="115">
      <formula>L$9&lt;8/24</formula>
    </cfRule>
  </conditionalFormatting>
  <conditionalFormatting sqref="L41:Q41">
    <cfRule type="expression" dxfId="770" priority="108">
      <formula>L$9&gt;=20/24</formula>
    </cfRule>
    <cfRule type="expression" dxfId="769" priority="109">
      <formula>AND(L$9&gt;=14/24,L$9&lt;20/24)</formula>
    </cfRule>
    <cfRule type="expression" dxfId="768" priority="110">
      <formula>AND(L$9&gt;=8/24,L$9&lt;14/24)</formula>
    </cfRule>
    <cfRule type="expression" dxfId="767" priority="111">
      <formula>L$9&lt;8/24</formula>
    </cfRule>
  </conditionalFormatting>
  <conditionalFormatting sqref="L36:M39 N37:N39">
    <cfRule type="expression" dxfId="766" priority="104">
      <formula>L$9&gt;=20/24</formula>
    </cfRule>
    <cfRule type="expression" dxfId="765" priority="105">
      <formula>AND(L$9&gt;=14/24,L$9&lt;20/24)</formula>
    </cfRule>
    <cfRule type="expression" dxfId="764" priority="106">
      <formula>AND(L$9&gt;=8/24,L$9&lt;14/24)</formula>
    </cfRule>
    <cfRule type="expression" dxfId="763" priority="107">
      <formula>L$9&lt;8/24</formula>
    </cfRule>
  </conditionalFormatting>
  <conditionalFormatting sqref="R29:AD29">
    <cfRule type="expression" dxfId="762" priority="100">
      <formula>R$9&gt;=20/24</formula>
    </cfRule>
    <cfRule type="expression" dxfId="761" priority="101">
      <formula>AND(R$9&gt;=14/24,R$9&lt;20/24)</formula>
    </cfRule>
    <cfRule type="expression" dxfId="760" priority="102">
      <formula>AND(R$9&gt;=8/24,R$9&lt;14/24)</formula>
    </cfRule>
    <cfRule type="expression" dxfId="759" priority="103">
      <formula>R$9&lt;8/24</formula>
    </cfRule>
  </conditionalFormatting>
  <conditionalFormatting sqref="R12:T27 U14:Z27 AA16:AF27">
    <cfRule type="expression" dxfId="758" priority="96">
      <formula>R$9&gt;=20/24</formula>
    </cfRule>
    <cfRule type="expression" dxfId="757" priority="97">
      <formula>AND(R$9&gt;=14/24,R$9&lt;20/24)</formula>
    </cfRule>
    <cfRule type="expression" dxfId="756" priority="98">
      <formula>AND(R$9&gt;=8/24,R$9&lt;14/24)</formula>
    </cfRule>
    <cfRule type="expression" dxfId="755" priority="99">
      <formula>R$9&lt;8/24</formula>
    </cfRule>
  </conditionalFormatting>
  <conditionalFormatting sqref="R34:R39 S35:U39 V36:Z39">
    <cfRule type="expression" dxfId="754" priority="92">
      <formula>R$9&gt;=20/24</formula>
    </cfRule>
    <cfRule type="expression" dxfId="753" priority="93">
      <formula>AND(R$9&gt;=14/24,R$9&lt;20/24)</formula>
    </cfRule>
    <cfRule type="expression" dxfId="752" priority="94">
      <formula>AND(R$9&gt;=8/24,R$9&lt;14/24)</formula>
    </cfRule>
    <cfRule type="expression" dxfId="751" priority="95">
      <formula>R$9&lt;8/24</formula>
    </cfRule>
  </conditionalFormatting>
  <conditionalFormatting sqref="R40:Z40">
    <cfRule type="expression" dxfId="750" priority="88">
      <formula>R$9&gt;=20/24</formula>
    </cfRule>
    <cfRule type="expression" dxfId="749" priority="89">
      <formula>AND(R$9&gt;=14/24,R$9&lt;20/24)</formula>
    </cfRule>
    <cfRule type="expression" dxfId="748" priority="90">
      <formula>AND(R$9&gt;=8/24,R$9&lt;14/24)</formula>
    </cfRule>
    <cfRule type="expression" dxfId="747" priority="91">
      <formula>R$9&lt;8/24</formula>
    </cfRule>
  </conditionalFormatting>
  <conditionalFormatting sqref="R41:Z41">
    <cfRule type="expression" dxfId="746" priority="84">
      <formula>R$9&gt;=20/24</formula>
    </cfRule>
    <cfRule type="expression" dxfId="745" priority="85">
      <formula>AND(R$9&gt;=14/24,R$9&lt;20/24)</formula>
    </cfRule>
    <cfRule type="expression" dxfId="744" priority="86">
      <formula>AND(R$9&gt;=8/24,R$9&lt;14/24)</formula>
    </cfRule>
    <cfRule type="expression" dxfId="743" priority="87">
      <formula>R$9&lt;8/24</formula>
    </cfRule>
  </conditionalFormatting>
  <conditionalFormatting sqref="AA52:AA58 AD52:AD58">
    <cfRule type="expression" dxfId="742" priority="80">
      <formula>AA$9&gt;=20/24</formula>
    </cfRule>
    <cfRule type="expression" dxfId="741" priority="81">
      <formula>AND(AA$9&gt;=14/24,AA$9&lt;20/24)</formula>
    </cfRule>
    <cfRule type="expression" dxfId="740" priority="82">
      <formula>AND(AA$9&gt;=8/24,AA$9&lt;14/24)</formula>
    </cfRule>
    <cfRule type="expression" dxfId="739" priority="83">
      <formula>AA$9&lt;8/24</formula>
    </cfRule>
  </conditionalFormatting>
  <conditionalFormatting sqref="AA83:AF86">
    <cfRule type="expression" dxfId="738" priority="76">
      <formula>AA$9&gt;=20/24</formula>
    </cfRule>
    <cfRule type="expression" dxfId="737" priority="77">
      <formula>AND(AA$9&gt;=14/24,AA$9&lt;20/24)</formula>
    </cfRule>
    <cfRule type="expression" dxfId="736" priority="78">
      <formula>AND(AA$9&gt;=8/24,AA$9&lt;14/24)</formula>
    </cfRule>
    <cfRule type="expression" dxfId="735" priority="79">
      <formula>AA$9&lt;8/24</formula>
    </cfRule>
  </conditionalFormatting>
  <conditionalFormatting sqref="B83:K86">
    <cfRule type="expression" dxfId="734" priority="68">
      <formula>B$9&gt;=20/24</formula>
    </cfRule>
    <cfRule type="expression" dxfId="733" priority="69">
      <formula>AND(B$9&gt;=14/24,B$9&lt;20/24)</formula>
    </cfRule>
    <cfRule type="expression" dxfId="732" priority="70">
      <formula>AND(B$9&gt;=8/24,B$9&lt;14/24)</formula>
    </cfRule>
    <cfRule type="expression" dxfId="731" priority="71">
      <formula>B$9&lt;8/24</formula>
    </cfRule>
  </conditionalFormatting>
  <conditionalFormatting sqref="L83:Q86">
    <cfRule type="expression" dxfId="730" priority="64">
      <formula>L$9&gt;=20/24</formula>
    </cfRule>
    <cfRule type="expression" dxfId="729" priority="65">
      <formula>AND(L$9&gt;=14/24,L$9&lt;20/24)</formula>
    </cfRule>
    <cfRule type="expression" dxfId="728" priority="66">
      <formula>AND(L$9&gt;=8/24,L$9&lt;14/24)</formula>
    </cfRule>
    <cfRule type="expression" dxfId="727" priority="67">
      <formula>L$9&lt;8/24</formula>
    </cfRule>
  </conditionalFormatting>
  <conditionalFormatting sqref="R83:Z86">
    <cfRule type="expression" dxfId="726" priority="60">
      <formula>R$9&gt;=20/24</formula>
    </cfRule>
    <cfRule type="expression" dxfId="725" priority="61">
      <formula>AND(R$9&gt;=14/24,R$9&lt;20/24)</formula>
    </cfRule>
    <cfRule type="expression" dxfId="724" priority="62">
      <formula>AND(R$9&gt;=8/24,R$9&lt;14/24)</formula>
    </cfRule>
    <cfRule type="expression" dxfId="723" priority="63">
      <formula>R$9&lt;8/24</formula>
    </cfRule>
  </conditionalFormatting>
  <conditionalFormatting sqref="AG42 B11:AF47">
    <cfRule type="expression" dxfId="722" priority="59">
      <formula>B11&gt;$AG11</formula>
    </cfRule>
  </conditionalFormatting>
  <conditionalFormatting sqref="T192:AX192">
    <cfRule type="expression" dxfId="721" priority="55">
      <formula>T$9&gt;=20/24</formula>
    </cfRule>
    <cfRule type="expression" dxfId="720" priority="56">
      <formula>AND(T$9&gt;=14/24,T$9&lt;20/24)</formula>
    </cfRule>
    <cfRule type="expression" dxfId="719" priority="57">
      <formula>AND(T$9&gt;=8/24,T$9&lt;14/24)</formula>
    </cfRule>
    <cfRule type="expression" dxfId="718" priority="58">
      <formula>T$9&lt;8/24</formula>
    </cfRule>
  </conditionalFormatting>
  <conditionalFormatting sqref="A11:A86 A88:A180">
    <cfRule type="expression" dxfId="717" priority="54">
      <formula>$AH11=0</formula>
    </cfRule>
  </conditionalFormatting>
  <conditionalFormatting sqref="AA87:AF87">
    <cfRule type="expression" dxfId="716" priority="50">
      <formula>AA$9&gt;=20/24</formula>
    </cfRule>
    <cfRule type="expression" dxfId="715" priority="51">
      <formula>AND(AA$9&gt;=14/24,AA$9&lt;20/24)</formula>
    </cfRule>
    <cfRule type="expression" dxfId="714" priority="52">
      <formula>AND(AA$9&gt;=8/24,AA$9&lt;14/24)</formula>
    </cfRule>
    <cfRule type="expression" dxfId="713" priority="53">
      <formula>AA$9&lt;8/24</formula>
    </cfRule>
  </conditionalFormatting>
  <conditionalFormatting sqref="B87:K87">
    <cfRule type="expression" dxfId="712" priority="46">
      <formula>B$9&gt;=20/24</formula>
    </cfRule>
    <cfRule type="expression" dxfId="711" priority="47">
      <formula>AND(B$9&gt;=14/24,B$9&lt;20/24)</formula>
    </cfRule>
    <cfRule type="expression" dxfId="710" priority="48">
      <formula>AND(B$9&gt;=8/24,B$9&lt;14/24)</formula>
    </cfRule>
    <cfRule type="expression" dxfId="709" priority="49">
      <formula>B$9&lt;8/24</formula>
    </cfRule>
  </conditionalFormatting>
  <conditionalFormatting sqref="L87:Q87">
    <cfRule type="expression" dxfId="708" priority="42">
      <formula>L$9&gt;=20/24</formula>
    </cfRule>
    <cfRule type="expression" dxfId="707" priority="43">
      <formula>AND(L$9&gt;=14/24,L$9&lt;20/24)</formula>
    </cfRule>
    <cfRule type="expression" dxfId="706" priority="44">
      <formula>AND(L$9&gt;=8/24,L$9&lt;14/24)</formula>
    </cfRule>
    <cfRule type="expression" dxfId="705" priority="45">
      <formula>L$9&lt;8/24</formula>
    </cfRule>
  </conditionalFormatting>
  <conditionalFormatting sqref="R87:Z87">
    <cfRule type="expression" dxfId="704" priority="38">
      <formula>R$9&gt;=20/24</formula>
    </cfRule>
    <cfRule type="expression" dxfId="703" priority="39">
      <formula>AND(R$9&gt;=14/24,R$9&lt;20/24)</formula>
    </cfRule>
    <cfRule type="expression" dxfId="702" priority="40">
      <formula>AND(R$9&gt;=8/24,R$9&lt;14/24)</formula>
    </cfRule>
    <cfRule type="expression" dxfId="701" priority="41">
      <formula>R$9&lt;8/24</formula>
    </cfRule>
  </conditionalFormatting>
  <conditionalFormatting sqref="A87">
    <cfRule type="expression" dxfId="700" priority="37">
      <formula>$AH87=0</formula>
    </cfRule>
  </conditionalFormatting>
  <conditionalFormatting sqref="B28:AF28">
    <cfRule type="expression" dxfId="699" priority="33">
      <formula>B$9&gt;=20/24</formula>
    </cfRule>
    <cfRule type="expression" dxfId="698" priority="34">
      <formula>AND(B$9&gt;=14/24,B$9&lt;20/24)</formula>
    </cfRule>
    <cfRule type="expression" dxfId="697" priority="35">
      <formula>AND(B$9&gt;=8/24,B$9&lt;14/24)</formula>
    </cfRule>
    <cfRule type="expression" dxfId="696" priority="36">
      <formula>B$9&lt;8/24</formula>
    </cfRule>
  </conditionalFormatting>
  <conditionalFormatting sqref="R28:AA28">
    <cfRule type="expression" dxfId="695" priority="29">
      <formula>R$9&gt;=20/24</formula>
    </cfRule>
    <cfRule type="expression" dxfId="694" priority="30">
      <formula>AND(R$9&gt;=14/24,R$9&lt;20/24)</formula>
    </cfRule>
    <cfRule type="expression" dxfId="693" priority="31">
      <formula>AND(R$9&gt;=8/24,R$9&lt;14/24)</formula>
    </cfRule>
    <cfRule type="expression" dxfId="692" priority="32">
      <formula>R$9&lt;8/24</formula>
    </cfRule>
  </conditionalFormatting>
  <conditionalFormatting sqref="T51:T58">
    <cfRule type="expression" dxfId="691" priority="25">
      <formula>T$9&gt;=20/24</formula>
    </cfRule>
    <cfRule type="expression" dxfId="690" priority="26">
      <formula>AND(T$9&gt;=14/24,T$9&lt;20/24)</formula>
    </cfRule>
    <cfRule type="expression" dxfId="689" priority="27">
      <formula>AND(T$9&gt;=8/24,T$9&lt;14/24)</formula>
    </cfRule>
    <cfRule type="expression" dxfId="688" priority="28">
      <formula>T$9&lt;8/24</formula>
    </cfRule>
  </conditionalFormatting>
  <conditionalFormatting sqref="U22:U27">
    <cfRule type="expression" dxfId="687" priority="21">
      <formula>U$9&gt;=20/24</formula>
    </cfRule>
    <cfRule type="expression" dxfId="686" priority="22">
      <formula>AND(U$9&gt;=14/24,U$9&lt;20/24)</formula>
    </cfRule>
    <cfRule type="expression" dxfId="685" priority="23">
      <formula>AND(U$9&gt;=8/24,U$9&lt;14/24)</formula>
    </cfRule>
    <cfRule type="expression" dxfId="684" priority="24">
      <formula>U$9&lt;8/24</formula>
    </cfRule>
  </conditionalFormatting>
  <conditionalFormatting sqref="U51:U58">
    <cfRule type="expression" dxfId="683" priority="17">
      <formula>U$9&gt;=20/24</formula>
    </cfRule>
    <cfRule type="expression" dxfId="682" priority="18">
      <formula>AND(U$9&gt;=14/24,U$9&lt;20/24)</formula>
    </cfRule>
    <cfRule type="expression" dxfId="681" priority="19">
      <formula>AND(U$9&gt;=8/24,U$9&lt;14/24)</formula>
    </cfRule>
    <cfRule type="expression" dxfId="680" priority="20">
      <formula>U$9&lt;8/24</formula>
    </cfRule>
  </conditionalFormatting>
  <conditionalFormatting sqref="V22:V27">
    <cfRule type="expression" dxfId="679" priority="13">
      <formula>V$9&gt;=20/24</formula>
    </cfRule>
    <cfRule type="expression" dxfId="678" priority="14">
      <formula>AND(V$9&gt;=14/24,V$9&lt;20/24)</formula>
    </cfRule>
    <cfRule type="expression" dxfId="677" priority="15">
      <formula>AND(V$9&gt;=8/24,V$9&lt;14/24)</formula>
    </cfRule>
    <cfRule type="expression" dxfId="676" priority="16">
      <formula>V$9&lt;8/24</formula>
    </cfRule>
  </conditionalFormatting>
  <conditionalFormatting sqref="V51:V58">
    <cfRule type="expression" dxfId="675" priority="9">
      <formula>V$9&gt;=20/24</formula>
    </cfRule>
    <cfRule type="expression" dxfId="674" priority="10">
      <formula>AND(V$9&gt;=14/24,V$9&lt;20/24)</formula>
    </cfRule>
    <cfRule type="expression" dxfId="673" priority="11">
      <formula>AND(V$9&gt;=8/24,V$9&lt;14/24)</formula>
    </cfRule>
    <cfRule type="expression" dxfId="672" priority="12">
      <formula>V$9&lt;8/24</formula>
    </cfRule>
  </conditionalFormatting>
  <conditionalFormatting sqref="W22:Z27">
    <cfRule type="expression" dxfId="671" priority="5">
      <formula>W$9&gt;=20/24</formula>
    </cfRule>
    <cfRule type="expression" dxfId="670" priority="6">
      <formula>AND(W$9&gt;=14/24,W$9&lt;20/24)</formula>
    </cfRule>
    <cfRule type="expression" dxfId="669" priority="7">
      <formula>AND(W$9&gt;=8/24,W$9&lt;14/24)</formula>
    </cfRule>
    <cfRule type="expression" dxfId="668" priority="8">
      <formula>W$9&lt;8/24</formula>
    </cfRule>
  </conditionalFormatting>
  <conditionalFormatting sqref="W51:Z58">
    <cfRule type="expression" dxfId="667" priority="1">
      <formula>W$9&gt;=20/24</formula>
    </cfRule>
    <cfRule type="expression" dxfId="666" priority="2">
      <formula>AND(W$9&gt;=14/24,W$9&lt;20/24)</formula>
    </cfRule>
    <cfRule type="expression" dxfId="665" priority="3">
      <formula>AND(W$9&gt;=8/24,W$9&lt;14/24)</formula>
    </cfRule>
    <cfRule type="expression" dxfId="664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view="pageBreakPreview" zoomScale="90" zoomScaleNormal="90" zoomScaleSheetLayoutView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O17" sqref="O17"/>
    </sheetView>
  </sheetViews>
  <sheetFormatPr defaultRowHeight="15" x14ac:dyDescent="0.25"/>
  <cols>
    <col min="1" max="1" width="28" style="243" bestFit="1" customWidth="1"/>
    <col min="2" max="2" width="6.7109375" style="243" bestFit="1" customWidth="1"/>
    <col min="3" max="3" width="7.42578125" style="243" customWidth="1"/>
    <col min="4" max="4" width="7" style="243" customWidth="1"/>
    <col min="5" max="9" width="6.42578125" style="243" bestFit="1" customWidth="1"/>
    <col min="10" max="10" width="6.28515625" style="243" bestFit="1" customWidth="1"/>
    <col min="11" max="13" width="6" style="243" bestFit="1" customWidth="1"/>
    <col min="14" max="15" width="6.28515625" style="243" bestFit="1" customWidth="1"/>
    <col min="16" max="18" width="5.7109375" style="243" customWidth="1"/>
    <col min="19" max="19" width="7" style="243" customWidth="1"/>
    <col min="20" max="32" width="6.85546875" style="243" customWidth="1"/>
    <col min="33" max="33" width="14.42578125" style="243" customWidth="1"/>
    <col min="34" max="35" width="8" style="243" customWidth="1"/>
    <col min="36" max="36" width="9.140625" style="1"/>
    <col min="37" max="37" width="9.140625" style="243"/>
    <col min="38" max="41" width="9.140625" style="243" customWidth="1"/>
    <col min="42" max="16384" width="9.140625" style="243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244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45" t="s">
        <v>200</v>
      </c>
      <c r="B4" s="28"/>
      <c r="C4" s="245" t="str">
        <f ca="1">MID(CELL("filename",C7),FIND("]",CELL("filename",C7))+1,600)</f>
        <v>30</v>
      </c>
      <c r="D4" s="324">
        <f ca="1">IFERROR(DATE(2021,5,14)+C4,"")</f>
        <v>44360</v>
      </c>
      <c r="E4" s="324"/>
      <c r="F4" s="324"/>
      <c r="G4" s="324"/>
      <c r="H4" s="324"/>
      <c r="I4" s="324"/>
      <c r="J4" s="29"/>
      <c r="K4" s="243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45"/>
      <c r="B5" s="32">
        <f>B59</f>
        <v>125</v>
      </c>
      <c r="C5" s="32">
        <f t="shared" ref="C5:AF5" si="0">C59</f>
        <v>124.5</v>
      </c>
      <c r="D5" s="32">
        <f t="shared" si="0"/>
        <v>116.58</v>
      </c>
      <c r="E5" s="32">
        <f t="shared" si="0"/>
        <v>132.80000000000001</v>
      </c>
      <c r="F5" s="32">
        <f t="shared" si="0"/>
        <v>114</v>
      </c>
      <c r="G5" s="32">
        <f t="shared" si="0"/>
        <v>101</v>
      </c>
      <c r="H5" s="32">
        <f t="shared" si="0"/>
        <v>97.5</v>
      </c>
      <c r="I5" s="32">
        <f t="shared" si="0"/>
        <v>108.7</v>
      </c>
      <c r="J5" s="32">
        <f t="shared" si="0"/>
        <v>127.5</v>
      </c>
      <c r="K5" s="32">
        <f t="shared" si="0"/>
        <v>117.7</v>
      </c>
      <c r="L5" s="32">
        <f t="shared" si="0"/>
        <v>149</v>
      </c>
      <c r="M5" s="32">
        <f t="shared" si="0"/>
        <v>154.9</v>
      </c>
      <c r="N5" s="32">
        <f t="shared" si="0"/>
        <v>191</v>
      </c>
      <c r="O5" s="32">
        <f t="shared" si="0"/>
        <v>178</v>
      </c>
      <c r="P5" s="32">
        <f t="shared" si="0"/>
        <v>158</v>
      </c>
      <c r="Q5" s="32">
        <f t="shared" si="0"/>
        <v>178</v>
      </c>
      <c r="R5" s="32">
        <f t="shared" si="0"/>
        <v>177.1</v>
      </c>
      <c r="S5" s="32">
        <f t="shared" si="0"/>
        <v>228.9</v>
      </c>
      <c r="T5" s="32">
        <f t="shared" si="0"/>
        <v>173</v>
      </c>
      <c r="U5" s="32">
        <f t="shared" si="0"/>
        <v>125</v>
      </c>
      <c r="V5" s="32">
        <f t="shared" si="0"/>
        <v>152</v>
      </c>
      <c r="W5" s="32">
        <f t="shared" si="0"/>
        <v>143</v>
      </c>
      <c r="X5" s="32">
        <f t="shared" si="0"/>
        <v>186</v>
      </c>
      <c r="Y5" s="32">
        <f t="shared" si="0"/>
        <v>210</v>
      </c>
      <c r="Z5" s="32">
        <f t="shared" si="0"/>
        <v>291</v>
      </c>
      <c r="AA5" s="32">
        <f t="shared" si="0"/>
        <v>308</v>
      </c>
      <c r="AB5" s="32">
        <f t="shared" si="0"/>
        <v>280.3</v>
      </c>
      <c r="AC5" s="32">
        <f t="shared" si="0"/>
        <v>273.60000000000002</v>
      </c>
      <c r="AD5" s="32">
        <f t="shared" si="0"/>
        <v>256.8</v>
      </c>
      <c r="AE5" s="32">
        <f t="shared" si="0"/>
        <v>201.2</v>
      </c>
      <c r="AF5" s="32">
        <f t="shared" si="0"/>
        <v>191.9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45"/>
      <c r="B6" s="28"/>
      <c r="C6" s="245"/>
      <c r="D6" s="251"/>
      <c r="E6" s="251"/>
      <c r="F6" s="251"/>
      <c r="G6" s="251"/>
      <c r="H6" s="251"/>
      <c r="I6" s="251"/>
      <c r="J6" s="29"/>
      <c r="K6" s="243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1080MW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Load=939</v>
      </c>
      <c r="B7" s="36">
        <f t="shared" ref="B7:AF7" si="1">B65</f>
        <v>1050.7400000000002</v>
      </c>
      <c r="C7" s="36">
        <f t="shared" si="1"/>
        <v>1024.54</v>
      </c>
      <c r="D7" s="36">
        <f t="shared" si="1"/>
        <v>1012.5200000000001</v>
      </c>
      <c r="E7" s="36">
        <f t="shared" si="1"/>
        <v>983.84000000000015</v>
      </c>
      <c r="F7" s="36">
        <f t="shared" si="1"/>
        <v>947.74</v>
      </c>
      <c r="G7" s="36">
        <f t="shared" si="1"/>
        <v>941.74</v>
      </c>
      <c r="H7" s="36">
        <f t="shared" si="1"/>
        <v>939.04000000000019</v>
      </c>
      <c r="I7" s="36">
        <f t="shared" si="1"/>
        <v>966.54000000000019</v>
      </c>
      <c r="J7" s="36">
        <f t="shared" si="1"/>
        <v>978.44</v>
      </c>
      <c r="K7" s="36">
        <f t="shared" si="1"/>
        <v>981.6400000000001</v>
      </c>
      <c r="L7" s="36">
        <f>L65</f>
        <v>1064.24</v>
      </c>
      <c r="M7" s="36">
        <f t="shared" si="1"/>
        <v>1079.54</v>
      </c>
      <c r="N7" s="36">
        <f t="shared" si="1"/>
        <v>1087.24</v>
      </c>
      <c r="O7" s="36">
        <f t="shared" si="1"/>
        <v>1084.8400000000001</v>
      </c>
      <c r="P7" s="36">
        <f t="shared" si="1"/>
        <v>1065.3400000000001</v>
      </c>
      <c r="Q7" s="36">
        <f t="shared" si="1"/>
        <v>1107.3400000000001</v>
      </c>
      <c r="R7" s="36">
        <f t="shared" si="1"/>
        <v>1097.24</v>
      </c>
      <c r="S7" s="36">
        <f t="shared" si="1"/>
        <v>1092.44</v>
      </c>
      <c r="T7" s="36">
        <f t="shared" si="1"/>
        <v>1052.54</v>
      </c>
      <c r="U7" s="36">
        <f t="shared" si="1"/>
        <v>1021.1400000000001</v>
      </c>
      <c r="V7" s="36">
        <f t="shared" si="1"/>
        <v>1022.24</v>
      </c>
      <c r="W7" s="36">
        <f t="shared" si="1"/>
        <v>1029.8400000000001</v>
      </c>
      <c r="X7" s="36">
        <f t="shared" si="1"/>
        <v>1103.1400000000001</v>
      </c>
      <c r="Y7" s="36">
        <f t="shared" si="1"/>
        <v>1139.8400000000001</v>
      </c>
      <c r="Z7" s="36">
        <f t="shared" si="1"/>
        <v>1230.24</v>
      </c>
      <c r="AA7" s="36">
        <f t="shared" si="1"/>
        <v>1251.74</v>
      </c>
      <c r="AB7" s="36">
        <f t="shared" si="1"/>
        <v>1217.3400000000001</v>
      </c>
      <c r="AC7" s="36">
        <f t="shared" si="1"/>
        <v>1207.5400000000002</v>
      </c>
      <c r="AD7" s="36">
        <f t="shared" si="1"/>
        <v>1187.0400000000002</v>
      </c>
      <c r="AE7" s="36">
        <f t="shared" si="1"/>
        <v>1103.8400000000001</v>
      </c>
      <c r="AF7" s="36">
        <f t="shared" si="1"/>
        <v>1087.7400000000002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2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x14ac:dyDescent="0.25">
      <c r="A11" s="47" t="s">
        <v>18</v>
      </c>
      <c r="B11" s="48">
        <v>47</v>
      </c>
      <c r="C11" s="48">
        <v>47</v>
      </c>
      <c r="D11" s="48">
        <v>46.8</v>
      </c>
      <c r="E11" s="48">
        <v>49.4</v>
      </c>
      <c r="F11" s="48">
        <v>50.8</v>
      </c>
      <c r="G11" s="48">
        <v>53</v>
      </c>
      <c r="H11" s="48">
        <v>56.7</v>
      </c>
      <c r="I11" s="48">
        <v>59.4</v>
      </c>
      <c r="J11" s="48">
        <v>58.5</v>
      </c>
      <c r="K11" s="48">
        <v>58.3</v>
      </c>
      <c r="L11" s="48">
        <v>60</v>
      </c>
      <c r="M11" s="252">
        <v>60</v>
      </c>
      <c r="N11" s="252">
        <v>59.3</v>
      </c>
      <c r="O11" s="252">
        <v>59.3</v>
      </c>
      <c r="P11" s="252">
        <v>59.3</v>
      </c>
      <c r="Q11" s="252">
        <v>59.3</v>
      </c>
      <c r="R11" s="252">
        <v>59.3</v>
      </c>
      <c r="S11" s="252">
        <v>59.3</v>
      </c>
      <c r="T11" s="252">
        <v>55</v>
      </c>
      <c r="U11" s="252">
        <v>51</v>
      </c>
      <c r="V11" s="252">
        <v>52.2</v>
      </c>
      <c r="W11" s="252">
        <v>52.2</v>
      </c>
      <c r="X11" s="252">
        <v>52.2</v>
      </c>
      <c r="Y11" s="252">
        <v>52.2</v>
      </c>
      <c r="Z11" s="252">
        <v>53.2</v>
      </c>
      <c r="AA11" s="270">
        <v>53.3</v>
      </c>
      <c r="AB11" s="48">
        <v>52.3</v>
      </c>
      <c r="AC11" s="48">
        <v>50.5</v>
      </c>
      <c r="AD11" s="48">
        <v>49</v>
      </c>
      <c r="AE11" s="48">
        <v>47.5</v>
      </c>
      <c r="AF11" s="48">
        <v>45.7</v>
      </c>
      <c r="AG11" s="51">
        <v>60</v>
      </c>
      <c r="AH11" s="52">
        <f>MAX(B11:AF11)</f>
        <v>60</v>
      </c>
      <c r="AI11" s="53">
        <f>MIN(B11:AF11)</f>
        <v>45.7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5.75" x14ac:dyDescent="0.25">
      <c r="A12" s="55" t="s">
        <v>19</v>
      </c>
      <c r="B12" s="258">
        <v>50.5</v>
      </c>
      <c r="C12" s="258">
        <v>50.5</v>
      </c>
      <c r="D12" s="258">
        <v>50.3</v>
      </c>
      <c r="E12" s="258">
        <v>50.5</v>
      </c>
      <c r="F12" s="258">
        <v>50.1</v>
      </c>
      <c r="G12" s="258">
        <v>50.1</v>
      </c>
      <c r="H12" s="258">
        <v>50.2</v>
      </c>
      <c r="I12" s="258">
        <v>50.4</v>
      </c>
      <c r="J12" s="258">
        <v>50.5</v>
      </c>
      <c r="K12" s="258">
        <v>50.2</v>
      </c>
      <c r="L12" s="258">
        <v>50.2</v>
      </c>
      <c r="M12" s="252">
        <v>50.3</v>
      </c>
      <c r="N12" s="252">
        <v>50.3</v>
      </c>
      <c r="O12" s="252">
        <v>50.3</v>
      </c>
      <c r="P12" s="252">
        <v>50.3</v>
      </c>
      <c r="Q12" s="252">
        <v>50.3</v>
      </c>
      <c r="R12" s="252">
        <v>50.6</v>
      </c>
      <c r="S12" s="252">
        <v>50.6</v>
      </c>
      <c r="T12" s="252">
        <v>50.6</v>
      </c>
      <c r="U12" s="252">
        <v>50.6</v>
      </c>
      <c r="V12" s="252">
        <v>50.6</v>
      </c>
      <c r="W12" s="252">
        <v>50.6</v>
      </c>
      <c r="X12" s="252">
        <v>50.6</v>
      </c>
      <c r="Y12" s="252">
        <v>50.6</v>
      </c>
      <c r="Z12" s="252">
        <v>50.1</v>
      </c>
      <c r="AA12" s="270">
        <v>50.1</v>
      </c>
      <c r="AB12" s="258">
        <v>50.2</v>
      </c>
      <c r="AC12" s="258">
        <v>50.2</v>
      </c>
      <c r="AD12" s="258">
        <v>50.7</v>
      </c>
      <c r="AE12" s="258">
        <v>50.7</v>
      </c>
      <c r="AF12" s="258">
        <v>50.6</v>
      </c>
      <c r="AG12" s="57">
        <v>50</v>
      </c>
      <c r="AH12" s="52">
        <f t="shared" ref="AH12:AH77" si="2">MAX(B12:AF12)</f>
        <v>50.7</v>
      </c>
      <c r="AI12" s="53">
        <f t="shared" ref="AI12:AI77" si="3">MIN(B12:AF12)</f>
        <v>50.1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258">
        <v>45.2</v>
      </c>
      <c r="C13" s="258">
        <v>45.2</v>
      </c>
      <c r="D13" s="258">
        <v>45.6</v>
      </c>
      <c r="E13" s="258">
        <v>45.8</v>
      </c>
      <c r="F13" s="258">
        <v>45.7</v>
      </c>
      <c r="G13" s="258">
        <v>45.5</v>
      </c>
      <c r="H13" s="258">
        <v>45.8</v>
      </c>
      <c r="I13" s="258">
        <v>45</v>
      </c>
      <c r="J13" s="258">
        <v>46.2</v>
      </c>
      <c r="K13" s="258">
        <v>46.8</v>
      </c>
      <c r="L13" s="258">
        <v>46.8</v>
      </c>
      <c r="M13" s="252">
        <v>45.7</v>
      </c>
      <c r="N13" s="252">
        <v>45.4</v>
      </c>
      <c r="O13" s="252">
        <v>45.4</v>
      </c>
      <c r="P13" s="252">
        <v>45.4</v>
      </c>
      <c r="Q13" s="252">
        <v>45.4</v>
      </c>
      <c r="R13" s="252">
        <v>45.6</v>
      </c>
      <c r="S13" s="252">
        <v>45.6</v>
      </c>
      <c r="T13" s="252">
        <v>45.6</v>
      </c>
      <c r="U13" s="252">
        <v>46</v>
      </c>
      <c r="V13" s="252">
        <v>45.1</v>
      </c>
      <c r="W13" s="252">
        <v>45.1</v>
      </c>
      <c r="X13" s="252">
        <v>45.1</v>
      </c>
      <c r="Y13" s="252">
        <v>45.1</v>
      </c>
      <c r="Z13" s="252">
        <v>45.7</v>
      </c>
      <c r="AA13" s="270">
        <v>45.3</v>
      </c>
      <c r="AB13" s="258">
        <v>45.7</v>
      </c>
      <c r="AC13" s="258">
        <v>44.9</v>
      </c>
      <c r="AD13" s="258">
        <v>46.3</v>
      </c>
      <c r="AE13" s="258">
        <v>45.8</v>
      </c>
      <c r="AF13" s="258">
        <v>45.1</v>
      </c>
      <c r="AG13" s="59">
        <v>45</v>
      </c>
      <c r="AH13" s="52">
        <f t="shared" si="2"/>
        <v>46.8</v>
      </c>
      <c r="AI13" s="53">
        <f t="shared" si="3"/>
        <v>44.9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5.75" x14ac:dyDescent="0.25">
      <c r="A14" s="58" t="s">
        <v>21</v>
      </c>
      <c r="B14" s="258">
        <v>25</v>
      </c>
      <c r="C14" s="258">
        <v>25</v>
      </c>
      <c r="D14" s="258">
        <v>25</v>
      </c>
      <c r="E14" s="258">
        <v>25</v>
      </c>
      <c r="F14" s="258">
        <v>25</v>
      </c>
      <c r="G14" s="258">
        <v>25</v>
      </c>
      <c r="H14" s="258">
        <v>25</v>
      </c>
      <c r="I14" s="258">
        <v>25</v>
      </c>
      <c r="J14" s="258">
        <v>25</v>
      </c>
      <c r="K14" s="258">
        <v>25</v>
      </c>
      <c r="L14" s="258">
        <v>25</v>
      </c>
      <c r="M14" s="252">
        <v>25</v>
      </c>
      <c r="N14" s="252">
        <v>25</v>
      </c>
      <c r="O14" s="252">
        <v>25</v>
      </c>
      <c r="P14" s="252">
        <v>25</v>
      </c>
      <c r="Q14" s="252">
        <v>25</v>
      </c>
      <c r="R14" s="252">
        <v>25</v>
      </c>
      <c r="S14" s="252">
        <v>25</v>
      </c>
      <c r="T14" s="252">
        <v>25</v>
      </c>
      <c r="U14" s="252">
        <v>25</v>
      </c>
      <c r="V14" s="252">
        <v>25</v>
      </c>
      <c r="W14" s="252">
        <v>25</v>
      </c>
      <c r="X14" s="252">
        <v>25</v>
      </c>
      <c r="Y14" s="252">
        <v>25</v>
      </c>
      <c r="Z14" s="252">
        <v>25</v>
      </c>
      <c r="AA14" s="272">
        <v>25</v>
      </c>
      <c r="AB14" s="258">
        <v>25</v>
      </c>
      <c r="AC14" s="258">
        <v>25</v>
      </c>
      <c r="AD14" s="258">
        <v>25</v>
      </c>
      <c r="AE14" s="258">
        <v>25</v>
      </c>
      <c r="AF14" s="258">
        <v>25</v>
      </c>
      <c r="AG14" s="59">
        <v>25</v>
      </c>
      <c r="AH14" s="52">
        <f t="shared" si="2"/>
        <v>25</v>
      </c>
      <c r="AI14" s="53">
        <f t="shared" si="3"/>
        <v>25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5.75" x14ac:dyDescent="0.25">
      <c r="A15" s="58" t="s">
        <v>22</v>
      </c>
      <c r="B15" s="258">
        <v>25.1</v>
      </c>
      <c r="C15" s="258">
        <v>25.1</v>
      </c>
      <c r="D15" s="258">
        <v>25</v>
      </c>
      <c r="E15" s="258">
        <v>25</v>
      </c>
      <c r="F15" s="258">
        <v>25</v>
      </c>
      <c r="G15" s="258">
        <v>25</v>
      </c>
      <c r="H15" s="258">
        <v>25</v>
      </c>
      <c r="I15" s="258">
        <v>25</v>
      </c>
      <c r="J15" s="258">
        <v>24.9</v>
      </c>
      <c r="K15" s="258">
        <v>25</v>
      </c>
      <c r="L15" s="258">
        <v>25</v>
      </c>
      <c r="M15" s="252">
        <v>0</v>
      </c>
      <c r="N15" s="252">
        <v>0</v>
      </c>
      <c r="O15" s="252">
        <v>0</v>
      </c>
      <c r="P15" s="252">
        <v>0</v>
      </c>
      <c r="Q15" s="252">
        <v>0</v>
      </c>
      <c r="R15" s="252">
        <v>0</v>
      </c>
      <c r="S15" s="252">
        <v>0</v>
      </c>
      <c r="T15" s="252">
        <v>12.4</v>
      </c>
      <c r="U15" s="252">
        <v>12.4</v>
      </c>
      <c r="V15" s="252">
        <v>12.3</v>
      </c>
      <c r="W15" s="252">
        <v>12.3</v>
      </c>
      <c r="X15" s="252">
        <v>12.3</v>
      </c>
      <c r="Y15" s="252">
        <v>12.3</v>
      </c>
      <c r="Z15" s="252">
        <v>12.4</v>
      </c>
      <c r="AA15" s="272">
        <v>12.4</v>
      </c>
      <c r="AB15" s="258">
        <v>12.4</v>
      </c>
      <c r="AC15" s="258">
        <v>12.5</v>
      </c>
      <c r="AD15" s="258">
        <v>12.5</v>
      </c>
      <c r="AE15" s="258">
        <v>24.9</v>
      </c>
      <c r="AF15" s="258">
        <v>24.9</v>
      </c>
      <c r="AG15" s="59">
        <v>25</v>
      </c>
      <c r="AH15" s="52">
        <f t="shared" si="2"/>
        <v>25.1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5.75" x14ac:dyDescent="0.25">
      <c r="A16" s="58" t="s">
        <v>23</v>
      </c>
      <c r="B16" s="258">
        <v>6.3</v>
      </c>
      <c r="C16" s="258">
        <v>6.3</v>
      </c>
      <c r="D16" s="258">
        <v>6.3</v>
      </c>
      <c r="E16" s="258">
        <v>6.3</v>
      </c>
      <c r="F16" s="258">
        <v>6.3</v>
      </c>
      <c r="G16" s="258">
        <v>6.3</v>
      </c>
      <c r="H16" s="258">
        <v>6.3</v>
      </c>
      <c r="I16" s="258">
        <v>6.3</v>
      </c>
      <c r="J16" s="258">
        <v>6.3</v>
      </c>
      <c r="K16" s="258">
        <v>6.3</v>
      </c>
      <c r="L16" s="258">
        <v>6.3</v>
      </c>
      <c r="M16" s="252">
        <v>6.3</v>
      </c>
      <c r="N16" s="252">
        <v>6.5</v>
      </c>
      <c r="O16" s="252">
        <v>6.5</v>
      </c>
      <c r="P16" s="252">
        <v>6.5</v>
      </c>
      <c r="Q16" s="252">
        <v>6.5</v>
      </c>
      <c r="R16" s="252">
        <v>6.5</v>
      </c>
      <c r="S16" s="252">
        <v>6.5</v>
      </c>
      <c r="T16" s="252">
        <v>6.5</v>
      </c>
      <c r="U16" s="252">
        <v>6.5</v>
      </c>
      <c r="V16" s="252">
        <v>6.5</v>
      </c>
      <c r="W16" s="252">
        <v>6.5</v>
      </c>
      <c r="X16" s="252">
        <v>6.5</v>
      </c>
      <c r="Y16" s="252">
        <v>6.5</v>
      </c>
      <c r="Z16" s="252">
        <v>6.5</v>
      </c>
      <c r="AA16" s="272">
        <v>6.3</v>
      </c>
      <c r="AB16" s="252">
        <v>6.3</v>
      </c>
      <c r="AC16" s="252">
        <v>6.3</v>
      </c>
      <c r="AD16" s="252">
        <v>6.3</v>
      </c>
      <c r="AE16" s="252">
        <v>6.3</v>
      </c>
      <c r="AF16" s="252">
        <v>6.3</v>
      </c>
      <c r="AG16" s="59">
        <v>23.5</v>
      </c>
      <c r="AH16" s="52">
        <f t="shared" si="2"/>
        <v>6.5</v>
      </c>
      <c r="AI16" s="53">
        <f t="shared" si="3"/>
        <v>6.3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258">
        <v>22.1</v>
      </c>
      <c r="C17" s="258">
        <v>22.1</v>
      </c>
      <c r="D17" s="258">
        <v>22.1</v>
      </c>
      <c r="E17" s="258">
        <v>22.1</v>
      </c>
      <c r="F17" s="258">
        <v>22.1</v>
      </c>
      <c r="G17" s="258">
        <v>22.1</v>
      </c>
      <c r="H17" s="258">
        <v>22.7</v>
      </c>
      <c r="I17" s="258">
        <v>22.6</v>
      </c>
      <c r="J17" s="258">
        <v>22.5</v>
      </c>
      <c r="K17" s="258">
        <v>22.7</v>
      </c>
      <c r="L17" s="258">
        <v>22.7</v>
      </c>
      <c r="M17" s="252">
        <v>22</v>
      </c>
      <c r="N17" s="252">
        <v>22</v>
      </c>
      <c r="O17" s="252">
        <v>22</v>
      </c>
      <c r="P17" s="252">
        <v>22</v>
      </c>
      <c r="Q17" s="252">
        <v>22</v>
      </c>
      <c r="R17" s="252">
        <v>22.8</v>
      </c>
      <c r="S17" s="252">
        <v>22.8</v>
      </c>
      <c r="T17" s="252">
        <v>22.8</v>
      </c>
      <c r="U17" s="252">
        <v>22.8</v>
      </c>
      <c r="V17" s="252">
        <v>22.7</v>
      </c>
      <c r="W17" s="252">
        <v>22.7</v>
      </c>
      <c r="X17" s="252">
        <v>22.7</v>
      </c>
      <c r="Y17" s="252">
        <v>22.7</v>
      </c>
      <c r="Z17" s="252">
        <v>22.7</v>
      </c>
      <c r="AA17" s="272">
        <v>22.7</v>
      </c>
      <c r="AB17" s="252">
        <v>22.9</v>
      </c>
      <c r="AC17" s="252">
        <v>22.9</v>
      </c>
      <c r="AD17" s="252">
        <v>22.9</v>
      </c>
      <c r="AE17" s="252">
        <v>23.1</v>
      </c>
      <c r="AF17" s="252">
        <v>23.1</v>
      </c>
      <c r="AG17" s="59">
        <v>22.1</v>
      </c>
      <c r="AH17" s="52">
        <f t="shared" si="2"/>
        <v>23.1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5.75" x14ac:dyDescent="0.25">
      <c r="A18" s="58" t="s">
        <v>25</v>
      </c>
      <c r="B18" s="258">
        <v>12</v>
      </c>
      <c r="C18" s="258">
        <v>12</v>
      </c>
      <c r="D18" s="258">
        <v>12</v>
      </c>
      <c r="E18" s="258">
        <v>12</v>
      </c>
      <c r="F18" s="258">
        <v>12</v>
      </c>
      <c r="G18" s="258">
        <v>12</v>
      </c>
      <c r="H18" s="258">
        <v>12</v>
      </c>
      <c r="I18" s="258">
        <v>12</v>
      </c>
      <c r="J18" s="258">
        <v>12</v>
      </c>
      <c r="K18" s="258">
        <v>12</v>
      </c>
      <c r="L18" s="258">
        <v>12</v>
      </c>
      <c r="M18" s="252">
        <v>12</v>
      </c>
      <c r="N18" s="252">
        <v>12</v>
      </c>
      <c r="O18" s="252">
        <v>12</v>
      </c>
      <c r="P18" s="252">
        <v>12</v>
      </c>
      <c r="Q18" s="252">
        <v>12</v>
      </c>
      <c r="R18" s="252">
        <v>12</v>
      </c>
      <c r="S18" s="252">
        <v>12</v>
      </c>
      <c r="T18" s="252">
        <v>12</v>
      </c>
      <c r="U18" s="252">
        <v>12</v>
      </c>
      <c r="V18" s="252">
        <v>12</v>
      </c>
      <c r="W18" s="252">
        <v>12</v>
      </c>
      <c r="X18" s="252">
        <v>12</v>
      </c>
      <c r="Y18" s="252">
        <v>12</v>
      </c>
      <c r="Z18" s="252">
        <v>12</v>
      </c>
      <c r="AA18" s="272">
        <v>8</v>
      </c>
      <c r="AB18" s="252">
        <v>8</v>
      </c>
      <c r="AC18" s="252">
        <v>8</v>
      </c>
      <c r="AD18" s="252">
        <v>8</v>
      </c>
      <c r="AE18" s="252">
        <v>8</v>
      </c>
      <c r="AF18" s="252">
        <v>8</v>
      </c>
      <c r="AG18" s="59">
        <v>22.1</v>
      </c>
      <c r="AH18" s="52">
        <f t="shared" si="2"/>
        <v>12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5.75" x14ac:dyDescent="0.25">
      <c r="A19" s="58" t="s">
        <v>26</v>
      </c>
      <c r="B19" s="258">
        <v>21.8</v>
      </c>
      <c r="C19" s="258">
        <v>21.8</v>
      </c>
      <c r="D19" s="258">
        <v>18.899999999999999</v>
      </c>
      <c r="E19" s="258">
        <v>20.7</v>
      </c>
      <c r="F19" s="258">
        <v>21.1</v>
      </c>
      <c r="G19" s="258">
        <v>20.2</v>
      </c>
      <c r="H19" s="258">
        <v>23.8</v>
      </c>
      <c r="I19" s="258">
        <v>24.4</v>
      </c>
      <c r="J19" s="258">
        <v>24.3</v>
      </c>
      <c r="K19" s="258">
        <v>24.3</v>
      </c>
      <c r="L19" s="258">
        <v>24.3</v>
      </c>
      <c r="M19" s="252">
        <v>24.2</v>
      </c>
      <c r="N19" s="252">
        <v>24</v>
      </c>
      <c r="O19" s="252">
        <v>24</v>
      </c>
      <c r="P19" s="252">
        <v>24</v>
      </c>
      <c r="Q19" s="252">
        <v>24</v>
      </c>
      <c r="R19" s="252">
        <v>24</v>
      </c>
      <c r="S19" s="252">
        <v>23.8</v>
      </c>
      <c r="T19" s="252">
        <v>23.8</v>
      </c>
      <c r="U19" s="252">
        <v>23.8</v>
      </c>
      <c r="V19" s="252">
        <v>23.8</v>
      </c>
      <c r="W19" s="252">
        <v>23.8</v>
      </c>
      <c r="X19" s="252">
        <v>23.8</v>
      </c>
      <c r="Y19" s="252">
        <v>22.8</v>
      </c>
      <c r="Z19" s="252">
        <v>22.6</v>
      </c>
      <c r="AA19" s="272">
        <v>22</v>
      </c>
      <c r="AB19" s="252">
        <v>23.9</v>
      </c>
      <c r="AC19" s="252">
        <v>24</v>
      </c>
      <c r="AD19" s="252">
        <v>24.2</v>
      </c>
      <c r="AE19" s="252">
        <v>25</v>
      </c>
      <c r="AF19" s="252">
        <v>25</v>
      </c>
      <c r="AG19" s="59">
        <v>22</v>
      </c>
      <c r="AH19" s="52">
        <f t="shared" si="2"/>
        <v>25</v>
      </c>
      <c r="AI19" s="53">
        <f t="shared" si="3"/>
        <v>18.899999999999999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5.75" x14ac:dyDescent="0.25">
      <c r="A20" s="58" t="s">
        <v>27</v>
      </c>
      <c r="B20" s="258">
        <v>21</v>
      </c>
      <c r="C20" s="258">
        <v>21</v>
      </c>
      <c r="D20" s="258">
        <v>21</v>
      </c>
      <c r="E20" s="258">
        <v>21</v>
      </c>
      <c r="F20" s="258">
        <v>21</v>
      </c>
      <c r="G20" s="258">
        <v>21</v>
      </c>
      <c r="H20" s="258">
        <v>21</v>
      </c>
      <c r="I20" s="258">
        <v>21</v>
      </c>
      <c r="J20" s="258">
        <v>21</v>
      </c>
      <c r="K20" s="258">
        <v>21</v>
      </c>
      <c r="L20" s="258">
        <v>21</v>
      </c>
      <c r="M20" s="252">
        <v>21</v>
      </c>
      <c r="N20" s="252">
        <v>21</v>
      </c>
      <c r="O20" s="252">
        <v>21</v>
      </c>
      <c r="P20" s="252">
        <v>21</v>
      </c>
      <c r="Q20" s="252">
        <v>21</v>
      </c>
      <c r="R20" s="252">
        <v>21</v>
      </c>
      <c r="S20" s="252">
        <v>21</v>
      </c>
      <c r="T20" s="252">
        <v>21</v>
      </c>
      <c r="U20" s="252">
        <v>21</v>
      </c>
      <c r="V20" s="252">
        <v>21</v>
      </c>
      <c r="W20" s="252">
        <v>21</v>
      </c>
      <c r="X20" s="252">
        <v>21</v>
      </c>
      <c r="Y20" s="252">
        <v>21</v>
      </c>
      <c r="Z20" s="252">
        <v>21</v>
      </c>
      <c r="AA20" s="272">
        <v>21</v>
      </c>
      <c r="AB20" s="290">
        <v>21</v>
      </c>
      <c r="AC20" s="290">
        <v>21</v>
      </c>
      <c r="AD20" s="290">
        <v>21</v>
      </c>
      <c r="AE20" s="290">
        <v>21</v>
      </c>
      <c r="AF20" s="290">
        <v>21</v>
      </c>
      <c r="AG20" s="59">
        <v>22</v>
      </c>
      <c r="AH20" s="52">
        <f t="shared" si="2"/>
        <v>21</v>
      </c>
      <c r="AI20" s="53">
        <f t="shared" si="3"/>
        <v>21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258">
        <v>4.5999999999999996</v>
      </c>
      <c r="C21" s="258">
        <v>4.5999999999999996</v>
      </c>
      <c r="D21" s="258">
        <v>4.5999999999999996</v>
      </c>
      <c r="E21" s="258">
        <v>4.5999999999999996</v>
      </c>
      <c r="F21" s="258">
        <v>4.5999999999999996</v>
      </c>
      <c r="G21" s="258">
        <v>4.5999999999999996</v>
      </c>
      <c r="H21" s="258">
        <v>4.5999999999999996</v>
      </c>
      <c r="I21" s="258">
        <v>4.5999999999999996</v>
      </c>
      <c r="J21" s="258">
        <v>4.5999999999999996</v>
      </c>
      <c r="K21" s="258">
        <v>4.5999999999999996</v>
      </c>
      <c r="L21" s="258">
        <v>4.5999999999999996</v>
      </c>
      <c r="M21" s="258">
        <v>4.5999999999999996</v>
      </c>
      <c r="N21" s="258">
        <v>4.5999999999999996</v>
      </c>
      <c r="O21" s="258">
        <v>4.5999999999999996</v>
      </c>
      <c r="P21" s="258">
        <v>4.5999999999999996</v>
      </c>
      <c r="Q21" s="258">
        <v>4.5999999999999996</v>
      </c>
      <c r="R21" s="258">
        <v>4.5999999999999996</v>
      </c>
      <c r="S21" s="258">
        <v>4.5999999999999996</v>
      </c>
      <c r="T21" s="258">
        <v>4.5999999999999996</v>
      </c>
      <c r="U21" s="258">
        <v>4.5999999999999996</v>
      </c>
      <c r="V21" s="258">
        <v>4.5999999999999996</v>
      </c>
      <c r="W21" s="258">
        <v>4.5999999999999996</v>
      </c>
      <c r="X21" s="258">
        <v>4.5999999999999996</v>
      </c>
      <c r="Y21" s="258">
        <v>4.5999999999999996</v>
      </c>
      <c r="Z21" s="258">
        <v>4.5999999999999996</v>
      </c>
      <c r="AA21" s="300">
        <v>4.5999999999999996</v>
      </c>
      <c r="AB21" s="300">
        <v>4.5999999999999996</v>
      </c>
      <c r="AC21" s="300">
        <v>4.5999999999999996</v>
      </c>
      <c r="AD21" s="300">
        <v>4.5999999999999996</v>
      </c>
      <c r="AE21" s="300">
        <v>4.5999999999999996</v>
      </c>
      <c r="AF21" s="300">
        <v>4.5999999999999996</v>
      </c>
      <c r="AG21" s="59">
        <v>14.9</v>
      </c>
      <c r="AH21" s="52">
        <f t="shared" si="2"/>
        <v>4.5999999999999996</v>
      </c>
      <c r="AI21" s="53">
        <f t="shared" si="3"/>
        <v>4.5999999999999996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5.75" x14ac:dyDescent="0.25">
      <c r="A22" s="58" t="s">
        <v>29</v>
      </c>
      <c r="B22" s="258">
        <v>10</v>
      </c>
      <c r="C22" s="258">
        <v>10</v>
      </c>
      <c r="D22" s="258">
        <v>10</v>
      </c>
      <c r="E22" s="258">
        <v>10</v>
      </c>
      <c r="F22" s="258">
        <v>10</v>
      </c>
      <c r="G22" s="258">
        <v>10</v>
      </c>
      <c r="H22" s="258">
        <v>10</v>
      </c>
      <c r="I22" s="258">
        <v>10</v>
      </c>
      <c r="J22" s="258">
        <v>10</v>
      </c>
      <c r="K22" s="258">
        <v>10</v>
      </c>
      <c r="L22" s="258">
        <v>10</v>
      </c>
      <c r="M22" s="258">
        <v>10</v>
      </c>
      <c r="N22" s="258">
        <v>10</v>
      </c>
      <c r="O22" s="258">
        <v>10</v>
      </c>
      <c r="P22" s="258">
        <v>10</v>
      </c>
      <c r="Q22" s="258">
        <v>10</v>
      </c>
      <c r="R22" s="258">
        <v>10</v>
      </c>
      <c r="S22" s="258">
        <v>10</v>
      </c>
      <c r="T22" s="258">
        <v>10</v>
      </c>
      <c r="U22" s="258">
        <v>10</v>
      </c>
      <c r="V22" s="258">
        <v>10</v>
      </c>
      <c r="W22" s="258">
        <v>10</v>
      </c>
      <c r="X22" s="258">
        <v>10</v>
      </c>
      <c r="Y22" s="258">
        <v>10</v>
      </c>
      <c r="Z22" s="258">
        <v>10</v>
      </c>
      <c r="AA22" s="272">
        <v>10</v>
      </c>
      <c r="AB22" s="290">
        <v>10</v>
      </c>
      <c r="AC22" s="290">
        <v>10</v>
      </c>
      <c r="AD22" s="290">
        <v>10</v>
      </c>
      <c r="AE22" s="290">
        <v>0</v>
      </c>
      <c r="AF22" s="290">
        <v>0</v>
      </c>
      <c r="AG22" s="59">
        <v>13.6</v>
      </c>
      <c r="AH22" s="52">
        <f t="shared" si="2"/>
        <v>10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5.75" x14ac:dyDescent="0.25">
      <c r="A23" s="58" t="s">
        <v>30</v>
      </c>
      <c r="B23" s="258">
        <v>10.6</v>
      </c>
      <c r="C23" s="258">
        <v>10.6</v>
      </c>
      <c r="D23" s="258">
        <v>10.6</v>
      </c>
      <c r="E23" s="258">
        <v>10.6</v>
      </c>
      <c r="F23" s="258">
        <v>10.6</v>
      </c>
      <c r="G23" s="258">
        <v>10.6</v>
      </c>
      <c r="H23" s="258">
        <v>10.6</v>
      </c>
      <c r="I23" s="258">
        <v>10.6</v>
      </c>
      <c r="J23" s="258">
        <v>10.6</v>
      </c>
      <c r="K23" s="258">
        <v>10.6</v>
      </c>
      <c r="L23" s="258">
        <v>10.6</v>
      </c>
      <c r="M23" s="258">
        <v>10.6</v>
      </c>
      <c r="N23" s="258">
        <v>10.6</v>
      </c>
      <c r="O23" s="258">
        <v>10.6</v>
      </c>
      <c r="P23" s="258">
        <v>10.6</v>
      </c>
      <c r="Q23" s="258">
        <v>10.6</v>
      </c>
      <c r="R23" s="258">
        <v>10.6</v>
      </c>
      <c r="S23" s="258">
        <v>10.6</v>
      </c>
      <c r="T23" s="258">
        <v>10.6</v>
      </c>
      <c r="U23" s="258">
        <v>10.6</v>
      </c>
      <c r="V23" s="258">
        <v>10.6</v>
      </c>
      <c r="W23" s="258">
        <v>10.6</v>
      </c>
      <c r="X23" s="258">
        <v>10.6</v>
      </c>
      <c r="Y23" s="258">
        <v>10.6</v>
      </c>
      <c r="Z23" s="258">
        <v>10.6</v>
      </c>
      <c r="AA23" s="272">
        <v>10.6</v>
      </c>
      <c r="AB23" s="290">
        <v>10.6</v>
      </c>
      <c r="AC23" s="290">
        <v>10.6</v>
      </c>
      <c r="AD23" s="290">
        <v>10.6</v>
      </c>
      <c r="AE23" s="290">
        <v>10.6</v>
      </c>
      <c r="AF23" s="290">
        <v>10.6</v>
      </c>
      <c r="AG23" s="59">
        <v>13</v>
      </c>
      <c r="AH23" s="52">
        <f t="shared" si="2"/>
        <v>10.6</v>
      </c>
      <c r="AI23" s="53">
        <f t="shared" si="3"/>
        <v>10.6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ht="15.75" x14ac:dyDescent="0.25">
      <c r="A24" s="58" t="s">
        <v>31</v>
      </c>
      <c r="B24" s="258">
        <v>11.7</v>
      </c>
      <c r="C24" s="258">
        <v>11.7</v>
      </c>
      <c r="D24" s="258">
        <v>11.7</v>
      </c>
      <c r="E24" s="258">
        <v>11.7</v>
      </c>
      <c r="F24" s="258">
        <v>11.7</v>
      </c>
      <c r="G24" s="258">
        <v>11.7</v>
      </c>
      <c r="H24" s="258">
        <v>11.7</v>
      </c>
      <c r="I24" s="258">
        <v>11.7</v>
      </c>
      <c r="J24" s="258">
        <v>11.7</v>
      </c>
      <c r="K24" s="258">
        <v>11.7</v>
      </c>
      <c r="L24" s="258">
        <v>11.7</v>
      </c>
      <c r="M24" s="258">
        <v>11.7</v>
      </c>
      <c r="N24" s="258">
        <v>11.7</v>
      </c>
      <c r="O24" s="258">
        <v>11.7</v>
      </c>
      <c r="P24" s="258">
        <v>11.7</v>
      </c>
      <c r="Q24" s="258">
        <v>11.7</v>
      </c>
      <c r="R24" s="258">
        <v>11.7</v>
      </c>
      <c r="S24" s="258">
        <v>11.7</v>
      </c>
      <c r="T24" s="258">
        <v>10</v>
      </c>
      <c r="U24" s="258">
        <v>9</v>
      </c>
      <c r="V24" s="258">
        <v>0</v>
      </c>
      <c r="W24" s="258">
        <v>0</v>
      </c>
      <c r="X24" s="258">
        <v>0</v>
      </c>
      <c r="Y24" s="258">
        <v>0</v>
      </c>
      <c r="Z24" s="258">
        <v>12</v>
      </c>
      <c r="AA24" s="272">
        <v>12</v>
      </c>
      <c r="AB24" s="290">
        <v>12</v>
      </c>
      <c r="AC24" s="290">
        <v>12</v>
      </c>
      <c r="AD24" s="290">
        <v>12</v>
      </c>
      <c r="AE24" s="290">
        <v>12</v>
      </c>
      <c r="AF24" s="290">
        <v>12</v>
      </c>
      <c r="AG24" s="59">
        <v>12</v>
      </c>
      <c r="AH24" s="52">
        <f t="shared" si="2"/>
        <v>12</v>
      </c>
      <c r="AI24" s="53">
        <f t="shared" si="3"/>
        <v>0</v>
      </c>
      <c r="AJ24" s="1"/>
      <c r="AK24" s="54"/>
      <c r="AL24" s="31"/>
      <c r="AM24" s="243"/>
      <c r="AN24" s="243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5.75" x14ac:dyDescent="0.25">
      <c r="A25" s="58" t="s">
        <v>32</v>
      </c>
      <c r="B25" s="258">
        <v>2.2000000000000002</v>
      </c>
      <c r="C25" s="258">
        <v>2.2000000000000002</v>
      </c>
      <c r="D25" s="258">
        <v>2.2000000000000002</v>
      </c>
      <c r="E25" s="258">
        <v>2.2000000000000002</v>
      </c>
      <c r="F25" s="258">
        <v>2.2000000000000002</v>
      </c>
      <c r="G25" s="258">
        <v>2.2000000000000002</v>
      </c>
      <c r="H25" s="258">
        <v>2.2000000000000002</v>
      </c>
      <c r="I25" s="258">
        <v>2.2000000000000002</v>
      </c>
      <c r="J25" s="258">
        <v>2.2000000000000002</v>
      </c>
      <c r="K25" s="258">
        <v>2.2000000000000002</v>
      </c>
      <c r="L25" s="258">
        <v>2.2000000000000002</v>
      </c>
      <c r="M25" s="258">
        <v>2.2000000000000002</v>
      </c>
      <c r="N25" s="258">
        <v>2.2000000000000002</v>
      </c>
      <c r="O25" s="258">
        <v>2.2000000000000002</v>
      </c>
      <c r="P25" s="258">
        <v>2.2000000000000002</v>
      </c>
      <c r="Q25" s="258">
        <v>2.2000000000000002</v>
      </c>
      <c r="R25" s="258">
        <v>2.2000000000000002</v>
      </c>
      <c r="S25" s="258">
        <v>2.2000000000000002</v>
      </c>
      <c r="T25" s="258">
        <v>2.2000000000000002</v>
      </c>
      <c r="U25" s="258">
        <v>2.2000000000000002</v>
      </c>
      <c r="V25" s="258">
        <v>2.2000000000000002</v>
      </c>
      <c r="W25" s="258">
        <v>2.2000000000000002</v>
      </c>
      <c r="X25" s="258">
        <v>2.2000000000000002</v>
      </c>
      <c r="Y25" s="258">
        <v>2.2000000000000002</v>
      </c>
      <c r="Z25" s="258">
        <v>2.2000000000000002</v>
      </c>
      <c r="AA25" s="272">
        <v>2.2000000000000002</v>
      </c>
      <c r="AB25" s="290">
        <v>2.2000000000000002</v>
      </c>
      <c r="AC25" s="290">
        <v>2.2000000000000002</v>
      </c>
      <c r="AD25" s="290">
        <v>2.2000000000000002</v>
      </c>
      <c r="AE25" s="290">
        <v>2.2000000000000002</v>
      </c>
      <c r="AF25" s="290">
        <v>2.2000000000000002</v>
      </c>
      <c r="AG25" s="59">
        <v>12</v>
      </c>
      <c r="AH25" s="52">
        <f>MAX(B25:AF25)</f>
        <v>2.2000000000000002</v>
      </c>
      <c r="AI25" s="53">
        <f>MIN(B25:AF25)</f>
        <v>2.2000000000000002</v>
      </c>
      <c r="AJ25" s="1"/>
      <c r="AK25" s="54"/>
      <c r="AL25" s="31"/>
      <c r="AM25" s="243"/>
      <c r="AN25" s="243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5.75" x14ac:dyDescent="0.25">
      <c r="A26" s="58" t="s">
        <v>33</v>
      </c>
      <c r="B26" s="258">
        <v>10</v>
      </c>
      <c r="C26" s="258">
        <v>10</v>
      </c>
      <c r="D26" s="258">
        <v>10</v>
      </c>
      <c r="E26" s="258">
        <v>10</v>
      </c>
      <c r="F26" s="258">
        <v>10</v>
      </c>
      <c r="G26" s="258">
        <v>10</v>
      </c>
      <c r="H26" s="258">
        <v>10</v>
      </c>
      <c r="I26" s="258">
        <v>10</v>
      </c>
      <c r="J26" s="258">
        <v>10</v>
      </c>
      <c r="K26" s="258">
        <v>10</v>
      </c>
      <c r="L26" s="258">
        <v>10</v>
      </c>
      <c r="M26" s="258">
        <v>10</v>
      </c>
      <c r="N26" s="258">
        <v>10</v>
      </c>
      <c r="O26" s="258">
        <v>10</v>
      </c>
      <c r="P26" s="258">
        <v>10</v>
      </c>
      <c r="Q26" s="258">
        <v>10</v>
      </c>
      <c r="R26" s="258">
        <v>10</v>
      </c>
      <c r="S26" s="258">
        <v>10</v>
      </c>
      <c r="T26" s="258">
        <v>10</v>
      </c>
      <c r="U26" s="258">
        <v>10</v>
      </c>
      <c r="V26" s="258">
        <v>10</v>
      </c>
      <c r="W26" s="258">
        <v>10</v>
      </c>
      <c r="X26" s="258">
        <v>10</v>
      </c>
      <c r="Y26" s="258">
        <v>10</v>
      </c>
      <c r="Z26" s="258">
        <v>10</v>
      </c>
      <c r="AA26" s="272">
        <v>10</v>
      </c>
      <c r="AB26" s="290">
        <v>10</v>
      </c>
      <c r="AC26" s="290">
        <v>10</v>
      </c>
      <c r="AD26" s="290">
        <v>10</v>
      </c>
      <c r="AE26" s="290">
        <v>10</v>
      </c>
      <c r="AF26" s="290">
        <v>10</v>
      </c>
      <c r="AG26" s="59">
        <v>12</v>
      </c>
      <c r="AH26" s="52">
        <f>MAX(B26:AF26)</f>
        <v>10</v>
      </c>
      <c r="AI26" s="53">
        <f>MIN(B26:AF26)</f>
        <v>10</v>
      </c>
      <c r="AJ26" s="1"/>
      <c r="AK26" s="54"/>
      <c r="AL26" s="31"/>
      <c r="AM26" s="243"/>
      <c r="AN26" s="243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5.75" x14ac:dyDescent="0.25">
      <c r="A27" s="58" t="s">
        <v>34</v>
      </c>
      <c r="B27" s="258">
        <v>8</v>
      </c>
      <c r="C27" s="258">
        <v>8</v>
      </c>
      <c r="D27" s="258">
        <v>8</v>
      </c>
      <c r="E27" s="258">
        <v>8</v>
      </c>
      <c r="F27" s="258">
        <v>8</v>
      </c>
      <c r="G27" s="258">
        <v>8</v>
      </c>
      <c r="H27" s="258">
        <v>8</v>
      </c>
      <c r="I27" s="258">
        <v>8</v>
      </c>
      <c r="J27" s="258">
        <v>8</v>
      </c>
      <c r="K27" s="258">
        <v>8</v>
      </c>
      <c r="L27" s="258">
        <v>8</v>
      </c>
      <c r="M27" s="252">
        <v>8</v>
      </c>
      <c r="N27" s="252">
        <v>8</v>
      </c>
      <c r="O27" s="252">
        <v>8</v>
      </c>
      <c r="P27" s="252">
        <v>8</v>
      </c>
      <c r="Q27" s="252">
        <v>8</v>
      </c>
      <c r="R27" s="252">
        <v>8</v>
      </c>
      <c r="S27" s="252">
        <v>8</v>
      </c>
      <c r="T27" s="252">
        <v>8</v>
      </c>
      <c r="U27" s="252">
        <v>8</v>
      </c>
      <c r="V27" s="252">
        <v>8</v>
      </c>
      <c r="W27" s="252">
        <v>8</v>
      </c>
      <c r="X27" s="252">
        <v>8</v>
      </c>
      <c r="Y27" s="252">
        <v>8</v>
      </c>
      <c r="Z27" s="252">
        <v>8</v>
      </c>
      <c r="AA27" s="272">
        <v>8</v>
      </c>
      <c r="AB27" s="290">
        <v>8</v>
      </c>
      <c r="AC27" s="290">
        <v>8</v>
      </c>
      <c r="AD27" s="290">
        <v>8</v>
      </c>
      <c r="AE27" s="290">
        <v>8</v>
      </c>
      <c r="AF27" s="290">
        <v>8</v>
      </c>
      <c r="AG27" s="59">
        <v>10</v>
      </c>
      <c r="AH27" s="52">
        <f t="shared" si="2"/>
        <v>8</v>
      </c>
      <c r="AI27" s="53">
        <f t="shared" si="3"/>
        <v>8</v>
      </c>
      <c r="AK27" s="54"/>
    </row>
    <row r="28" spans="1:88" ht="15.75" x14ac:dyDescent="0.25">
      <c r="A28" s="65" t="s">
        <v>35</v>
      </c>
      <c r="B28" s="258">
        <v>150</v>
      </c>
      <c r="C28" s="258">
        <v>150</v>
      </c>
      <c r="D28" s="258">
        <v>150</v>
      </c>
      <c r="E28" s="258">
        <v>150</v>
      </c>
      <c r="F28" s="258">
        <v>150</v>
      </c>
      <c r="G28" s="258">
        <v>150</v>
      </c>
      <c r="H28" s="258">
        <v>150</v>
      </c>
      <c r="I28" s="258">
        <v>150</v>
      </c>
      <c r="J28" s="258">
        <v>150</v>
      </c>
      <c r="K28" s="258">
        <v>150</v>
      </c>
      <c r="L28" s="258">
        <v>150</v>
      </c>
      <c r="M28" s="258">
        <v>150</v>
      </c>
      <c r="N28" s="258">
        <v>150</v>
      </c>
      <c r="O28" s="258">
        <v>150</v>
      </c>
      <c r="P28" s="258">
        <v>150</v>
      </c>
      <c r="Q28" s="258">
        <v>150</v>
      </c>
      <c r="R28" s="258">
        <v>150</v>
      </c>
      <c r="S28" s="258">
        <v>150</v>
      </c>
      <c r="T28" s="258">
        <v>150</v>
      </c>
      <c r="U28" s="258">
        <v>150</v>
      </c>
      <c r="V28" s="258">
        <v>150</v>
      </c>
      <c r="W28" s="258">
        <v>150</v>
      </c>
      <c r="X28" s="258">
        <v>150</v>
      </c>
      <c r="Y28" s="258">
        <v>150</v>
      </c>
      <c r="Z28" s="258">
        <v>150</v>
      </c>
      <c r="AA28" s="272">
        <v>150</v>
      </c>
      <c r="AB28" s="258">
        <v>150</v>
      </c>
      <c r="AC28" s="258">
        <v>150</v>
      </c>
      <c r="AD28" s="258">
        <v>150</v>
      </c>
      <c r="AE28" s="258">
        <v>150</v>
      </c>
      <c r="AF28" s="258">
        <v>150</v>
      </c>
      <c r="AG28" s="59">
        <v>85</v>
      </c>
      <c r="AH28" s="52">
        <f t="shared" si="2"/>
        <v>150</v>
      </c>
      <c r="AI28" s="53">
        <f t="shared" si="3"/>
        <v>150</v>
      </c>
      <c r="AK28" s="54"/>
    </row>
    <row r="29" spans="1:88" ht="16.5" thickBot="1" x14ac:dyDescent="0.3">
      <c r="A29" s="66" t="s">
        <v>36</v>
      </c>
      <c r="B29" s="258">
        <v>99</v>
      </c>
      <c r="C29" s="258">
        <v>99</v>
      </c>
      <c r="D29" s="258">
        <v>105</v>
      </c>
      <c r="E29" s="258">
        <v>103.2</v>
      </c>
      <c r="F29" s="258">
        <v>103.2</v>
      </c>
      <c r="G29" s="258">
        <v>106.2</v>
      </c>
      <c r="H29" s="258">
        <v>103.7</v>
      </c>
      <c r="I29" s="258">
        <v>102.7</v>
      </c>
      <c r="J29" s="258">
        <v>103.1</v>
      </c>
      <c r="K29" s="258">
        <v>99.3</v>
      </c>
      <c r="L29" s="261">
        <v>102.8</v>
      </c>
      <c r="M29" s="261">
        <v>100.2</v>
      </c>
      <c r="N29" s="261">
        <v>105.5</v>
      </c>
      <c r="O29" s="261">
        <v>104.4</v>
      </c>
      <c r="P29" s="261">
        <v>104</v>
      </c>
      <c r="Q29" s="261">
        <v>103.6</v>
      </c>
      <c r="R29" s="261">
        <v>103</v>
      </c>
      <c r="S29" s="261">
        <v>98.5</v>
      </c>
      <c r="T29" s="261">
        <v>99</v>
      </c>
      <c r="U29" s="261">
        <v>99</v>
      </c>
      <c r="V29" s="261">
        <v>99.4</v>
      </c>
      <c r="W29" s="261">
        <v>99</v>
      </c>
      <c r="X29" s="261">
        <v>97.3</v>
      </c>
      <c r="Y29" s="261">
        <v>95.3</v>
      </c>
      <c r="Z29" s="261">
        <v>92.6</v>
      </c>
      <c r="AA29" s="271">
        <v>93</v>
      </c>
      <c r="AB29" s="261">
        <v>94.6</v>
      </c>
      <c r="AC29" s="261">
        <v>94.1</v>
      </c>
      <c r="AD29" s="261">
        <v>95.1</v>
      </c>
      <c r="AE29" s="258">
        <v>91.5</v>
      </c>
      <c r="AF29" s="258">
        <v>92.1</v>
      </c>
      <c r="AG29" s="59">
        <v>240</v>
      </c>
      <c r="AH29" s="52">
        <f t="shared" si="2"/>
        <v>106.2</v>
      </c>
      <c r="AI29" s="53">
        <f t="shared" si="3"/>
        <v>91.5</v>
      </c>
      <c r="AK29" s="54"/>
    </row>
    <row r="30" spans="1:88" ht="15.75" thickBot="1" x14ac:dyDescent="0.3">
      <c r="A30" s="68" t="s">
        <v>37</v>
      </c>
      <c r="B30" s="262">
        <f t="shared" ref="B30:AF30" si="4">SUM(B11:B28)</f>
        <v>483.1</v>
      </c>
      <c r="C30" s="262">
        <f t="shared" si="4"/>
        <v>483.1</v>
      </c>
      <c r="D30" s="262">
        <f t="shared" si="4"/>
        <v>480.1</v>
      </c>
      <c r="E30" s="262">
        <f t="shared" si="4"/>
        <v>484.90000000000003</v>
      </c>
      <c r="F30" s="262">
        <f t="shared" si="4"/>
        <v>486.20000000000005</v>
      </c>
      <c r="G30" s="262">
        <f t="shared" si="4"/>
        <v>487.3</v>
      </c>
      <c r="H30" s="262">
        <f t="shared" si="4"/>
        <v>495.6</v>
      </c>
      <c r="I30" s="262">
        <f t="shared" si="4"/>
        <v>498.20000000000005</v>
      </c>
      <c r="J30" s="262">
        <f t="shared" si="4"/>
        <v>498.3</v>
      </c>
      <c r="K30" s="262">
        <f t="shared" si="4"/>
        <v>498.70000000000005</v>
      </c>
      <c r="L30" s="262">
        <f>SUM(L11:L28)</f>
        <v>500.40000000000003</v>
      </c>
      <c r="M30" s="262">
        <f t="shared" si="4"/>
        <v>473.6</v>
      </c>
      <c r="N30" s="262">
        <f t="shared" si="4"/>
        <v>472.6</v>
      </c>
      <c r="O30" s="262">
        <f t="shared" si="4"/>
        <v>472.6</v>
      </c>
      <c r="P30" s="262">
        <f t="shared" si="4"/>
        <v>472.6</v>
      </c>
      <c r="Q30" s="262">
        <f>SUM(Q11:Q28)</f>
        <v>472.6</v>
      </c>
      <c r="R30" s="262">
        <f t="shared" si="4"/>
        <v>473.90000000000003</v>
      </c>
      <c r="S30" s="262">
        <f t="shared" si="4"/>
        <v>473.70000000000005</v>
      </c>
      <c r="T30" s="262">
        <f t="shared" si="4"/>
        <v>480.10000000000008</v>
      </c>
      <c r="U30" s="262">
        <f t="shared" si="4"/>
        <v>475.50000000000006</v>
      </c>
      <c r="V30" s="262">
        <f>SUM(V11:V28)</f>
        <v>466.60000000000008</v>
      </c>
      <c r="W30" s="262">
        <f t="shared" si="4"/>
        <v>466.60000000000008</v>
      </c>
      <c r="X30" s="262">
        <f t="shared" si="4"/>
        <v>466.60000000000008</v>
      </c>
      <c r="Y30" s="262">
        <f t="shared" si="4"/>
        <v>465.60000000000008</v>
      </c>
      <c r="Z30" s="262">
        <f t="shared" si="4"/>
        <v>478.6</v>
      </c>
      <c r="AA30" s="262">
        <f t="shared" si="4"/>
        <v>473.50000000000006</v>
      </c>
      <c r="AB30" s="262">
        <f t="shared" si="4"/>
        <v>475.10000000000008</v>
      </c>
      <c r="AC30" s="262">
        <f t="shared" si="4"/>
        <v>472.70000000000005</v>
      </c>
      <c r="AD30" s="262">
        <f t="shared" si="4"/>
        <v>473.3</v>
      </c>
      <c r="AE30" s="262">
        <f t="shared" si="4"/>
        <v>474.70000000000005</v>
      </c>
      <c r="AF30" s="262">
        <f t="shared" si="4"/>
        <v>472.10000000000008</v>
      </c>
      <c r="AG30" s="59">
        <f>SUM(AG11:AG29)</f>
        <v>729.2</v>
      </c>
      <c r="AH30" s="52">
        <f t="shared" si="2"/>
        <v>500.40000000000003</v>
      </c>
      <c r="AI30" s="53">
        <f t="shared" si="3"/>
        <v>465.60000000000008</v>
      </c>
      <c r="AK30" s="54"/>
    </row>
    <row r="31" spans="1:88" ht="15.75" x14ac:dyDescent="0.25">
      <c r="A31" s="55" t="s">
        <v>38</v>
      </c>
      <c r="B31" s="258">
        <v>142</v>
      </c>
      <c r="C31" s="258">
        <v>142.80000000000001</v>
      </c>
      <c r="D31" s="258">
        <v>142.6</v>
      </c>
      <c r="E31" s="258">
        <v>142.6</v>
      </c>
      <c r="F31" s="258">
        <v>130</v>
      </c>
      <c r="G31" s="258">
        <v>130</v>
      </c>
      <c r="H31" s="258">
        <v>128.9</v>
      </c>
      <c r="I31" s="258">
        <v>137.4</v>
      </c>
      <c r="J31" s="258">
        <v>128.5</v>
      </c>
      <c r="K31" s="258">
        <v>142</v>
      </c>
      <c r="L31" s="252">
        <v>141.5</v>
      </c>
      <c r="M31" s="252">
        <v>142.1</v>
      </c>
      <c r="N31" s="252">
        <v>134.5</v>
      </c>
      <c r="O31" s="252">
        <v>144.5</v>
      </c>
      <c r="P31" s="252">
        <v>144.5</v>
      </c>
      <c r="Q31" s="252">
        <v>144.5</v>
      </c>
      <c r="R31" s="252">
        <v>140.4</v>
      </c>
      <c r="S31" s="252">
        <v>140</v>
      </c>
      <c r="T31" s="252">
        <v>140</v>
      </c>
      <c r="U31" s="252">
        <v>136.6</v>
      </c>
      <c r="V31" s="252">
        <v>131.19999999999999</v>
      </c>
      <c r="W31" s="252">
        <v>136.5</v>
      </c>
      <c r="X31" s="252">
        <v>141.1</v>
      </c>
      <c r="Y31" s="252">
        <v>141.1</v>
      </c>
      <c r="Z31" s="252">
        <v>140</v>
      </c>
      <c r="AA31" s="274">
        <v>140</v>
      </c>
      <c r="AB31" s="48">
        <v>140.4</v>
      </c>
      <c r="AC31" s="48">
        <v>141</v>
      </c>
      <c r="AD31" s="48">
        <v>141.30000000000001</v>
      </c>
      <c r="AE31" s="48">
        <v>141.69999999999999</v>
      </c>
      <c r="AF31" s="48">
        <v>133.6</v>
      </c>
      <c r="AG31" s="57">
        <v>144</v>
      </c>
      <c r="AH31" s="52">
        <f t="shared" si="2"/>
        <v>144.5</v>
      </c>
      <c r="AI31" s="53">
        <f t="shared" si="3"/>
        <v>128.5</v>
      </c>
      <c r="AK31" s="54"/>
    </row>
    <row r="32" spans="1:88" ht="15.75" x14ac:dyDescent="0.25">
      <c r="A32" s="58" t="s">
        <v>39</v>
      </c>
      <c r="B32" s="258">
        <v>70</v>
      </c>
      <c r="C32" s="258">
        <v>70.5</v>
      </c>
      <c r="D32" s="258">
        <v>71.3</v>
      </c>
      <c r="E32" s="258">
        <v>70.3</v>
      </c>
      <c r="F32" s="258">
        <v>69.7</v>
      </c>
      <c r="G32" s="258">
        <v>70.2</v>
      </c>
      <c r="H32" s="258">
        <v>70.599999999999994</v>
      </c>
      <c r="I32" s="258">
        <v>72.400000000000006</v>
      </c>
      <c r="J32" s="258">
        <v>70.900000000000006</v>
      </c>
      <c r="K32" s="258">
        <v>70.400000000000006</v>
      </c>
      <c r="L32" s="253">
        <v>70.400000000000006</v>
      </c>
      <c r="M32" s="253">
        <v>70.599999999999994</v>
      </c>
      <c r="N32" s="253">
        <v>70</v>
      </c>
      <c r="O32" s="253">
        <v>70.2</v>
      </c>
      <c r="P32" s="253">
        <v>70.2</v>
      </c>
      <c r="Q32" s="253">
        <v>70.2</v>
      </c>
      <c r="R32" s="253">
        <v>71.3</v>
      </c>
      <c r="S32" s="253">
        <v>70.099999999999994</v>
      </c>
      <c r="T32" s="253">
        <v>70.099999999999994</v>
      </c>
      <c r="U32" s="253">
        <v>70</v>
      </c>
      <c r="V32" s="253">
        <v>65</v>
      </c>
      <c r="W32" s="253">
        <v>70.3</v>
      </c>
      <c r="X32" s="253">
        <v>71.7</v>
      </c>
      <c r="Y32" s="253">
        <v>71.7</v>
      </c>
      <c r="Z32" s="253">
        <v>70.599999999999994</v>
      </c>
      <c r="AA32" s="274">
        <v>70.3</v>
      </c>
      <c r="AB32" s="258">
        <v>70.3</v>
      </c>
      <c r="AC32" s="258">
        <v>70</v>
      </c>
      <c r="AD32" s="258">
        <v>69.3</v>
      </c>
      <c r="AE32" s="258">
        <v>69.5</v>
      </c>
      <c r="AF32" s="258">
        <v>70.3</v>
      </c>
      <c r="AG32" s="59">
        <v>70</v>
      </c>
      <c r="AH32" s="52">
        <f t="shared" si="2"/>
        <v>72.400000000000006</v>
      </c>
      <c r="AI32" s="53">
        <f t="shared" si="3"/>
        <v>65</v>
      </c>
      <c r="AK32" s="54"/>
    </row>
    <row r="33" spans="1:41" ht="15.75" x14ac:dyDescent="0.25">
      <c r="A33" s="58" t="s">
        <v>40</v>
      </c>
      <c r="B33" s="258">
        <v>40</v>
      </c>
      <c r="C33" s="258">
        <v>39</v>
      </c>
      <c r="D33" s="258">
        <v>39</v>
      </c>
      <c r="E33" s="258">
        <v>38.6</v>
      </c>
      <c r="F33" s="258">
        <v>33</v>
      </c>
      <c r="G33" s="258">
        <v>38</v>
      </c>
      <c r="H33" s="258">
        <v>32.6</v>
      </c>
      <c r="I33" s="258">
        <v>39.6</v>
      </c>
      <c r="J33" s="258">
        <v>39.1</v>
      </c>
      <c r="K33" s="258">
        <v>39.9</v>
      </c>
      <c r="L33" s="253">
        <v>38.6</v>
      </c>
      <c r="M33" s="253">
        <v>22.8</v>
      </c>
      <c r="N33" s="253">
        <v>22</v>
      </c>
      <c r="O33" s="253">
        <v>22.2</v>
      </c>
      <c r="P33" s="253">
        <v>22.2</v>
      </c>
      <c r="Q33" s="253">
        <v>45.5</v>
      </c>
      <c r="R33" s="253">
        <v>46.4</v>
      </c>
      <c r="S33" s="253">
        <v>23.1</v>
      </c>
      <c r="T33" s="253">
        <v>23.1</v>
      </c>
      <c r="U33" s="253">
        <v>46.4</v>
      </c>
      <c r="V33" s="253">
        <v>40</v>
      </c>
      <c r="W33" s="253">
        <v>46</v>
      </c>
      <c r="X33" s="253">
        <v>46</v>
      </c>
      <c r="Y33" s="253">
        <v>46</v>
      </c>
      <c r="Z33" s="253">
        <v>45.6</v>
      </c>
      <c r="AA33" s="274">
        <v>46</v>
      </c>
      <c r="AB33" s="258">
        <v>45.9</v>
      </c>
      <c r="AC33" s="258">
        <v>45.9</v>
      </c>
      <c r="AD33" s="258">
        <v>45.8</v>
      </c>
      <c r="AE33" s="258">
        <v>45.7</v>
      </c>
      <c r="AF33" s="258">
        <v>46.5</v>
      </c>
      <c r="AG33" s="59">
        <v>69</v>
      </c>
      <c r="AH33" s="52">
        <f t="shared" si="2"/>
        <v>46.5</v>
      </c>
      <c r="AI33" s="53">
        <f t="shared" si="3"/>
        <v>22</v>
      </c>
      <c r="AK33" s="54"/>
    </row>
    <row r="34" spans="1:41" ht="15.75" x14ac:dyDescent="0.25">
      <c r="A34" s="58" t="s">
        <v>41</v>
      </c>
      <c r="B34" s="258">
        <v>28.5</v>
      </c>
      <c r="C34" s="258">
        <v>28.5</v>
      </c>
      <c r="D34" s="258">
        <v>28.5</v>
      </c>
      <c r="E34" s="258">
        <v>28.5</v>
      </c>
      <c r="F34" s="258">
        <v>28.7</v>
      </c>
      <c r="G34" s="258">
        <v>28.7</v>
      </c>
      <c r="H34" s="258">
        <v>28.5</v>
      </c>
      <c r="I34" s="258">
        <v>28.7</v>
      </c>
      <c r="J34" s="258">
        <v>28.5</v>
      </c>
      <c r="K34" s="258">
        <v>28.5</v>
      </c>
      <c r="L34" s="253">
        <v>28.2</v>
      </c>
      <c r="M34" s="253">
        <v>28.2</v>
      </c>
      <c r="N34" s="253">
        <v>28.2</v>
      </c>
      <c r="O34" s="253">
        <v>28.6</v>
      </c>
      <c r="P34" s="253">
        <v>28.6</v>
      </c>
      <c r="Q34" s="253">
        <v>28.6</v>
      </c>
      <c r="R34" s="253">
        <v>28.2</v>
      </c>
      <c r="S34" s="253">
        <v>28.2</v>
      </c>
      <c r="T34" s="253">
        <v>28.2</v>
      </c>
      <c r="U34" s="253">
        <v>28.2</v>
      </c>
      <c r="V34" s="253">
        <v>28.5</v>
      </c>
      <c r="W34" s="253">
        <v>28.5</v>
      </c>
      <c r="X34" s="253">
        <v>28.5</v>
      </c>
      <c r="Y34" s="253">
        <v>28.5</v>
      </c>
      <c r="Z34" s="253">
        <v>28.5</v>
      </c>
      <c r="AA34" s="274">
        <v>28.5</v>
      </c>
      <c r="AB34" s="258">
        <v>28.2</v>
      </c>
      <c r="AC34" s="258">
        <v>28.5</v>
      </c>
      <c r="AD34" s="258">
        <v>28.5</v>
      </c>
      <c r="AE34" s="258">
        <v>28.5</v>
      </c>
      <c r="AF34" s="258">
        <v>28.5</v>
      </c>
      <c r="AG34" s="59">
        <v>60</v>
      </c>
      <c r="AH34" s="52">
        <f t="shared" si="2"/>
        <v>28.7</v>
      </c>
      <c r="AI34" s="53">
        <f t="shared" si="3"/>
        <v>28.2</v>
      </c>
      <c r="AK34" s="54"/>
    </row>
    <row r="35" spans="1:41" ht="15.75" x14ac:dyDescent="0.25">
      <c r="A35" s="58" t="s">
        <v>42</v>
      </c>
      <c r="B35" s="258">
        <v>29.6</v>
      </c>
      <c r="C35" s="258">
        <v>29.6</v>
      </c>
      <c r="D35" s="258">
        <v>29.7</v>
      </c>
      <c r="E35" s="258">
        <v>29.7</v>
      </c>
      <c r="F35" s="258">
        <v>29.7</v>
      </c>
      <c r="G35" s="258">
        <v>30</v>
      </c>
      <c r="H35" s="258">
        <v>30</v>
      </c>
      <c r="I35" s="258">
        <v>26.6</v>
      </c>
      <c r="J35" s="258">
        <v>30.1</v>
      </c>
      <c r="K35" s="258">
        <v>29.6</v>
      </c>
      <c r="L35" s="252">
        <v>29.3</v>
      </c>
      <c r="M35" s="252">
        <v>29.9</v>
      </c>
      <c r="N35" s="252">
        <v>29.9</v>
      </c>
      <c r="O35" s="252">
        <v>29.6</v>
      </c>
      <c r="P35" s="252">
        <v>29.6</v>
      </c>
      <c r="Q35" s="252">
        <v>29.6</v>
      </c>
      <c r="R35" s="252">
        <v>29.4</v>
      </c>
      <c r="S35" s="252">
        <v>29.4</v>
      </c>
      <c r="T35" s="252">
        <v>29.4</v>
      </c>
      <c r="U35" s="252">
        <v>29.4</v>
      </c>
      <c r="V35" s="253">
        <v>29.2</v>
      </c>
      <c r="W35" s="253">
        <v>29.2</v>
      </c>
      <c r="X35" s="253">
        <v>29.2</v>
      </c>
      <c r="Y35" s="253">
        <v>29.2</v>
      </c>
      <c r="Z35" s="253">
        <v>29.2</v>
      </c>
      <c r="AA35" s="273">
        <v>30</v>
      </c>
      <c r="AB35" s="258">
        <v>29.1</v>
      </c>
      <c r="AC35" s="258">
        <v>29.1</v>
      </c>
      <c r="AD35" s="258">
        <v>29.3</v>
      </c>
      <c r="AE35" s="258">
        <v>29.3</v>
      </c>
      <c r="AF35" s="258">
        <v>29.1</v>
      </c>
      <c r="AG35" s="59">
        <v>30</v>
      </c>
      <c r="AH35" s="52">
        <f t="shared" si="2"/>
        <v>30.1</v>
      </c>
      <c r="AI35" s="53">
        <f t="shared" si="3"/>
        <v>26.6</v>
      </c>
      <c r="AK35" s="54"/>
    </row>
    <row r="36" spans="1:41" ht="15.75" x14ac:dyDescent="0.25">
      <c r="A36" s="58" t="s">
        <v>43</v>
      </c>
      <c r="B36" s="71">
        <v>15.6</v>
      </c>
      <c r="C36" s="71">
        <v>15.6</v>
      </c>
      <c r="D36" s="71">
        <v>15.5</v>
      </c>
      <c r="E36" s="71">
        <v>15.6</v>
      </c>
      <c r="F36" s="71">
        <v>15.6</v>
      </c>
      <c r="G36" s="71">
        <v>15.6</v>
      </c>
      <c r="H36" s="71">
        <v>15.6</v>
      </c>
      <c r="I36" s="71">
        <v>15.6</v>
      </c>
      <c r="J36" s="71">
        <v>15.9</v>
      </c>
      <c r="K36" s="71">
        <v>15.2</v>
      </c>
      <c r="L36" s="252">
        <v>15.2</v>
      </c>
      <c r="M36" s="252">
        <v>15.6</v>
      </c>
      <c r="N36" s="252">
        <v>15.6</v>
      </c>
      <c r="O36" s="252">
        <v>15.2</v>
      </c>
      <c r="P36" s="252">
        <v>15.2</v>
      </c>
      <c r="Q36" s="252">
        <v>15.2</v>
      </c>
      <c r="R36" s="252">
        <v>14.1</v>
      </c>
      <c r="S36" s="252">
        <v>15.9</v>
      </c>
      <c r="T36" s="252">
        <v>15.9</v>
      </c>
      <c r="U36" s="252">
        <v>15.9</v>
      </c>
      <c r="V36" s="252">
        <v>15.6</v>
      </c>
      <c r="W36" s="252">
        <v>15.6</v>
      </c>
      <c r="X36" s="252">
        <v>15.6</v>
      </c>
      <c r="Y36" s="252">
        <v>15.6</v>
      </c>
      <c r="Z36" s="252">
        <v>15.6</v>
      </c>
      <c r="AA36" s="273">
        <v>16</v>
      </c>
      <c r="AB36" s="258">
        <v>15.6</v>
      </c>
      <c r="AC36" s="258">
        <v>15.6</v>
      </c>
      <c r="AD36" s="258">
        <v>15.6</v>
      </c>
      <c r="AE36" s="258">
        <v>15.6</v>
      </c>
      <c r="AF36" s="258">
        <v>15.5</v>
      </c>
      <c r="AG36" s="59">
        <v>24</v>
      </c>
      <c r="AH36" s="52">
        <f t="shared" si="2"/>
        <v>16</v>
      </c>
      <c r="AI36" s="53">
        <f t="shared" si="3"/>
        <v>14.1</v>
      </c>
      <c r="AK36" s="54"/>
    </row>
    <row r="37" spans="1:41" ht="15.75" x14ac:dyDescent="0.25">
      <c r="A37" s="58" t="s">
        <v>44</v>
      </c>
      <c r="B37" s="258">
        <v>2.1</v>
      </c>
      <c r="C37" s="258">
        <v>2.1</v>
      </c>
      <c r="D37" s="258">
        <v>2.1</v>
      </c>
      <c r="E37" s="258">
        <v>2.1</v>
      </c>
      <c r="F37" s="258">
        <v>2.1</v>
      </c>
      <c r="G37" s="258">
        <v>2.1</v>
      </c>
      <c r="H37" s="258">
        <v>2.1</v>
      </c>
      <c r="I37" s="258">
        <v>2.1</v>
      </c>
      <c r="J37" s="258">
        <v>2.1</v>
      </c>
      <c r="K37" s="258">
        <v>2.1</v>
      </c>
      <c r="L37" s="252">
        <v>2.2000000000000002</v>
      </c>
      <c r="M37" s="252">
        <v>2.2000000000000002</v>
      </c>
      <c r="N37" s="252">
        <v>2.2000000000000002</v>
      </c>
      <c r="O37" s="252">
        <v>2.2000000000000002</v>
      </c>
      <c r="P37" s="252">
        <v>2.2000000000000002</v>
      </c>
      <c r="Q37" s="252">
        <v>2.2000000000000002</v>
      </c>
      <c r="R37" s="252">
        <v>2.2000000000000002</v>
      </c>
      <c r="S37" s="252">
        <v>2.2000000000000002</v>
      </c>
      <c r="T37" s="252">
        <v>2.2000000000000002</v>
      </c>
      <c r="U37" s="252">
        <v>2.2000000000000002</v>
      </c>
      <c r="V37" s="252">
        <v>2.2000000000000002</v>
      </c>
      <c r="W37" s="252">
        <v>2.2000000000000002</v>
      </c>
      <c r="X37" s="252">
        <v>2.2000000000000002</v>
      </c>
      <c r="Y37" s="252">
        <v>2.2000000000000002</v>
      </c>
      <c r="Z37" s="252">
        <v>2.2000000000000002</v>
      </c>
      <c r="AA37" s="275">
        <v>2.1</v>
      </c>
      <c r="AB37" s="258">
        <v>2.1</v>
      </c>
      <c r="AC37" s="258">
        <v>2.1</v>
      </c>
      <c r="AD37" s="258">
        <v>2.1</v>
      </c>
      <c r="AE37" s="258">
        <v>2.1</v>
      </c>
      <c r="AF37" s="258">
        <v>2.1</v>
      </c>
      <c r="AG37" s="59">
        <v>15</v>
      </c>
      <c r="AH37" s="52">
        <f t="shared" si="2"/>
        <v>2.2000000000000002</v>
      </c>
      <c r="AI37" s="53">
        <f t="shared" si="3"/>
        <v>2.1</v>
      </c>
      <c r="AK37" s="54"/>
    </row>
    <row r="38" spans="1:41" ht="15.75" x14ac:dyDescent="0.25">
      <c r="A38" s="58" t="s">
        <v>45</v>
      </c>
      <c r="B38" s="258">
        <v>10</v>
      </c>
      <c r="C38" s="258">
        <v>10</v>
      </c>
      <c r="D38" s="258">
        <v>10</v>
      </c>
      <c r="E38" s="258">
        <v>10</v>
      </c>
      <c r="F38" s="258">
        <v>10</v>
      </c>
      <c r="G38" s="258">
        <v>10</v>
      </c>
      <c r="H38" s="258">
        <v>10</v>
      </c>
      <c r="I38" s="258">
        <v>10</v>
      </c>
      <c r="J38" s="258">
        <v>10</v>
      </c>
      <c r="K38" s="258">
        <v>10</v>
      </c>
      <c r="L38" s="252">
        <v>10</v>
      </c>
      <c r="M38" s="252">
        <v>10</v>
      </c>
      <c r="N38" s="252">
        <v>10</v>
      </c>
      <c r="O38" s="252">
        <v>10</v>
      </c>
      <c r="P38" s="252">
        <v>10</v>
      </c>
      <c r="Q38" s="252">
        <v>10</v>
      </c>
      <c r="R38" s="252">
        <v>10</v>
      </c>
      <c r="S38" s="252">
        <v>10</v>
      </c>
      <c r="T38" s="252">
        <v>10</v>
      </c>
      <c r="U38" s="252">
        <v>10</v>
      </c>
      <c r="V38" s="252">
        <v>10</v>
      </c>
      <c r="W38" s="252">
        <v>10</v>
      </c>
      <c r="X38" s="252">
        <v>10</v>
      </c>
      <c r="Y38" s="252">
        <v>10</v>
      </c>
      <c r="Z38" s="252">
        <v>10</v>
      </c>
      <c r="AA38" s="275">
        <v>10</v>
      </c>
      <c r="AB38" s="258">
        <v>10</v>
      </c>
      <c r="AC38" s="258">
        <v>10</v>
      </c>
      <c r="AD38" s="258">
        <v>10</v>
      </c>
      <c r="AE38" s="258">
        <v>10</v>
      </c>
      <c r="AF38" s="258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ht="15.75" x14ac:dyDescent="0.25">
      <c r="A39" s="72" t="s">
        <v>46</v>
      </c>
      <c r="B39" s="71">
        <v>10</v>
      </c>
      <c r="C39" s="71">
        <v>10</v>
      </c>
      <c r="D39" s="71">
        <v>10</v>
      </c>
      <c r="E39" s="71">
        <v>11</v>
      </c>
      <c r="F39" s="71">
        <v>11</v>
      </c>
      <c r="G39" s="71">
        <v>11</v>
      </c>
      <c r="H39" s="71">
        <v>11</v>
      </c>
      <c r="I39" s="71">
        <v>11</v>
      </c>
      <c r="J39" s="71">
        <v>11</v>
      </c>
      <c r="K39" s="71">
        <v>11</v>
      </c>
      <c r="L39" s="252">
        <v>11</v>
      </c>
      <c r="M39" s="252">
        <v>12</v>
      </c>
      <c r="N39" s="252">
        <v>12</v>
      </c>
      <c r="O39" s="252">
        <v>12</v>
      </c>
      <c r="P39" s="252">
        <v>12</v>
      </c>
      <c r="Q39" s="252">
        <v>12</v>
      </c>
      <c r="R39" s="252">
        <v>12</v>
      </c>
      <c r="S39" s="252">
        <v>12</v>
      </c>
      <c r="T39" s="252">
        <v>12</v>
      </c>
      <c r="U39" s="252">
        <v>12</v>
      </c>
      <c r="V39" s="252">
        <v>12</v>
      </c>
      <c r="W39" s="252">
        <v>12</v>
      </c>
      <c r="X39" s="252">
        <v>12</v>
      </c>
      <c r="Y39" s="252">
        <v>12</v>
      </c>
      <c r="Z39" s="252">
        <v>12</v>
      </c>
      <c r="AA39" s="275">
        <v>13.5</v>
      </c>
      <c r="AB39" s="290">
        <v>13.5</v>
      </c>
      <c r="AC39" s="258">
        <v>13.5</v>
      </c>
      <c r="AD39" s="258">
        <v>13.5</v>
      </c>
      <c r="AE39" s="258">
        <v>13.5</v>
      </c>
      <c r="AF39" s="258">
        <v>13.5</v>
      </c>
      <c r="AG39" s="59">
        <v>14</v>
      </c>
      <c r="AH39" s="52">
        <f t="shared" si="2"/>
        <v>13.5</v>
      </c>
      <c r="AI39" s="53">
        <f t="shared" si="3"/>
        <v>10</v>
      </c>
      <c r="AJ39" s="1"/>
      <c r="AK39" s="54"/>
      <c r="AL39" s="243"/>
      <c r="AM39" s="243"/>
      <c r="AN39" s="243"/>
      <c r="AO39" s="243"/>
    </row>
    <row r="40" spans="1:41" ht="15.75" x14ac:dyDescent="0.25">
      <c r="A40" s="58" t="s">
        <v>47</v>
      </c>
      <c r="B40" s="258">
        <v>9.3000000000000007</v>
      </c>
      <c r="C40" s="258">
        <v>9.3000000000000007</v>
      </c>
      <c r="D40" s="258">
        <v>9.3000000000000007</v>
      </c>
      <c r="E40" s="258">
        <v>9.1999999999999993</v>
      </c>
      <c r="F40" s="258">
        <v>9.1999999999999993</v>
      </c>
      <c r="G40" s="258">
        <v>9.3000000000000007</v>
      </c>
      <c r="H40" s="258">
        <v>9.1</v>
      </c>
      <c r="I40" s="258">
        <v>8.6999999999999993</v>
      </c>
      <c r="J40" s="258">
        <v>9</v>
      </c>
      <c r="K40" s="258">
        <v>9</v>
      </c>
      <c r="L40" s="252">
        <v>9</v>
      </c>
      <c r="M40" s="252">
        <v>9</v>
      </c>
      <c r="N40" s="252">
        <v>9</v>
      </c>
      <c r="O40" s="252">
        <v>9</v>
      </c>
      <c r="P40" s="252">
        <v>9</v>
      </c>
      <c r="Q40" s="252">
        <v>9</v>
      </c>
      <c r="R40" s="252">
        <v>0</v>
      </c>
      <c r="S40" s="252">
        <v>0</v>
      </c>
      <c r="T40" s="252">
        <v>9</v>
      </c>
      <c r="U40" s="252">
        <v>9</v>
      </c>
      <c r="V40" s="252">
        <v>9</v>
      </c>
      <c r="W40" s="252">
        <v>9</v>
      </c>
      <c r="X40" s="252">
        <v>9</v>
      </c>
      <c r="Y40" s="252">
        <v>9</v>
      </c>
      <c r="Z40" s="252">
        <v>9</v>
      </c>
      <c r="AA40" s="275">
        <v>9.3000000000000007</v>
      </c>
      <c r="AB40" s="258">
        <v>9.3000000000000007</v>
      </c>
      <c r="AC40" s="258">
        <v>9.1</v>
      </c>
      <c r="AD40" s="258">
        <v>9.1</v>
      </c>
      <c r="AE40" s="258">
        <v>9.1</v>
      </c>
      <c r="AF40" s="258">
        <v>9</v>
      </c>
      <c r="AG40" s="59">
        <v>10.050000000000001</v>
      </c>
      <c r="AH40" s="52">
        <f t="shared" si="2"/>
        <v>9.3000000000000007</v>
      </c>
      <c r="AI40" s="53">
        <f t="shared" si="3"/>
        <v>0</v>
      </c>
      <c r="AK40" s="54"/>
    </row>
    <row r="41" spans="1:41" ht="15.75" x14ac:dyDescent="0.25">
      <c r="A41" s="58" t="s">
        <v>48</v>
      </c>
      <c r="B41" s="258">
        <v>5</v>
      </c>
      <c r="C41" s="258">
        <v>5</v>
      </c>
      <c r="D41" s="258">
        <v>5</v>
      </c>
      <c r="E41" s="258">
        <v>5</v>
      </c>
      <c r="F41" s="258">
        <v>5</v>
      </c>
      <c r="G41" s="258">
        <v>5</v>
      </c>
      <c r="H41" s="258">
        <v>4</v>
      </c>
      <c r="I41" s="258">
        <v>4</v>
      </c>
      <c r="J41" s="258">
        <v>4</v>
      </c>
      <c r="K41" s="258">
        <v>4</v>
      </c>
      <c r="L41" s="252">
        <v>4</v>
      </c>
      <c r="M41" s="252">
        <v>4</v>
      </c>
      <c r="N41" s="252">
        <v>4</v>
      </c>
      <c r="O41" s="252">
        <v>4</v>
      </c>
      <c r="P41" s="252">
        <v>4</v>
      </c>
      <c r="Q41" s="252">
        <v>4</v>
      </c>
      <c r="R41" s="252">
        <v>4</v>
      </c>
      <c r="S41" s="252">
        <v>4</v>
      </c>
      <c r="T41" s="252">
        <v>4</v>
      </c>
      <c r="U41" s="252">
        <v>4</v>
      </c>
      <c r="V41" s="252">
        <v>4</v>
      </c>
      <c r="W41" s="252">
        <v>4</v>
      </c>
      <c r="X41" s="252">
        <v>4</v>
      </c>
      <c r="Y41" s="252">
        <v>4</v>
      </c>
      <c r="Z41" s="252">
        <v>4</v>
      </c>
      <c r="AA41" s="275">
        <v>5</v>
      </c>
      <c r="AB41" s="258">
        <v>5</v>
      </c>
      <c r="AC41" s="258">
        <v>5</v>
      </c>
      <c r="AD41" s="258">
        <v>5</v>
      </c>
      <c r="AE41" s="258">
        <v>5</v>
      </c>
      <c r="AF41" s="258">
        <v>5</v>
      </c>
      <c r="AG41" s="59">
        <v>6.2</v>
      </c>
      <c r="AH41" s="52">
        <f t="shared" si="2"/>
        <v>5</v>
      </c>
      <c r="AI41" s="53">
        <f t="shared" si="3"/>
        <v>4</v>
      </c>
      <c r="AK41" s="54"/>
    </row>
    <row r="42" spans="1:41" ht="16.5" thickBot="1" x14ac:dyDescent="0.3">
      <c r="A42" s="65" t="s">
        <v>49</v>
      </c>
      <c r="B42" s="263">
        <f>B179</f>
        <v>3.54</v>
      </c>
      <c r="C42" s="263">
        <f t="shared" ref="C42:AF42" si="5">C179</f>
        <v>3.54</v>
      </c>
      <c r="D42" s="263">
        <f t="shared" si="5"/>
        <v>3.54</v>
      </c>
      <c r="E42" s="263">
        <f t="shared" si="5"/>
        <v>3.54</v>
      </c>
      <c r="F42" s="263">
        <f t="shared" si="5"/>
        <v>3.54</v>
      </c>
      <c r="G42" s="263">
        <f t="shared" si="5"/>
        <v>3.54</v>
      </c>
      <c r="H42" s="263">
        <f t="shared" si="5"/>
        <v>3.54</v>
      </c>
      <c r="I42" s="263">
        <f t="shared" si="5"/>
        <v>3.54</v>
      </c>
      <c r="J42" s="263">
        <f t="shared" si="5"/>
        <v>3.54</v>
      </c>
      <c r="K42" s="263">
        <f t="shared" si="5"/>
        <v>3.54</v>
      </c>
      <c r="L42" s="263">
        <f t="shared" si="5"/>
        <v>3.54</v>
      </c>
      <c r="M42" s="263">
        <f t="shared" si="5"/>
        <v>3.54</v>
      </c>
      <c r="N42" s="263">
        <f t="shared" si="5"/>
        <v>3.54</v>
      </c>
      <c r="O42" s="263">
        <f t="shared" si="5"/>
        <v>3.54</v>
      </c>
      <c r="P42" s="263">
        <f t="shared" si="5"/>
        <v>3.54</v>
      </c>
      <c r="Q42" s="263">
        <f t="shared" si="5"/>
        <v>3.54</v>
      </c>
      <c r="R42" s="263">
        <f t="shared" si="5"/>
        <v>3.54</v>
      </c>
      <c r="S42" s="263">
        <f t="shared" si="5"/>
        <v>3.54</v>
      </c>
      <c r="T42" s="263">
        <f t="shared" si="5"/>
        <v>3.54</v>
      </c>
      <c r="U42" s="263">
        <f t="shared" si="5"/>
        <v>3.54</v>
      </c>
      <c r="V42" s="263">
        <f t="shared" si="5"/>
        <v>3.54</v>
      </c>
      <c r="W42" s="263">
        <f t="shared" si="5"/>
        <v>3.54</v>
      </c>
      <c r="X42" s="263">
        <f t="shared" si="5"/>
        <v>3.54</v>
      </c>
      <c r="Y42" s="263">
        <f t="shared" si="5"/>
        <v>3.54</v>
      </c>
      <c r="Z42" s="263">
        <f t="shared" si="5"/>
        <v>3.54</v>
      </c>
      <c r="AA42" s="275">
        <v>3.54</v>
      </c>
      <c r="AB42" s="263">
        <f t="shared" si="5"/>
        <v>3.54</v>
      </c>
      <c r="AC42" s="263">
        <f t="shared" si="5"/>
        <v>3.54</v>
      </c>
      <c r="AD42" s="263">
        <f t="shared" si="5"/>
        <v>3.54</v>
      </c>
      <c r="AE42" s="263">
        <f t="shared" si="5"/>
        <v>3.54</v>
      </c>
      <c r="AF42" s="263">
        <f t="shared" si="5"/>
        <v>3.54</v>
      </c>
      <c r="AG42" s="26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262">
        <f t="shared" ref="B43:AF43" si="6">SUM(B31:B42)</f>
        <v>365.6400000000001</v>
      </c>
      <c r="C43" s="262">
        <f t="shared" si="6"/>
        <v>365.94000000000011</v>
      </c>
      <c r="D43" s="262">
        <f t="shared" si="6"/>
        <v>366.54</v>
      </c>
      <c r="E43" s="262">
        <f t="shared" si="6"/>
        <v>366.14000000000004</v>
      </c>
      <c r="F43" s="262">
        <f t="shared" si="6"/>
        <v>347.54</v>
      </c>
      <c r="G43" s="262">
        <f t="shared" si="6"/>
        <v>353.44000000000005</v>
      </c>
      <c r="H43" s="262">
        <f t="shared" si="6"/>
        <v>345.94000000000011</v>
      </c>
      <c r="I43" s="262">
        <f t="shared" si="6"/>
        <v>359.6400000000001</v>
      </c>
      <c r="J43" s="262">
        <f t="shared" si="6"/>
        <v>352.64000000000004</v>
      </c>
      <c r="K43" s="262">
        <f t="shared" si="6"/>
        <v>365.24000000000007</v>
      </c>
      <c r="L43" s="262">
        <f t="shared" si="6"/>
        <v>362.94</v>
      </c>
      <c r="M43" s="262">
        <f t="shared" si="6"/>
        <v>349.94</v>
      </c>
      <c r="N43" s="262">
        <f t="shared" si="6"/>
        <v>340.94</v>
      </c>
      <c r="O43" s="262">
        <f t="shared" si="6"/>
        <v>351.04</v>
      </c>
      <c r="P43" s="262">
        <f t="shared" si="6"/>
        <v>351.04</v>
      </c>
      <c r="Q43" s="262">
        <f t="shared" si="6"/>
        <v>374.34000000000003</v>
      </c>
      <c r="R43" s="262">
        <f t="shared" si="6"/>
        <v>361.53999999999996</v>
      </c>
      <c r="S43" s="262">
        <f t="shared" si="6"/>
        <v>338.43999999999994</v>
      </c>
      <c r="T43" s="262">
        <f t="shared" si="6"/>
        <v>347.43999999999994</v>
      </c>
      <c r="U43" s="262">
        <f t="shared" si="6"/>
        <v>367.23999999999995</v>
      </c>
      <c r="V43" s="262">
        <f t="shared" si="6"/>
        <v>350.24</v>
      </c>
      <c r="W43" s="262">
        <f t="shared" si="6"/>
        <v>366.84000000000003</v>
      </c>
      <c r="X43" s="262">
        <f t="shared" si="6"/>
        <v>372.84000000000003</v>
      </c>
      <c r="Y43" s="262">
        <f t="shared" si="6"/>
        <v>372.84000000000003</v>
      </c>
      <c r="Z43" s="262">
        <f t="shared" si="6"/>
        <v>370.24</v>
      </c>
      <c r="AA43" s="262">
        <f t="shared" si="6"/>
        <v>374.24000000000007</v>
      </c>
      <c r="AB43" s="262">
        <f t="shared" si="6"/>
        <v>372.94000000000005</v>
      </c>
      <c r="AC43" s="262">
        <f t="shared" si="6"/>
        <v>373.34000000000009</v>
      </c>
      <c r="AD43" s="262">
        <f t="shared" si="6"/>
        <v>373.04000000000013</v>
      </c>
      <c r="AE43" s="262">
        <f t="shared" si="6"/>
        <v>373.54000000000008</v>
      </c>
      <c r="AF43" s="262">
        <f t="shared" si="6"/>
        <v>366.64000000000004</v>
      </c>
      <c r="AG43" s="74">
        <f>SUM(AG31:AG42)</f>
        <v>464.91</v>
      </c>
      <c r="AH43" s="52">
        <f t="shared" si="2"/>
        <v>374.34000000000003</v>
      </c>
      <c r="AI43" s="53">
        <f t="shared" si="3"/>
        <v>338.43999999999994</v>
      </c>
      <c r="AK43" s="54"/>
    </row>
    <row r="44" spans="1:41" ht="15.75" x14ac:dyDescent="0.25">
      <c r="A44" s="55" t="s">
        <v>51</v>
      </c>
      <c r="B44" s="258">
        <v>50</v>
      </c>
      <c r="C44" s="258">
        <v>30</v>
      </c>
      <c r="D44" s="258">
        <v>29.4</v>
      </c>
      <c r="E44" s="258">
        <v>0</v>
      </c>
      <c r="F44" s="258">
        <v>0</v>
      </c>
      <c r="G44" s="258">
        <v>0</v>
      </c>
      <c r="H44" s="258">
        <v>0</v>
      </c>
      <c r="I44" s="258">
        <v>0</v>
      </c>
      <c r="J44" s="258">
        <v>0</v>
      </c>
      <c r="K44" s="258">
        <v>0</v>
      </c>
      <c r="L44" s="75">
        <v>30</v>
      </c>
      <c r="M44" s="75">
        <v>59.6</v>
      </c>
      <c r="N44" s="75">
        <v>50.1</v>
      </c>
      <c r="O44" s="75">
        <v>50</v>
      </c>
      <c r="P44" s="252">
        <v>49.9</v>
      </c>
      <c r="Q44" s="252">
        <v>49.6</v>
      </c>
      <c r="R44" s="252">
        <v>49.6</v>
      </c>
      <c r="S44" s="252">
        <v>30</v>
      </c>
      <c r="T44" s="252">
        <v>30</v>
      </c>
      <c r="U44" s="252">
        <v>30</v>
      </c>
      <c r="V44" s="252">
        <v>30</v>
      </c>
      <c r="W44" s="252">
        <v>30</v>
      </c>
      <c r="X44" s="252">
        <v>50</v>
      </c>
      <c r="Y44" s="252">
        <v>50</v>
      </c>
      <c r="Z44" s="252">
        <v>54</v>
      </c>
      <c r="AA44" s="277">
        <v>55</v>
      </c>
      <c r="AB44" s="252">
        <v>57.8</v>
      </c>
      <c r="AC44" s="252">
        <v>46.4</v>
      </c>
      <c r="AD44" s="252">
        <v>50</v>
      </c>
      <c r="AE44" s="252">
        <v>35</v>
      </c>
      <c r="AF44" s="252">
        <v>30.6</v>
      </c>
      <c r="AG44" s="57">
        <v>60</v>
      </c>
      <c r="AH44" s="52">
        <f t="shared" si="2"/>
        <v>59.6</v>
      </c>
      <c r="AI44" s="53">
        <f t="shared" si="3"/>
        <v>0</v>
      </c>
      <c r="AK44" s="54"/>
    </row>
    <row r="45" spans="1:41" ht="15.75" x14ac:dyDescent="0.25">
      <c r="A45" s="58" t="s">
        <v>52</v>
      </c>
      <c r="B45" s="258">
        <v>20</v>
      </c>
      <c r="C45" s="258">
        <v>15</v>
      </c>
      <c r="D45" s="258">
        <v>14.6</v>
      </c>
      <c r="E45" s="258">
        <v>0</v>
      </c>
      <c r="F45" s="258">
        <v>0</v>
      </c>
      <c r="G45" s="258">
        <v>0</v>
      </c>
      <c r="H45" s="258">
        <v>0</v>
      </c>
      <c r="I45" s="258">
        <v>0</v>
      </c>
      <c r="J45" s="258">
        <v>0</v>
      </c>
      <c r="K45" s="258">
        <v>0</v>
      </c>
      <c r="L45" s="75">
        <v>16</v>
      </c>
      <c r="M45" s="75">
        <v>30.4</v>
      </c>
      <c r="N45" s="75">
        <v>23.9</v>
      </c>
      <c r="O45" s="75">
        <v>24.3</v>
      </c>
      <c r="P45" s="253">
        <v>24.9</v>
      </c>
      <c r="Q45" s="253">
        <v>24</v>
      </c>
      <c r="R45" s="252">
        <v>24.1</v>
      </c>
      <c r="S45" s="252">
        <v>15.7</v>
      </c>
      <c r="T45" s="252">
        <v>16</v>
      </c>
      <c r="U45" s="252">
        <v>16.399999999999999</v>
      </c>
      <c r="V45" s="252">
        <v>16.399999999999999</v>
      </c>
      <c r="W45" s="252">
        <v>16.399999999999999</v>
      </c>
      <c r="X45" s="252">
        <v>19.7</v>
      </c>
      <c r="Y45" s="253">
        <v>27.4</v>
      </c>
      <c r="Z45" s="253">
        <v>24.4</v>
      </c>
      <c r="AA45" s="276">
        <v>27</v>
      </c>
      <c r="AB45" s="253">
        <v>22.9</v>
      </c>
      <c r="AC45" s="253">
        <v>30.4</v>
      </c>
      <c r="AD45" s="253">
        <v>24.8</v>
      </c>
      <c r="AE45" s="253">
        <v>14.2</v>
      </c>
      <c r="AF45" s="253">
        <v>19.399999999999999</v>
      </c>
      <c r="AG45" s="59">
        <v>32</v>
      </c>
      <c r="AH45" s="52">
        <f t="shared" si="2"/>
        <v>30.4</v>
      </c>
      <c r="AI45" s="53">
        <f t="shared" si="3"/>
        <v>0</v>
      </c>
      <c r="AK45" s="54"/>
    </row>
    <row r="46" spans="1:41" ht="16.5" thickBot="1" x14ac:dyDescent="0.3">
      <c r="A46" s="72" t="s">
        <v>53</v>
      </c>
      <c r="B46" s="71">
        <v>7</v>
      </c>
      <c r="C46" s="71">
        <v>6</v>
      </c>
      <c r="D46" s="71">
        <v>5.3</v>
      </c>
      <c r="E46" s="71">
        <v>0</v>
      </c>
      <c r="F46" s="71">
        <v>0</v>
      </c>
      <c r="G46" s="71">
        <v>0</v>
      </c>
      <c r="H46" s="258">
        <v>0</v>
      </c>
      <c r="I46" s="258">
        <v>0</v>
      </c>
      <c r="J46" s="258">
        <v>0</v>
      </c>
      <c r="K46" s="258">
        <v>0</v>
      </c>
      <c r="L46" s="76">
        <v>5.9</v>
      </c>
      <c r="M46" s="76">
        <v>11.1</v>
      </c>
      <c r="N46" s="76">
        <v>8.6999999999999993</v>
      </c>
      <c r="O46" s="76">
        <v>8.9</v>
      </c>
      <c r="P46" s="264">
        <v>8.9</v>
      </c>
      <c r="Q46" s="264">
        <v>8.8000000000000007</v>
      </c>
      <c r="R46" s="252">
        <v>11</v>
      </c>
      <c r="S46" s="252">
        <v>5.7</v>
      </c>
      <c r="T46" s="252">
        <v>6</v>
      </c>
      <c r="U46" s="252">
        <v>7</v>
      </c>
      <c r="V46" s="252">
        <v>7</v>
      </c>
      <c r="W46" s="252">
        <v>7</v>
      </c>
      <c r="X46" s="252">
        <v>8</v>
      </c>
      <c r="Y46" s="264">
        <v>14</v>
      </c>
      <c r="Z46" s="264">
        <v>12</v>
      </c>
      <c r="AA46" s="278">
        <v>14</v>
      </c>
      <c r="AB46" s="264">
        <v>8.3000000000000007</v>
      </c>
      <c r="AC46" s="264">
        <v>11.1</v>
      </c>
      <c r="AD46" s="264">
        <v>9.1</v>
      </c>
      <c r="AE46" s="264">
        <v>5.2</v>
      </c>
      <c r="AF46" s="264">
        <v>7.1</v>
      </c>
      <c r="AG46" s="78">
        <v>14</v>
      </c>
      <c r="AH46" s="52">
        <f t="shared" si="2"/>
        <v>14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262">
        <f>SUM(B44:B46)</f>
        <v>77</v>
      </c>
      <c r="C47" s="262">
        <f t="shared" ref="C47:AF47" si="7">SUM(C44:C46)</f>
        <v>51</v>
      </c>
      <c r="D47" s="262">
        <f t="shared" si="7"/>
        <v>49.3</v>
      </c>
      <c r="E47" s="262">
        <f t="shared" si="7"/>
        <v>0</v>
      </c>
      <c r="F47" s="262">
        <f t="shared" si="7"/>
        <v>0</v>
      </c>
      <c r="G47" s="262">
        <f t="shared" si="7"/>
        <v>0</v>
      </c>
      <c r="H47" s="262">
        <f t="shared" si="7"/>
        <v>0</v>
      </c>
      <c r="I47" s="262">
        <f t="shared" si="7"/>
        <v>0</v>
      </c>
      <c r="J47" s="262">
        <f t="shared" si="7"/>
        <v>0</v>
      </c>
      <c r="K47" s="262">
        <f t="shared" si="7"/>
        <v>0</v>
      </c>
      <c r="L47" s="262">
        <f t="shared" si="7"/>
        <v>51.9</v>
      </c>
      <c r="M47" s="262">
        <f t="shared" si="7"/>
        <v>101.1</v>
      </c>
      <c r="N47" s="262">
        <f t="shared" si="7"/>
        <v>82.7</v>
      </c>
      <c r="O47" s="262">
        <f t="shared" si="7"/>
        <v>83.2</v>
      </c>
      <c r="P47" s="262">
        <f t="shared" si="7"/>
        <v>83.7</v>
      </c>
      <c r="Q47" s="262">
        <f t="shared" si="7"/>
        <v>82.399999999999991</v>
      </c>
      <c r="R47" s="262">
        <f t="shared" si="7"/>
        <v>84.7</v>
      </c>
      <c r="S47" s="262">
        <f t="shared" si="7"/>
        <v>51.400000000000006</v>
      </c>
      <c r="T47" s="262">
        <f t="shared" si="7"/>
        <v>52</v>
      </c>
      <c r="U47" s="262">
        <f t="shared" si="7"/>
        <v>53.4</v>
      </c>
      <c r="V47" s="262">
        <f t="shared" si="7"/>
        <v>53.4</v>
      </c>
      <c r="W47" s="262">
        <f t="shared" si="7"/>
        <v>53.4</v>
      </c>
      <c r="X47" s="262">
        <f t="shared" si="7"/>
        <v>77.7</v>
      </c>
      <c r="Y47" s="262">
        <f t="shared" si="7"/>
        <v>91.4</v>
      </c>
      <c r="Z47" s="262">
        <f t="shared" si="7"/>
        <v>90.4</v>
      </c>
      <c r="AA47" s="262">
        <f t="shared" si="7"/>
        <v>96</v>
      </c>
      <c r="AB47" s="262">
        <f t="shared" si="7"/>
        <v>88.999999999999986</v>
      </c>
      <c r="AC47" s="262">
        <f t="shared" si="7"/>
        <v>87.899999999999991</v>
      </c>
      <c r="AD47" s="262">
        <f t="shared" si="7"/>
        <v>83.899999999999991</v>
      </c>
      <c r="AE47" s="262">
        <f t="shared" si="7"/>
        <v>54.400000000000006</v>
      </c>
      <c r="AF47" s="262">
        <f t="shared" si="7"/>
        <v>57.1</v>
      </c>
      <c r="AG47" s="74">
        <f>SUM(AG44:AG46)</f>
        <v>106</v>
      </c>
      <c r="AH47" s="52">
        <f t="shared" si="2"/>
        <v>101.1</v>
      </c>
      <c r="AI47" s="53">
        <f t="shared" si="3"/>
        <v>0</v>
      </c>
      <c r="AK47" s="54"/>
    </row>
    <row r="48" spans="1:41" ht="15.75" x14ac:dyDescent="0.25">
      <c r="A48" s="55" t="s">
        <v>55</v>
      </c>
      <c r="B48" s="252">
        <v>50</v>
      </c>
      <c r="C48" s="252">
        <v>44.5</v>
      </c>
      <c r="D48" s="252">
        <v>41.58</v>
      </c>
      <c r="E48" s="252">
        <v>40.799999999999997</v>
      </c>
      <c r="F48" s="252">
        <v>39</v>
      </c>
      <c r="G48" s="252">
        <v>35</v>
      </c>
      <c r="H48" s="252">
        <v>31.5</v>
      </c>
      <c r="I48" s="252">
        <v>27.7</v>
      </c>
      <c r="J48" s="252">
        <v>27.5</v>
      </c>
      <c r="K48" s="252">
        <v>27.7</v>
      </c>
      <c r="L48" s="252">
        <v>29</v>
      </c>
      <c r="M48" s="252">
        <v>48.9</v>
      </c>
      <c r="N48" s="252">
        <v>65</v>
      </c>
      <c r="O48" s="252">
        <v>68</v>
      </c>
      <c r="P48" s="252">
        <v>58</v>
      </c>
      <c r="Q48" s="252">
        <v>58</v>
      </c>
      <c r="R48" s="252">
        <v>59.1</v>
      </c>
      <c r="S48" s="252">
        <v>50</v>
      </c>
      <c r="T48" s="252">
        <v>44</v>
      </c>
      <c r="U48" s="252">
        <v>34</v>
      </c>
      <c r="V48" s="252">
        <v>36</v>
      </c>
      <c r="W48" s="252">
        <v>42</v>
      </c>
      <c r="X48" s="252">
        <v>46</v>
      </c>
      <c r="Y48" s="252">
        <v>44</v>
      </c>
      <c r="Z48" s="252">
        <v>50</v>
      </c>
      <c r="AA48" s="279">
        <v>62</v>
      </c>
      <c r="AB48" s="252">
        <v>64.599999999999994</v>
      </c>
      <c r="AC48" s="252">
        <v>67.3</v>
      </c>
      <c r="AD48" s="252">
        <v>64.7</v>
      </c>
      <c r="AE48" s="252">
        <v>57.2</v>
      </c>
      <c r="AF48" s="252">
        <v>54.9</v>
      </c>
      <c r="AG48" s="57"/>
      <c r="AH48" s="52">
        <f t="shared" si="2"/>
        <v>68</v>
      </c>
      <c r="AI48" s="53">
        <f t="shared" si="3"/>
        <v>27.5</v>
      </c>
      <c r="AK48" s="54"/>
    </row>
    <row r="49" spans="1:37" ht="15.75" x14ac:dyDescent="0.25">
      <c r="A49" s="58" t="s">
        <v>56</v>
      </c>
      <c r="B49" s="253">
        <v>0</v>
      </c>
      <c r="C49" s="253">
        <v>0</v>
      </c>
      <c r="D49" s="253">
        <v>0</v>
      </c>
      <c r="E49" s="253">
        <v>0</v>
      </c>
      <c r="F49" s="253">
        <v>0</v>
      </c>
      <c r="G49" s="253">
        <v>0</v>
      </c>
      <c r="H49" s="253">
        <v>0</v>
      </c>
      <c r="I49" s="253">
        <v>0</v>
      </c>
      <c r="J49" s="253">
        <v>0</v>
      </c>
      <c r="K49" s="253">
        <v>0</v>
      </c>
      <c r="L49" s="252">
        <v>0</v>
      </c>
      <c r="M49" s="252">
        <v>0</v>
      </c>
      <c r="N49" s="252">
        <v>0</v>
      </c>
      <c r="O49" s="252">
        <v>0</v>
      </c>
      <c r="P49" s="252">
        <v>0</v>
      </c>
      <c r="Q49" s="252">
        <v>0</v>
      </c>
      <c r="R49" s="252">
        <v>0</v>
      </c>
      <c r="S49" s="252">
        <v>46.9</v>
      </c>
      <c r="T49" s="252">
        <v>54</v>
      </c>
      <c r="U49" s="254">
        <v>0</v>
      </c>
      <c r="V49" s="254">
        <v>0</v>
      </c>
      <c r="W49" s="254">
        <v>0</v>
      </c>
      <c r="X49" s="254">
        <v>0</v>
      </c>
      <c r="Y49" s="254">
        <v>55</v>
      </c>
      <c r="Z49" s="254">
        <f>68+10</f>
        <v>78</v>
      </c>
      <c r="AA49" s="280">
        <v>83</v>
      </c>
      <c r="AB49" s="253">
        <v>72.2</v>
      </c>
      <c r="AC49" s="253">
        <v>73.2</v>
      </c>
      <c r="AD49" s="253">
        <v>64.099999999999994</v>
      </c>
      <c r="AE49" s="253">
        <v>57</v>
      </c>
      <c r="AF49" s="253">
        <v>127</v>
      </c>
      <c r="AG49" s="59"/>
      <c r="AH49" s="52">
        <f t="shared" si="2"/>
        <v>127</v>
      </c>
      <c r="AI49" s="53">
        <f t="shared" si="3"/>
        <v>0</v>
      </c>
      <c r="AK49" s="54"/>
    </row>
    <row r="50" spans="1:37" ht="15.75" x14ac:dyDescent="0.25">
      <c r="A50" s="58" t="s">
        <v>57</v>
      </c>
      <c r="B50" s="253">
        <v>75</v>
      </c>
      <c r="C50" s="253">
        <v>80</v>
      </c>
      <c r="D50" s="253">
        <v>75</v>
      </c>
      <c r="E50" s="253">
        <v>92</v>
      </c>
      <c r="F50" s="253">
        <v>75</v>
      </c>
      <c r="G50" s="252">
        <v>66</v>
      </c>
      <c r="H50" s="252">
        <v>66</v>
      </c>
      <c r="I50" s="252">
        <v>81</v>
      </c>
      <c r="J50" s="252">
        <v>100</v>
      </c>
      <c r="K50" s="252">
        <v>90</v>
      </c>
      <c r="L50" s="253">
        <v>120</v>
      </c>
      <c r="M50" s="253">
        <v>106</v>
      </c>
      <c r="N50" s="253">
        <v>126</v>
      </c>
      <c r="O50" s="253">
        <v>110</v>
      </c>
      <c r="P50" s="253">
        <v>100</v>
      </c>
      <c r="Q50" s="253">
        <v>120</v>
      </c>
      <c r="R50" s="253">
        <v>118</v>
      </c>
      <c r="S50" s="253">
        <v>132</v>
      </c>
      <c r="T50" s="253">
        <v>75</v>
      </c>
      <c r="U50" s="265">
        <v>91</v>
      </c>
      <c r="V50" s="265">
        <v>116</v>
      </c>
      <c r="W50" s="265">
        <v>101</v>
      </c>
      <c r="X50" s="265">
        <v>140</v>
      </c>
      <c r="Y50" s="265">
        <v>111</v>
      </c>
      <c r="Z50" s="265">
        <v>163</v>
      </c>
      <c r="AA50" s="280">
        <v>163</v>
      </c>
      <c r="AB50" s="253">
        <v>143.5</v>
      </c>
      <c r="AC50" s="253">
        <v>133.1</v>
      </c>
      <c r="AD50" s="253">
        <v>118</v>
      </c>
      <c r="AE50" s="253">
        <v>77</v>
      </c>
      <c r="AF50" s="253">
        <v>0</v>
      </c>
      <c r="AG50" s="81"/>
      <c r="AH50" s="52">
        <f t="shared" si="2"/>
        <v>163</v>
      </c>
      <c r="AI50" s="53">
        <f t="shared" si="3"/>
        <v>0</v>
      </c>
      <c r="AK50" s="54"/>
    </row>
    <row r="51" spans="1:37" ht="15.75" x14ac:dyDescent="0.25">
      <c r="A51" s="58" t="s">
        <v>58</v>
      </c>
      <c r="B51" s="256">
        <v>0</v>
      </c>
      <c r="C51" s="256">
        <v>0</v>
      </c>
      <c r="D51" s="256">
        <v>0</v>
      </c>
      <c r="E51" s="256">
        <v>0</v>
      </c>
      <c r="F51" s="256">
        <v>0</v>
      </c>
      <c r="G51" s="256">
        <v>0</v>
      </c>
      <c r="H51" s="256">
        <v>0</v>
      </c>
      <c r="I51" s="256">
        <v>0</v>
      </c>
      <c r="J51" s="256">
        <v>0</v>
      </c>
      <c r="K51" s="256">
        <v>0</v>
      </c>
      <c r="L51" s="256">
        <v>0</v>
      </c>
      <c r="M51" s="253">
        <v>0</v>
      </c>
      <c r="N51" s="253">
        <v>0</v>
      </c>
      <c r="O51" s="253">
        <v>0</v>
      </c>
      <c r="P51" s="253">
        <v>0</v>
      </c>
      <c r="Q51" s="253">
        <v>0</v>
      </c>
      <c r="R51" s="253">
        <v>0</v>
      </c>
      <c r="S51" s="253">
        <v>0</v>
      </c>
      <c r="T51" s="253">
        <v>0</v>
      </c>
      <c r="U51" s="253">
        <v>0</v>
      </c>
      <c r="V51" s="253">
        <v>0</v>
      </c>
      <c r="W51" s="253">
        <v>0</v>
      </c>
      <c r="X51" s="253">
        <v>0</v>
      </c>
      <c r="Y51" s="253">
        <v>0</v>
      </c>
      <c r="Z51" s="253">
        <v>0</v>
      </c>
      <c r="AA51" s="280">
        <v>0</v>
      </c>
      <c r="AB51" s="290">
        <v>0</v>
      </c>
      <c r="AC51" s="290">
        <v>0</v>
      </c>
      <c r="AD51" s="290">
        <v>0</v>
      </c>
      <c r="AE51" s="290">
        <v>0</v>
      </c>
      <c r="AF51" s="290">
        <v>0</v>
      </c>
      <c r="AG51" s="81"/>
      <c r="AH51" s="52">
        <f t="shared" si="2"/>
        <v>0</v>
      </c>
      <c r="AI51" s="53">
        <f t="shared" si="3"/>
        <v>0</v>
      </c>
      <c r="AK51" s="54"/>
    </row>
    <row r="52" spans="1:37" ht="15.75" x14ac:dyDescent="0.25">
      <c r="A52" s="58" t="s">
        <v>59</v>
      </c>
      <c r="B52" s="256">
        <v>0</v>
      </c>
      <c r="C52" s="256">
        <v>0</v>
      </c>
      <c r="D52" s="256">
        <v>0</v>
      </c>
      <c r="E52" s="256">
        <v>0</v>
      </c>
      <c r="F52" s="256">
        <v>0</v>
      </c>
      <c r="G52" s="256">
        <v>0</v>
      </c>
      <c r="H52" s="256">
        <v>0</v>
      </c>
      <c r="I52" s="256">
        <v>0</v>
      </c>
      <c r="J52" s="256">
        <v>0</v>
      </c>
      <c r="K52" s="256">
        <v>0</v>
      </c>
      <c r="L52" s="256">
        <v>0</v>
      </c>
      <c r="M52" s="256">
        <v>0</v>
      </c>
      <c r="N52" s="252">
        <v>0</v>
      </c>
      <c r="O52" s="252">
        <v>0</v>
      </c>
      <c r="P52" s="252">
        <v>0</v>
      </c>
      <c r="Q52" s="252">
        <v>0</v>
      </c>
      <c r="R52" s="252">
        <v>0</v>
      </c>
      <c r="S52" s="252">
        <v>0</v>
      </c>
      <c r="T52" s="252">
        <v>0</v>
      </c>
      <c r="U52" s="252">
        <v>0</v>
      </c>
      <c r="V52" s="252">
        <v>0</v>
      </c>
      <c r="W52" s="252">
        <v>0</v>
      </c>
      <c r="X52" s="252">
        <v>0</v>
      </c>
      <c r="Y52" s="252">
        <v>0</v>
      </c>
      <c r="Z52" s="252">
        <v>0</v>
      </c>
      <c r="AA52" s="280">
        <v>0</v>
      </c>
      <c r="AB52" s="290">
        <v>0</v>
      </c>
      <c r="AC52" s="290">
        <v>0</v>
      </c>
      <c r="AD52" s="290">
        <v>0</v>
      </c>
      <c r="AE52" s="290">
        <v>0</v>
      </c>
      <c r="AF52" s="290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ht="15.75" x14ac:dyDescent="0.25">
      <c r="A53" s="58" t="s">
        <v>60</v>
      </c>
      <c r="B53" s="256">
        <v>0</v>
      </c>
      <c r="C53" s="256">
        <v>0</v>
      </c>
      <c r="D53" s="253">
        <v>0</v>
      </c>
      <c r="E53" s="253">
        <v>0</v>
      </c>
      <c r="F53" s="253">
        <v>0</v>
      </c>
      <c r="G53" s="253">
        <v>0</v>
      </c>
      <c r="H53" s="256">
        <v>0</v>
      </c>
      <c r="I53" s="256">
        <v>0</v>
      </c>
      <c r="J53" s="256">
        <v>0</v>
      </c>
      <c r="K53" s="256">
        <v>0</v>
      </c>
      <c r="L53" s="256">
        <v>0</v>
      </c>
      <c r="M53" s="256">
        <v>0</v>
      </c>
      <c r="N53" s="255">
        <v>0</v>
      </c>
      <c r="O53" s="255">
        <v>0</v>
      </c>
      <c r="P53" s="255">
        <v>0</v>
      </c>
      <c r="Q53" s="255">
        <v>0</v>
      </c>
      <c r="R53" s="255">
        <v>0</v>
      </c>
      <c r="S53" s="255">
        <v>0</v>
      </c>
      <c r="T53" s="255">
        <v>0</v>
      </c>
      <c r="U53" s="255">
        <v>0</v>
      </c>
      <c r="V53" s="255">
        <v>0</v>
      </c>
      <c r="W53" s="255">
        <v>0</v>
      </c>
      <c r="X53" s="255">
        <v>0</v>
      </c>
      <c r="Y53" s="255">
        <v>0</v>
      </c>
      <c r="Z53" s="255">
        <v>0</v>
      </c>
      <c r="AA53" s="280">
        <v>0</v>
      </c>
      <c r="AB53" s="290">
        <v>0</v>
      </c>
      <c r="AC53" s="290">
        <v>0</v>
      </c>
      <c r="AD53" s="290">
        <v>0</v>
      </c>
      <c r="AE53" s="290">
        <v>0</v>
      </c>
      <c r="AF53" s="290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ht="15.75" x14ac:dyDescent="0.25">
      <c r="A54" s="58" t="s">
        <v>61</v>
      </c>
      <c r="B54" s="256">
        <v>0</v>
      </c>
      <c r="C54" s="256">
        <v>0</v>
      </c>
      <c r="D54" s="253">
        <v>0</v>
      </c>
      <c r="E54" s="253">
        <v>0</v>
      </c>
      <c r="F54" s="253">
        <v>0</v>
      </c>
      <c r="G54" s="252">
        <v>0</v>
      </c>
      <c r="H54" s="256">
        <v>0</v>
      </c>
      <c r="I54" s="256">
        <v>0</v>
      </c>
      <c r="J54" s="256">
        <v>0</v>
      </c>
      <c r="K54" s="256">
        <v>0</v>
      </c>
      <c r="L54" s="256">
        <v>0</v>
      </c>
      <c r="M54" s="256">
        <v>0</v>
      </c>
      <c r="N54" s="255">
        <v>0</v>
      </c>
      <c r="O54" s="255">
        <v>0</v>
      </c>
      <c r="P54" s="255">
        <v>0</v>
      </c>
      <c r="Q54" s="255">
        <v>0</v>
      </c>
      <c r="R54" s="255">
        <v>0</v>
      </c>
      <c r="S54" s="255">
        <v>0</v>
      </c>
      <c r="T54" s="255">
        <v>0</v>
      </c>
      <c r="U54" s="255">
        <v>0</v>
      </c>
      <c r="V54" s="255">
        <v>0</v>
      </c>
      <c r="W54" s="255">
        <v>0</v>
      </c>
      <c r="X54" s="255">
        <v>0</v>
      </c>
      <c r="Y54" s="255">
        <v>0</v>
      </c>
      <c r="Z54" s="255">
        <v>0</v>
      </c>
      <c r="AA54" s="280">
        <v>0</v>
      </c>
      <c r="AB54" s="290">
        <v>0</v>
      </c>
      <c r="AC54" s="290">
        <v>0</v>
      </c>
      <c r="AD54" s="290">
        <v>0</v>
      </c>
      <c r="AE54" s="290">
        <v>0</v>
      </c>
      <c r="AF54" s="290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ht="15.75" x14ac:dyDescent="0.25">
      <c r="A55" s="58" t="s">
        <v>62</v>
      </c>
      <c r="B55" s="256">
        <v>0</v>
      </c>
      <c r="C55" s="256">
        <v>0</v>
      </c>
      <c r="D55" s="256">
        <v>0</v>
      </c>
      <c r="E55" s="256">
        <v>0</v>
      </c>
      <c r="F55" s="256">
        <v>0</v>
      </c>
      <c r="G55" s="256">
        <v>0</v>
      </c>
      <c r="H55" s="256">
        <v>0</v>
      </c>
      <c r="I55" s="256">
        <v>0</v>
      </c>
      <c r="J55" s="256">
        <v>0</v>
      </c>
      <c r="K55" s="256">
        <v>0</v>
      </c>
      <c r="L55" s="256">
        <v>0</v>
      </c>
      <c r="M55" s="256">
        <v>0</v>
      </c>
      <c r="N55" s="256">
        <v>0</v>
      </c>
      <c r="O55" s="256">
        <v>0</v>
      </c>
      <c r="P55" s="256">
        <v>0</v>
      </c>
      <c r="Q55" s="256">
        <v>0</v>
      </c>
      <c r="R55" s="256">
        <v>0</v>
      </c>
      <c r="S55" s="256">
        <v>0</v>
      </c>
      <c r="T55" s="256">
        <v>0</v>
      </c>
      <c r="U55" s="256">
        <v>0</v>
      </c>
      <c r="V55" s="256">
        <v>0</v>
      </c>
      <c r="W55" s="256">
        <v>0</v>
      </c>
      <c r="X55" s="256">
        <v>0</v>
      </c>
      <c r="Y55" s="256">
        <v>0</v>
      </c>
      <c r="Z55" s="256">
        <v>0</v>
      </c>
      <c r="AA55" s="280">
        <v>0</v>
      </c>
      <c r="AB55" s="290">
        <v>0</v>
      </c>
      <c r="AC55" s="290">
        <v>0</v>
      </c>
      <c r="AD55" s="290">
        <v>10</v>
      </c>
      <c r="AE55" s="290">
        <v>10</v>
      </c>
      <c r="AF55" s="290">
        <v>10</v>
      </c>
      <c r="AG55" s="81"/>
      <c r="AH55" s="52">
        <f t="shared" si="2"/>
        <v>10</v>
      </c>
      <c r="AI55" s="53">
        <f t="shared" si="3"/>
        <v>0</v>
      </c>
      <c r="AK55" s="54"/>
    </row>
    <row r="56" spans="1:37" ht="15.75" x14ac:dyDescent="0.25">
      <c r="A56" s="58" t="s">
        <v>63</v>
      </c>
      <c r="B56" s="256">
        <v>0</v>
      </c>
      <c r="C56" s="256">
        <v>0</v>
      </c>
      <c r="D56" s="256">
        <v>0</v>
      </c>
      <c r="E56" s="256">
        <v>0</v>
      </c>
      <c r="F56" s="256">
        <v>0</v>
      </c>
      <c r="G56" s="256">
        <v>0</v>
      </c>
      <c r="H56" s="256">
        <v>0</v>
      </c>
      <c r="I56" s="256">
        <v>0</v>
      </c>
      <c r="J56" s="256">
        <v>0</v>
      </c>
      <c r="K56" s="256">
        <v>0</v>
      </c>
      <c r="L56" s="256">
        <v>0</v>
      </c>
      <c r="M56" s="256">
        <v>0</v>
      </c>
      <c r="N56" s="256">
        <v>0</v>
      </c>
      <c r="O56" s="256">
        <v>0</v>
      </c>
      <c r="P56" s="256">
        <v>0</v>
      </c>
      <c r="Q56" s="256">
        <v>0</v>
      </c>
      <c r="R56" s="256">
        <v>0</v>
      </c>
      <c r="S56" s="256">
        <v>0</v>
      </c>
      <c r="T56" s="256">
        <v>0</v>
      </c>
      <c r="U56" s="256">
        <v>0</v>
      </c>
      <c r="V56" s="256">
        <v>0</v>
      </c>
      <c r="W56" s="256">
        <v>0</v>
      </c>
      <c r="X56" s="256">
        <v>0</v>
      </c>
      <c r="Y56" s="256">
        <v>0</v>
      </c>
      <c r="Z56" s="256">
        <v>0</v>
      </c>
      <c r="AA56" s="280">
        <v>0</v>
      </c>
      <c r="AB56" s="290">
        <v>0</v>
      </c>
      <c r="AC56" s="290">
        <v>0</v>
      </c>
      <c r="AD56" s="290">
        <v>0</v>
      </c>
      <c r="AE56" s="290">
        <v>0</v>
      </c>
      <c r="AF56" s="290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5.75" x14ac:dyDescent="0.25">
      <c r="A57" s="84" t="s">
        <v>64</v>
      </c>
      <c r="B57" s="256">
        <v>0</v>
      </c>
      <c r="C57" s="256">
        <v>0</v>
      </c>
      <c r="D57" s="253">
        <v>0</v>
      </c>
      <c r="E57" s="253">
        <v>0</v>
      </c>
      <c r="F57" s="253">
        <v>0</v>
      </c>
      <c r="G57" s="253">
        <v>0</v>
      </c>
      <c r="H57" s="256">
        <v>0</v>
      </c>
      <c r="I57" s="256">
        <v>0</v>
      </c>
      <c r="J57" s="256">
        <v>0</v>
      </c>
      <c r="K57" s="256">
        <v>0</v>
      </c>
      <c r="L57" s="256">
        <v>0</v>
      </c>
      <c r="M57" s="256">
        <v>0</v>
      </c>
      <c r="N57" s="257">
        <v>0</v>
      </c>
      <c r="O57" s="257">
        <v>0</v>
      </c>
      <c r="P57" s="257">
        <v>0</v>
      </c>
      <c r="Q57" s="257">
        <v>0</v>
      </c>
      <c r="R57" s="257">
        <v>0</v>
      </c>
      <c r="S57" s="257">
        <v>0</v>
      </c>
      <c r="T57" s="257">
        <v>0</v>
      </c>
      <c r="U57" s="257">
        <v>0</v>
      </c>
      <c r="V57" s="257">
        <v>0</v>
      </c>
      <c r="W57" s="257">
        <v>0</v>
      </c>
      <c r="X57" s="257">
        <v>0</v>
      </c>
      <c r="Y57" s="257">
        <v>0</v>
      </c>
      <c r="Z57" s="257">
        <v>0</v>
      </c>
      <c r="AA57" s="280">
        <v>0</v>
      </c>
      <c r="AB57" s="290">
        <v>0</v>
      </c>
      <c r="AC57" s="290">
        <v>0</v>
      </c>
      <c r="AD57" s="290">
        <v>0</v>
      </c>
      <c r="AE57" s="290">
        <v>0</v>
      </c>
      <c r="AF57" s="290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6.5" thickBot="1" x14ac:dyDescent="0.3">
      <c r="A58" s="84" t="s">
        <v>65</v>
      </c>
      <c r="B58" s="256">
        <v>0</v>
      </c>
      <c r="C58" s="256">
        <v>0</v>
      </c>
      <c r="D58" s="253">
        <v>0</v>
      </c>
      <c r="E58" s="253">
        <v>0</v>
      </c>
      <c r="F58" s="253">
        <v>0</v>
      </c>
      <c r="G58" s="252">
        <v>0</v>
      </c>
      <c r="H58" s="256">
        <v>0</v>
      </c>
      <c r="I58" s="256">
        <v>0</v>
      </c>
      <c r="J58" s="256">
        <v>0</v>
      </c>
      <c r="K58" s="256">
        <v>0</v>
      </c>
      <c r="L58" s="256">
        <v>0</v>
      </c>
      <c r="M58" s="256">
        <v>0</v>
      </c>
      <c r="N58" s="257">
        <v>0</v>
      </c>
      <c r="O58" s="257">
        <v>0</v>
      </c>
      <c r="P58" s="257"/>
      <c r="Q58" s="257">
        <v>0</v>
      </c>
      <c r="R58" s="257">
        <v>0</v>
      </c>
      <c r="S58" s="257">
        <v>0</v>
      </c>
      <c r="T58" s="257">
        <v>0</v>
      </c>
      <c r="U58" s="257">
        <v>0</v>
      </c>
      <c r="V58" s="257">
        <v>0</v>
      </c>
      <c r="W58" s="257">
        <v>0</v>
      </c>
      <c r="X58" s="257">
        <v>0</v>
      </c>
      <c r="Y58" s="257">
        <v>0</v>
      </c>
      <c r="Z58" s="257">
        <v>0</v>
      </c>
      <c r="AA58" s="281">
        <v>0</v>
      </c>
      <c r="AB58" s="291">
        <v>0</v>
      </c>
      <c r="AC58" s="291">
        <v>0</v>
      </c>
      <c r="AD58" s="291">
        <v>0</v>
      </c>
      <c r="AE58" s="291">
        <v>0</v>
      </c>
      <c r="AF58" s="291">
        <v>0</v>
      </c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262">
        <f>SUM(B48:B58)</f>
        <v>125</v>
      </c>
      <c r="C59" s="262">
        <f t="shared" ref="C59:AF59" si="8">SUM(C48:C58)</f>
        <v>124.5</v>
      </c>
      <c r="D59" s="262">
        <f t="shared" si="8"/>
        <v>116.58</v>
      </c>
      <c r="E59" s="262">
        <f t="shared" si="8"/>
        <v>132.80000000000001</v>
      </c>
      <c r="F59" s="262">
        <f t="shared" si="8"/>
        <v>114</v>
      </c>
      <c r="G59" s="262">
        <f t="shared" si="8"/>
        <v>101</v>
      </c>
      <c r="H59" s="262">
        <f t="shared" si="8"/>
        <v>97.5</v>
      </c>
      <c r="I59" s="262">
        <f t="shared" si="8"/>
        <v>108.7</v>
      </c>
      <c r="J59" s="262">
        <f t="shared" si="8"/>
        <v>127.5</v>
      </c>
      <c r="K59" s="262">
        <f t="shared" si="8"/>
        <v>117.7</v>
      </c>
      <c r="L59" s="262">
        <f t="shared" si="8"/>
        <v>149</v>
      </c>
      <c r="M59" s="262">
        <f t="shared" si="8"/>
        <v>154.9</v>
      </c>
      <c r="N59" s="262">
        <f t="shared" si="8"/>
        <v>191</v>
      </c>
      <c r="O59" s="262">
        <f t="shared" si="8"/>
        <v>178</v>
      </c>
      <c r="P59" s="262">
        <f t="shared" si="8"/>
        <v>158</v>
      </c>
      <c r="Q59" s="262">
        <f>SUM(Q48:Q58)</f>
        <v>178</v>
      </c>
      <c r="R59" s="262">
        <f t="shared" si="8"/>
        <v>177.1</v>
      </c>
      <c r="S59" s="262">
        <f t="shared" si="8"/>
        <v>228.9</v>
      </c>
      <c r="T59" s="262">
        <f t="shared" si="8"/>
        <v>173</v>
      </c>
      <c r="U59" s="262">
        <f t="shared" si="8"/>
        <v>125</v>
      </c>
      <c r="V59" s="262">
        <f t="shared" si="8"/>
        <v>152</v>
      </c>
      <c r="W59" s="262">
        <f t="shared" si="8"/>
        <v>143</v>
      </c>
      <c r="X59" s="262">
        <f t="shared" si="8"/>
        <v>186</v>
      </c>
      <c r="Y59" s="262">
        <f t="shared" si="8"/>
        <v>210</v>
      </c>
      <c r="Z59" s="262">
        <f t="shared" si="8"/>
        <v>291</v>
      </c>
      <c r="AA59" s="262">
        <f t="shared" si="8"/>
        <v>308</v>
      </c>
      <c r="AB59" s="262">
        <f t="shared" si="8"/>
        <v>280.3</v>
      </c>
      <c r="AC59" s="262">
        <f t="shared" si="8"/>
        <v>273.60000000000002</v>
      </c>
      <c r="AD59" s="262">
        <f t="shared" si="8"/>
        <v>256.8</v>
      </c>
      <c r="AE59" s="262">
        <f t="shared" si="8"/>
        <v>201.2</v>
      </c>
      <c r="AF59" s="262">
        <f t="shared" si="8"/>
        <v>191.9</v>
      </c>
      <c r="AG59" s="74">
        <f>SUM(AG48:AG58)</f>
        <v>0</v>
      </c>
      <c r="AH59" s="52">
        <f t="shared" si="2"/>
        <v>308</v>
      </c>
      <c r="AI59" s="53">
        <f t="shared" si="3"/>
        <v>97.5</v>
      </c>
      <c r="AK59" s="54"/>
    </row>
    <row r="60" spans="1:37" x14ac:dyDescent="0.25">
      <c r="A60" s="55" t="s">
        <v>67</v>
      </c>
      <c r="B60" s="256">
        <v>0</v>
      </c>
      <c r="C60" s="256">
        <v>0</v>
      </c>
      <c r="D60" s="256">
        <v>0</v>
      </c>
      <c r="E60" s="256">
        <v>0</v>
      </c>
      <c r="F60" s="256">
        <v>0</v>
      </c>
      <c r="G60" s="256">
        <v>0</v>
      </c>
      <c r="H60" s="256">
        <v>0</v>
      </c>
      <c r="I60" s="256">
        <v>0</v>
      </c>
      <c r="J60" s="256">
        <v>0</v>
      </c>
      <c r="K60" s="256">
        <v>0</v>
      </c>
      <c r="L60" s="257">
        <v>0</v>
      </c>
      <c r="M60" s="257">
        <v>0</v>
      </c>
      <c r="N60" s="257">
        <v>0</v>
      </c>
      <c r="O60" s="257">
        <v>0</v>
      </c>
      <c r="P60" s="257">
        <v>0</v>
      </c>
      <c r="Q60" s="257">
        <v>0</v>
      </c>
      <c r="R60" s="257">
        <v>0</v>
      </c>
      <c r="S60" s="257">
        <v>0</v>
      </c>
      <c r="T60" s="257">
        <v>0</v>
      </c>
      <c r="U60" s="257">
        <v>0</v>
      </c>
      <c r="V60" s="257">
        <v>0</v>
      </c>
      <c r="W60" s="257">
        <v>0</v>
      </c>
      <c r="X60" s="257">
        <v>0</v>
      </c>
      <c r="Y60" s="257">
        <v>0</v>
      </c>
      <c r="Z60" s="257">
        <v>0</v>
      </c>
      <c r="AA60" s="256">
        <v>0</v>
      </c>
      <c r="AB60" s="256">
        <v>0</v>
      </c>
      <c r="AC60" s="256">
        <v>0</v>
      </c>
      <c r="AD60" s="256">
        <v>0</v>
      </c>
      <c r="AE60" s="256">
        <v>0</v>
      </c>
      <c r="AF60" s="256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255">
        <v>0</v>
      </c>
      <c r="C61" s="255">
        <v>0</v>
      </c>
      <c r="D61" s="255">
        <v>0</v>
      </c>
      <c r="E61" s="255">
        <v>0</v>
      </c>
      <c r="F61" s="255">
        <v>0</v>
      </c>
      <c r="G61" s="255">
        <v>0</v>
      </c>
      <c r="H61" s="255">
        <v>0</v>
      </c>
      <c r="I61" s="255">
        <v>0</v>
      </c>
      <c r="J61" s="255">
        <v>0</v>
      </c>
      <c r="K61" s="255">
        <v>0</v>
      </c>
      <c r="L61" s="257">
        <v>0</v>
      </c>
      <c r="M61" s="257">
        <v>0</v>
      </c>
      <c r="N61" s="257">
        <v>0</v>
      </c>
      <c r="O61" s="257">
        <v>0</v>
      </c>
      <c r="P61" s="257">
        <v>0</v>
      </c>
      <c r="Q61" s="257">
        <v>0</v>
      </c>
      <c r="R61" s="257">
        <v>0</v>
      </c>
      <c r="S61" s="257">
        <v>0</v>
      </c>
      <c r="T61" s="257">
        <v>0</v>
      </c>
      <c r="U61" s="257">
        <v>0</v>
      </c>
      <c r="V61" s="257">
        <v>0</v>
      </c>
      <c r="W61" s="257">
        <v>0</v>
      </c>
      <c r="X61" s="257">
        <v>0</v>
      </c>
      <c r="Y61" s="257">
        <v>0</v>
      </c>
      <c r="Z61" s="257">
        <v>0</v>
      </c>
      <c r="AA61" s="255">
        <v>0</v>
      </c>
      <c r="AB61" s="255">
        <v>0</v>
      </c>
      <c r="AC61" s="255">
        <v>0</v>
      </c>
      <c r="AD61" s="255">
        <v>0</v>
      </c>
      <c r="AE61" s="255">
        <v>0</v>
      </c>
      <c r="AF61" s="255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256">
        <v>0</v>
      </c>
      <c r="C62" s="256">
        <v>0</v>
      </c>
      <c r="D62" s="256">
        <v>0</v>
      </c>
      <c r="E62" s="256">
        <v>0</v>
      </c>
      <c r="F62" s="256">
        <v>0</v>
      </c>
      <c r="G62" s="256">
        <v>0</v>
      </c>
      <c r="H62" s="256">
        <v>0</v>
      </c>
      <c r="I62" s="256">
        <v>0</v>
      </c>
      <c r="J62" s="256">
        <v>0</v>
      </c>
      <c r="K62" s="256">
        <v>0</v>
      </c>
      <c r="L62" s="257">
        <v>0</v>
      </c>
      <c r="M62" s="257">
        <v>0</v>
      </c>
      <c r="N62" s="257">
        <v>0</v>
      </c>
      <c r="O62" s="257">
        <v>0</v>
      </c>
      <c r="P62" s="257">
        <v>0</v>
      </c>
      <c r="Q62" s="257">
        <v>0</v>
      </c>
      <c r="R62" s="257">
        <v>0</v>
      </c>
      <c r="S62" s="257">
        <v>0</v>
      </c>
      <c r="T62" s="257">
        <v>0</v>
      </c>
      <c r="U62" s="257">
        <v>0</v>
      </c>
      <c r="V62" s="257">
        <v>0</v>
      </c>
      <c r="W62" s="257">
        <v>0</v>
      </c>
      <c r="X62" s="257">
        <v>0</v>
      </c>
      <c r="Y62" s="257">
        <v>0</v>
      </c>
      <c r="Z62" s="257">
        <v>0</v>
      </c>
      <c r="AA62" s="257">
        <v>0</v>
      </c>
      <c r="AB62" s="257">
        <v>0</v>
      </c>
      <c r="AC62" s="257">
        <v>0</v>
      </c>
      <c r="AD62" s="257">
        <v>0</v>
      </c>
      <c r="AE62" s="257">
        <v>0</v>
      </c>
      <c r="AF62" s="257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262">
        <f>SUM(B60:B62)</f>
        <v>0</v>
      </c>
      <c r="C63" s="262">
        <f t="shared" ref="C63:AF63" si="9">SUM(C60:C62)</f>
        <v>0</v>
      </c>
      <c r="D63" s="262">
        <f t="shared" si="9"/>
        <v>0</v>
      </c>
      <c r="E63" s="262">
        <f t="shared" si="9"/>
        <v>0</v>
      </c>
      <c r="F63" s="262">
        <f t="shared" si="9"/>
        <v>0</v>
      </c>
      <c r="G63" s="262">
        <f t="shared" si="9"/>
        <v>0</v>
      </c>
      <c r="H63" s="262">
        <f t="shared" si="9"/>
        <v>0</v>
      </c>
      <c r="I63" s="262">
        <f t="shared" si="9"/>
        <v>0</v>
      </c>
      <c r="J63" s="262">
        <f t="shared" si="9"/>
        <v>0</v>
      </c>
      <c r="K63" s="262">
        <f t="shared" si="9"/>
        <v>0</v>
      </c>
      <c r="L63" s="262">
        <f t="shared" si="9"/>
        <v>0</v>
      </c>
      <c r="M63" s="262">
        <f t="shared" si="9"/>
        <v>0</v>
      </c>
      <c r="N63" s="262">
        <f t="shared" si="9"/>
        <v>0</v>
      </c>
      <c r="O63" s="262">
        <f t="shared" si="9"/>
        <v>0</v>
      </c>
      <c r="P63" s="262">
        <f t="shared" si="9"/>
        <v>0</v>
      </c>
      <c r="Q63" s="262">
        <f t="shared" si="9"/>
        <v>0</v>
      </c>
      <c r="R63" s="262">
        <f t="shared" si="9"/>
        <v>0</v>
      </c>
      <c r="S63" s="262">
        <f t="shared" si="9"/>
        <v>0</v>
      </c>
      <c r="T63" s="262">
        <f t="shared" si="9"/>
        <v>0</v>
      </c>
      <c r="U63" s="262">
        <f t="shared" si="9"/>
        <v>0</v>
      </c>
      <c r="V63" s="262">
        <f t="shared" si="9"/>
        <v>0</v>
      </c>
      <c r="W63" s="262">
        <f t="shared" si="9"/>
        <v>0</v>
      </c>
      <c r="X63" s="262">
        <f t="shared" si="9"/>
        <v>0</v>
      </c>
      <c r="Y63" s="262">
        <f t="shared" si="9"/>
        <v>0</v>
      </c>
      <c r="Z63" s="262">
        <f t="shared" si="9"/>
        <v>0</v>
      </c>
      <c r="AA63" s="262">
        <f t="shared" si="9"/>
        <v>0</v>
      </c>
      <c r="AB63" s="262">
        <f t="shared" si="9"/>
        <v>0</v>
      </c>
      <c r="AC63" s="262">
        <f t="shared" si="9"/>
        <v>0</v>
      </c>
      <c r="AD63" s="262">
        <f t="shared" si="9"/>
        <v>0</v>
      </c>
      <c r="AE63" s="262">
        <f t="shared" si="9"/>
        <v>0</v>
      </c>
      <c r="AF63" s="262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1050.7400000000002</v>
      </c>
      <c r="C65" s="91">
        <f t="shared" ref="C65:AF65" si="10">C63+C59+C47+C43+C30+C64</f>
        <v>1024.54</v>
      </c>
      <c r="D65" s="91">
        <f t="shared" si="10"/>
        <v>1012.5200000000001</v>
      </c>
      <c r="E65" s="91">
        <f t="shared" si="10"/>
        <v>983.84000000000015</v>
      </c>
      <c r="F65" s="91">
        <f t="shared" si="10"/>
        <v>947.74</v>
      </c>
      <c r="G65" s="91">
        <f t="shared" si="10"/>
        <v>941.74</v>
      </c>
      <c r="H65" s="91">
        <f t="shared" si="10"/>
        <v>939.04000000000019</v>
      </c>
      <c r="I65" s="91">
        <f t="shared" si="10"/>
        <v>966.54000000000019</v>
      </c>
      <c r="J65" s="91">
        <f t="shared" si="10"/>
        <v>978.44</v>
      </c>
      <c r="K65" s="91">
        <f t="shared" si="10"/>
        <v>981.6400000000001</v>
      </c>
      <c r="L65" s="91">
        <f t="shared" si="10"/>
        <v>1064.24</v>
      </c>
      <c r="M65" s="91">
        <f t="shared" si="10"/>
        <v>1079.54</v>
      </c>
      <c r="N65" s="91">
        <f t="shared" si="10"/>
        <v>1087.24</v>
      </c>
      <c r="O65" s="91">
        <f t="shared" si="10"/>
        <v>1084.8400000000001</v>
      </c>
      <c r="P65" s="91">
        <f t="shared" si="10"/>
        <v>1065.3400000000001</v>
      </c>
      <c r="Q65" s="91">
        <f t="shared" si="10"/>
        <v>1107.3400000000001</v>
      </c>
      <c r="R65" s="91">
        <f t="shared" si="10"/>
        <v>1097.24</v>
      </c>
      <c r="S65" s="91">
        <f t="shared" si="10"/>
        <v>1092.44</v>
      </c>
      <c r="T65" s="91">
        <f t="shared" si="10"/>
        <v>1052.54</v>
      </c>
      <c r="U65" s="91">
        <f t="shared" si="10"/>
        <v>1021.1400000000001</v>
      </c>
      <c r="V65" s="91">
        <f t="shared" si="10"/>
        <v>1022.24</v>
      </c>
      <c r="W65" s="91">
        <f t="shared" si="10"/>
        <v>1029.8400000000001</v>
      </c>
      <c r="X65" s="91">
        <f t="shared" si="10"/>
        <v>1103.1400000000001</v>
      </c>
      <c r="Y65" s="91">
        <f t="shared" si="10"/>
        <v>1139.8400000000001</v>
      </c>
      <c r="Z65" s="91">
        <f t="shared" si="10"/>
        <v>1230.24</v>
      </c>
      <c r="AA65" s="91">
        <f t="shared" si="10"/>
        <v>1251.74</v>
      </c>
      <c r="AB65" s="91">
        <f t="shared" si="10"/>
        <v>1217.3400000000001</v>
      </c>
      <c r="AC65" s="91">
        <f t="shared" si="10"/>
        <v>1207.5400000000002</v>
      </c>
      <c r="AD65" s="91">
        <f t="shared" si="10"/>
        <v>1187.0400000000002</v>
      </c>
      <c r="AE65" s="91">
        <f t="shared" si="10"/>
        <v>1103.8400000000001</v>
      </c>
      <c r="AF65" s="91">
        <f t="shared" si="10"/>
        <v>1087.7400000000002</v>
      </c>
      <c r="AG65" s="74">
        <f>AG63+AG59+AG47+AG43+AG30+AG64</f>
        <v>1355.5100000000002</v>
      </c>
      <c r="AH65" s="52">
        <f t="shared" si="2"/>
        <v>1251.74</v>
      </c>
      <c r="AI65" s="53">
        <f t="shared" si="3"/>
        <v>939.04000000000019</v>
      </c>
    </row>
    <row r="66" spans="1:35" x14ac:dyDescent="0.25">
      <c r="A66" s="55" t="s">
        <v>73</v>
      </c>
      <c r="B66" s="256">
        <f t="shared" ref="B66:Q66" si="11">IF(B51&lt;0,B51*-1,0)</f>
        <v>0</v>
      </c>
      <c r="C66" s="256">
        <f t="shared" si="11"/>
        <v>0</v>
      </c>
      <c r="D66" s="256">
        <f t="shared" si="11"/>
        <v>0</v>
      </c>
      <c r="E66" s="256">
        <f t="shared" si="11"/>
        <v>0</v>
      </c>
      <c r="F66" s="256">
        <f t="shared" si="11"/>
        <v>0</v>
      </c>
      <c r="G66" s="256">
        <f t="shared" si="11"/>
        <v>0</v>
      </c>
      <c r="H66" s="256">
        <f t="shared" si="11"/>
        <v>0</v>
      </c>
      <c r="I66" s="256">
        <f t="shared" si="11"/>
        <v>0</v>
      </c>
      <c r="J66" s="256">
        <f t="shared" si="11"/>
        <v>0</v>
      </c>
      <c r="K66" s="256">
        <f t="shared" si="11"/>
        <v>0</v>
      </c>
      <c r="L66" s="256">
        <f t="shared" si="11"/>
        <v>0</v>
      </c>
      <c r="M66" s="256">
        <f t="shared" si="11"/>
        <v>0</v>
      </c>
      <c r="N66" s="256">
        <f t="shared" si="11"/>
        <v>0</v>
      </c>
      <c r="O66" s="256">
        <f t="shared" si="11"/>
        <v>0</v>
      </c>
      <c r="P66" s="256">
        <f t="shared" si="11"/>
        <v>0</v>
      </c>
      <c r="Q66" s="256">
        <f t="shared" si="11"/>
        <v>0</v>
      </c>
      <c r="R66" s="256">
        <f>IF(R51&lt;0,R51*-1,0)</f>
        <v>0</v>
      </c>
      <c r="S66" s="256">
        <f t="shared" ref="S66:AF66" si="12">IF(S51&lt;0,S51*-1,0)</f>
        <v>0</v>
      </c>
      <c r="T66" s="256">
        <f t="shared" si="12"/>
        <v>0</v>
      </c>
      <c r="U66" s="256">
        <f t="shared" si="12"/>
        <v>0</v>
      </c>
      <c r="V66" s="256">
        <f t="shared" si="12"/>
        <v>0</v>
      </c>
      <c r="W66" s="256">
        <f t="shared" si="12"/>
        <v>0</v>
      </c>
      <c r="X66" s="256">
        <f t="shared" si="12"/>
        <v>0</v>
      </c>
      <c r="Y66" s="256">
        <f t="shared" si="12"/>
        <v>0</v>
      </c>
      <c r="Z66" s="256">
        <f t="shared" si="12"/>
        <v>0</v>
      </c>
      <c r="AA66" s="256">
        <f t="shared" si="12"/>
        <v>0</v>
      </c>
      <c r="AB66" s="256">
        <f t="shared" si="12"/>
        <v>0</v>
      </c>
      <c r="AC66" s="256">
        <f t="shared" si="12"/>
        <v>0</v>
      </c>
      <c r="AD66" s="256">
        <f t="shared" si="12"/>
        <v>0</v>
      </c>
      <c r="AE66" s="256">
        <f t="shared" si="12"/>
        <v>0</v>
      </c>
      <c r="AF66" s="256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256">
        <f t="shared" ref="B67:Q67" si="13">IF(B49&lt;0,B49*-1,0)</f>
        <v>0</v>
      </c>
      <c r="C67" s="256">
        <f t="shared" si="13"/>
        <v>0</v>
      </c>
      <c r="D67" s="256">
        <f t="shared" si="13"/>
        <v>0</v>
      </c>
      <c r="E67" s="256">
        <f t="shared" si="13"/>
        <v>0</v>
      </c>
      <c r="F67" s="256">
        <f t="shared" si="13"/>
        <v>0</v>
      </c>
      <c r="G67" s="256">
        <f t="shared" si="13"/>
        <v>0</v>
      </c>
      <c r="H67" s="256">
        <f t="shared" si="13"/>
        <v>0</v>
      </c>
      <c r="I67" s="256">
        <f t="shared" si="13"/>
        <v>0</v>
      </c>
      <c r="J67" s="256">
        <f t="shared" si="13"/>
        <v>0</v>
      </c>
      <c r="K67" s="256">
        <f t="shared" si="13"/>
        <v>0</v>
      </c>
      <c r="L67" s="256">
        <f t="shared" si="13"/>
        <v>0</v>
      </c>
      <c r="M67" s="256">
        <f t="shared" si="13"/>
        <v>0</v>
      </c>
      <c r="N67" s="256">
        <f t="shared" si="13"/>
        <v>0</v>
      </c>
      <c r="O67" s="256">
        <f t="shared" si="13"/>
        <v>0</v>
      </c>
      <c r="P67" s="256">
        <f t="shared" si="13"/>
        <v>0</v>
      </c>
      <c r="Q67" s="256">
        <f t="shared" si="13"/>
        <v>0</v>
      </c>
      <c r="R67" s="256">
        <f>IF(R49&lt;0,R49*-1,0)</f>
        <v>0</v>
      </c>
      <c r="S67" s="256">
        <f t="shared" ref="S67:AF67" si="14">IF(S49&lt;0,S49*-1,0)</f>
        <v>0</v>
      </c>
      <c r="T67" s="256">
        <f t="shared" si="14"/>
        <v>0</v>
      </c>
      <c r="U67" s="256">
        <f t="shared" si="14"/>
        <v>0</v>
      </c>
      <c r="V67" s="256">
        <f t="shared" si="14"/>
        <v>0</v>
      </c>
      <c r="W67" s="256">
        <f t="shared" si="14"/>
        <v>0</v>
      </c>
      <c r="X67" s="256">
        <f t="shared" si="14"/>
        <v>0</v>
      </c>
      <c r="Y67" s="256">
        <f t="shared" si="14"/>
        <v>0</v>
      </c>
      <c r="Z67" s="256">
        <f t="shared" si="14"/>
        <v>0</v>
      </c>
      <c r="AA67" s="256">
        <f t="shared" si="14"/>
        <v>0</v>
      </c>
      <c r="AB67" s="256">
        <f t="shared" si="14"/>
        <v>0</v>
      </c>
      <c r="AC67" s="256">
        <f t="shared" si="14"/>
        <v>0</v>
      </c>
      <c r="AD67" s="256">
        <f t="shared" si="14"/>
        <v>0</v>
      </c>
      <c r="AE67" s="256">
        <f t="shared" si="14"/>
        <v>0</v>
      </c>
      <c r="AF67" s="256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256">
        <f t="shared" ref="B68:Q68" si="15">IF(B52&lt;0,B52*-1,0)</f>
        <v>0</v>
      </c>
      <c r="C68" s="256">
        <f t="shared" si="15"/>
        <v>0</v>
      </c>
      <c r="D68" s="256">
        <f t="shared" si="15"/>
        <v>0</v>
      </c>
      <c r="E68" s="256">
        <f t="shared" si="15"/>
        <v>0</v>
      </c>
      <c r="F68" s="256">
        <f t="shared" si="15"/>
        <v>0</v>
      </c>
      <c r="G68" s="256">
        <f t="shared" si="15"/>
        <v>0</v>
      </c>
      <c r="H68" s="256">
        <f t="shared" si="15"/>
        <v>0</v>
      </c>
      <c r="I68" s="256">
        <f t="shared" si="15"/>
        <v>0</v>
      </c>
      <c r="J68" s="256">
        <f t="shared" si="15"/>
        <v>0</v>
      </c>
      <c r="K68" s="256">
        <f t="shared" si="15"/>
        <v>0</v>
      </c>
      <c r="L68" s="256">
        <f t="shared" si="15"/>
        <v>0</v>
      </c>
      <c r="M68" s="256">
        <f t="shared" si="15"/>
        <v>0</v>
      </c>
      <c r="N68" s="256">
        <f t="shared" si="15"/>
        <v>0</v>
      </c>
      <c r="O68" s="256">
        <f t="shared" si="15"/>
        <v>0</v>
      </c>
      <c r="P68" s="256">
        <f t="shared" si="15"/>
        <v>0</v>
      </c>
      <c r="Q68" s="256">
        <f t="shared" si="15"/>
        <v>0</v>
      </c>
      <c r="R68" s="256">
        <f>IF(R52&lt;0,R52*-1,0)</f>
        <v>0</v>
      </c>
      <c r="S68" s="256">
        <f t="shared" ref="S68:AF68" si="16">IF(S52&lt;0,S52*-1,0)</f>
        <v>0</v>
      </c>
      <c r="T68" s="256">
        <f t="shared" si="16"/>
        <v>0</v>
      </c>
      <c r="U68" s="256">
        <f t="shared" si="16"/>
        <v>0</v>
      </c>
      <c r="V68" s="256">
        <f t="shared" si="16"/>
        <v>0</v>
      </c>
      <c r="W68" s="256">
        <f t="shared" si="16"/>
        <v>0</v>
      </c>
      <c r="X68" s="256">
        <f t="shared" si="16"/>
        <v>0</v>
      </c>
      <c r="Y68" s="256">
        <f t="shared" si="16"/>
        <v>0</v>
      </c>
      <c r="Z68" s="256">
        <f t="shared" si="16"/>
        <v>0</v>
      </c>
      <c r="AA68" s="256">
        <f t="shared" si="16"/>
        <v>0</v>
      </c>
      <c r="AB68" s="256">
        <f t="shared" si="16"/>
        <v>0</v>
      </c>
      <c r="AC68" s="256">
        <f t="shared" si="16"/>
        <v>0</v>
      </c>
      <c r="AD68" s="256">
        <f t="shared" si="16"/>
        <v>0</v>
      </c>
      <c r="AE68" s="256">
        <f t="shared" si="16"/>
        <v>0</v>
      </c>
      <c r="AF68" s="256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256">
        <f>IF(B50&lt;0,B50*-1,0)</f>
        <v>0</v>
      </c>
      <c r="C69" s="256">
        <f t="shared" ref="C69:AF69" si="17">IF(C50&lt;0,C50*-1,0)</f>
        <v>0</v>
      </c>
      <c r="D69" s="256">
        <f t="shared" si="17"/>
        <v>0</v>
      </c>
      <c r="E69" s="256">
        <f t="shared" si="17"/>
        <v>0</v>
      </c>
      <c r="F69" s="256">
        <f t="shared" si="17"/>
        <v>0</v>
      </c>
      <c r="G69" s="256">
        <f t="shared" si="17"/>
        <v>0</v>
      </c>
      <c r="H69" s="256">
        <f t="shared" si="17"/>
        <v>0</v>
      </c>
      <c r="I69" s="256">
        <f t="shared" si="17"/>
        <v>0</v>
      </c>
      <c r="J69" s="256">
        <f t="shared" si="17"/>
        <v>0</v>
      </c>
      <c r="K69" s="256">
        <f t="shared" si="17"/>
        <v>0</v>
      </c>
      <c r="L69" s="256">
        <f t="shared" si="17"/>
        <v>0</v>
      </c>
      <c r="M69" s="256">
        <f t="shared" si="17"/>
        <v>0</v>
      </c>
      <c r="N69" s="256">
        <f t="shared" si="17"/>
        <v>0</v>
      </c>
      <c r="O69" s="256">
        <f t="shared" si="17"/>
        <v>0</v>
      </c>
      <c r="P69" s="256">
        <f t="shared" si="17"/>
        <v>0</v>
      </c>
      <c r="Q69" s="256">
        <f t="shared" si="17"/>
        <v>0</v>
      </c>
      <c r="R69" s="256">
        <f t="shared" si="17"/>
        <v>0</v>
      </c>
      <c r="S69" s="256">
        <f t="shared" si="17"/>
        <v>0</v>
      </c>
      <c r="T69" s="256">
        <f t="shared" si="17"/>
        <v>0</v>
      </c>
      <c r="U69" s="256">
        <f t="shared" si="17"/>
        <v>0</v>
      </c>
      <c r="V69" s="256">
        <f t="shared" si="17"/>
        <v>0</v>
      </c>
      <c r="W69" s="256">
        <f t="shared" si="17"/>
        <v>0</v>
      </c>
      <c r="X69" s="256">
        <f t="shared" si="17"/>
        <v>0</v>
      </c>
      <c r="Y69" s="256">
        <f t="shared" si="17"/>
        <v>0</v>
      </c>
      <c r="Z69" s="256">
        <f t="shared" si="17"/>
        <v>0</v>
      </c>
      <c r="AA69" s="256">
        <f t="shared" si="17"/>
        <v>0</v>
      </c>
      <c r="AB69" s="256">
        <f t="shared" si="17"/>
        <v>0</v>
      </c>
      <c r="AC69" s="256">
        <f t="shared" si="17"/>
        <v>0</v>
      </c>
      <c r="AD69" s="256">
        <f t="shared" si="17"/>
        <v>0</v>
      </c>
      <c r="AE69" s="256">
        <f t="shared" si="17"/>
        <v>0</v>
      </c>
      <c r="AF69" s="256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2"/>
      <c r="S70" s="252"/>
      <c r="T70" s="252"/>
      <c r="U70" s="252"/>
      <c r="V70" s="252"/>
      <c r="W70" s="252"/>
      <c r="X70" s="252"/>
      <c r="Y70" s="252"/>
      <c r="Z70" s="252"/>
      <c r="AA70" s="257"/>
      <c r="AB70" s="257"/>
      <c r="AC70" s="257"/>
      <c r="AD70" s="257"/>
      <c r="AE70" s="257"/>
      <c r="AF70" s="257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262">
        <f>SUM(B66:B70)</f>
        <v>0</v>
      </c>
      <c r="C71" s="262">
        <f t="shared" ref="C71:AF71" si="18">SUM(C66:C70)</f>
        <v>0</v>
      </c>
      <c r="D71" s="262">
        <f t="shared" si="18"/>
        <v>0</v>
      </c>
      <c r="E71" s="262">
        <f t="shared" si="18"/>
        <v>0</v>
      </c>
      <c r="F71" s="262">
        <f t="shared" si="18"/>
        <v>0</v>
      </c>
      <c r="G71" s="262">
        <f t="shared" si="18"/>
        <v>0</v>
      </c>
      <c r="H71" s="262">
        <f t="shared" si="18"/>
        <v>0</v>
      </c>
      <c r="I71" s="262">
        <f t="shared" si="18"/>
        <v>0</v>
      </c>
      <c r="J71" s="262">
        <f t="shared" si="18"/>
        <v>0</v>
      </c>
      <c r="K71" s="262">
        <f t="shared" si="18"/>
        <v>0</v>
      </c>
      <c r="L71" s="262">
        <f t="shared" si="18"/>
        <v>0</v>
      </c>
      <c r="M71" s="262">
        <f t="shared" si="18"/>
        <v>0</v>
      </c>
      <c r="N71" s="262">
        <f t="shared" si="18"/>
        <v>0</v>
      </c>
      <c r="O71" s="262">
        <f t="shared" si="18"/>
        <v>0</v>
      </c>
      <c r="P71" s="262">
        <f t="shared" si="18"/>
        <v>0</v>
      </c>
      <c r="Q71" s="262">
        <f t="shared" si="18"/>
        <v>0</v>
      </c>
      <c r="R71" s="262">
        <f t="shared" si="18"/>
        <v>0</v>
      </c>
      <c r="S71" s="262">
        <f t="shared" si="18"/>
        <v>0</v>
      </c>
      <c r="T71" s="262">
        <f t="shared" si="18"/>
        <v>0</v>
      </c>
      <c r="U71" s="262">
        <f t="shared" si="18"/>
        <v>0</v>
      </c>
      <c r="V71" s="262">
        <f t="shared" si="18"/>
        <v>0</v>
      </c>
      <c r="W71" s="262">
        <f t="shared" si="18"/>
        <v>0</v>
      </c>
      <c r="X71" s="262">
        <f t="shared" si="18"/>
        <v>0</v>
      </c>
      <c r="Y71" s="262">
        <f t="shared" si="18"/>
        <v>0</v>
      </c>
      <c r="Z71" s="262">
        <f t="shared" si="18"/>
        <v>0</v>
      </c>
      <c r="AA71" s="262">
        <f t="shared" si="18"/>
        <v>0</v>
      </c>
      <c r="AB71" s="262">
        <f t="shared" si="18"/>
        <v>0</v>
      </c>
      <c r="AC71" s="262">
        <f t="shared" si="18"/>
        <v>0</v>
      </c>
      <c r="AD71" s="262">
        <f t="shared" si="18"/>
        <v>0</v>
      </c>
      <c r="AE71" s="262">
        <f t="shared" si="18"/>
        <v>0</v>
      </c>
      <c r="AF71" s="262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ht="15.75" x14ac:dyDescent="0.25">
      <c r="A72" s="93" t="s">
        <v>79</v>
      </c>
      <c r="B72" s="94">
        <v>50.045000000000002</v>
      </c>
      <c r="C72" s="94">
        <v>50.04</v>
      </c>
      <c r="D72" s="94">
        <v>50.02</v>
      </c>
      <c r="E72" s="94">
        <v>50.037999999999997</v>
      </c>
      <c r="F72" s="94">
        <v>50.085999999999999</v>
      </c>
      <c r="G72" s="94">
        <v>50.088999999999999</v>
      </c>
      <c r="H72" s="94">
        <v>50.005000000000003</v>
      </c>
      <c r="I72" s="94">
        <v>49.895000000000003</v>
      </c>
      <c r="J72" s="94">
        <v>50.003999999999998</v>
      </c>
      <c r="K72" s="94">
        <v>50.012999999999998</v>
      </c>
      <c r="L72" s="94">
        <v>50.06</v>
      </c>
      <c r="M72" s="94">
        <v>50.04</v>
      </c>
      <c r="N72" s="94">
        <v>50.1</v>
      </c>
      <c r="O72" s="94">
        <v>50.024999999999999</v>
      </c>
      <c r="P72" s="94">
        <v>50.024999999999999</v>
      </c>
      <c r="Q72" s="94">
        <v>50.024999999999999</v>
      </c>
      <c r="R72" s="94">
        <v>50.091999999999999</v>
      </c>
      <c r="S72" s="94">
        <v>49.984999999999999</v>
      </c>
      <c r="T72" s="94">
        <v>49.966000000000001</v>
      </c>
      <c r="U72" s="94">
        <v>49.933999999999997</v>
      </c>
      <c r="V72" s="94">
        <v>49.895000000000003</v>
      </c>
      <c r="W72" s="94">
        <v>49.896000000000001</v>
      </c>
      <c r="X72" s="94">
        <v>50.005000000000003</v>
      </c>
      <c r="Y72" s="94">
        <v>50.026000000000003</v>
      </c>
      <c r="Z72" s="94">
        <v>50.026000000000003</v>
      </c>
      <c r="AA72" s="282">
        <v>50.027000000000001</v>
      </c>
      <c r="AB72" s="94">
        <v>49.865000000000002</v>
      </c>
      <c r="AC72" s="94">
        <v>49.98</v>
      </c>
      <c r="AD72" s="94">
        <v>50.026000000000003</v>
      </c>
      <c r="AE72" s="94">
        <v>49.978000000000002</v>
      </c>
      <c r="AF72" s="96">
        <v>49.972999999999999</v>
      </c>
      <c r="AG72" s="97"/>
      <c r="AH72" s="52">
        <f t="shared" si="2"/>
        <v>50.1</v>
      </c>
      <c r="AI72" s="53">
        <f t="shared" si="3"/>
        <v>49.865000000000002</v>
      </c>
    </row>
    <row r="73" spans="1:35" x14ac:dyDescent="0.25">
      <c r="A73" s="98" t="s">
        <v>80</v>
      </c>
      <c r="B73" s="253">
        <v>126</v>
      </c>
      <c r="C73" s="253">
        <v>126</v>
      </c>
      <c r="D73" s="253">
        <v>127.2</v>
      </c>
      <c r="E73" s="253">
        <v>125.2</v>
      </c>
      <c r="F73" s="253">
        <v>126.3</v>
      </c>
      <c r="G73" s="253">
        <v>126.3</v>
      </c>
      <c r="H73" s="253">
        <v>124.1</v>
      </c>
      <c r="I73" s="253">
        <v>123.9</v>
      </c>
      <c r="J73" s="253">
        <v>124.9</v>
      </c>
      <c r="K73" s="253">
        <v>123.8</v>
      </c>
      <c r="L73" s="253">
        <v>124.5</v>
      </c>
      <c r="M73" s="253">
        <v>125.5</v>
      </c>
      <c r="N73" s="253">
        <v>126.4</v>
      </c>
      <c r="O73" s="253">
        <v>126.1</v>
      </c>
      <c r="P73" s="253">
        <v>126.1</v>
      </c>
      <c r="Q73" s="253">
        <v>126.1</v>
      </c>
      <c r="R73" s="99">
        <v>126.2</v>
      </c>
      <c r="S73" s="99">
        <v>125</v>
      </c>
      <c r="T73" s="99">
        <v>125</v>
      </c>
      <c r="U73" s="99">
        <v>126.2</v>
      </c>
      <c r="V73" s="99">
        <v>126.2</v>
      </c>
      <c r="W73" s="99">
        <v>126.2</v>
      </c>
      <c r="X73" s="99">
        <v>126.4</v>
      </c>
      <c r="Y73" s="99">
        <v>126.9</v>
      </c>
      <c r="Z73" s="99">
        <v>126.4</v>
      </c>
      <c r="AA73" s="253">
        <v>125.9</v>
      </c>
      <c r="AB73" s="253">
        <v>125.3</v>
      </c>
      <c r="AC73" s="253">
        <v>125.2</v>
      </c>
      <c r="AD73" s="253">
        <v>124.9</v>
      </c>
      <c r="AE73" s="253">
        <v>124</v>
      </c>
      <c r="AF73" s="100">
        <v>123.2</v>
      </c>
      <c r="AG73" s="101"/>
      <c r="AH73" s="52">
        <f t="shared" si="2"/>
        <v>127.2</v>
      </c>
      <c r="AI73" s="53">
        <f t="shared" si="3"/>
        <v>123.2</v>
      </c>
    </row>
    <row r="74" spans="1:35" x14ac:dyDescent="0.25">
      <c r="A74" s="98" t="s">
        <v>81</v>
      </c>
      <c r="B74" s="253">
        <v>129</v>
      </c>
      <c r="C74" s="253">
        <v>129</v>
      </c>
      <c r="D74" s="253">
        <v>130.30000000000001</v>
      </c>
      <c r="E74" s="253">
        <v>128.5</v>
      </c>
      <c r="F74" s="253">
        <v>129</v>
      </c>
      <c r="G74" s="253">
        <v>129</v>
      </c>
      <c r="H74" s="253">
        <v>127</v>
      </c>
      <c r="I74" s="253">
        <v>126.1</v>
      </c>
      <c r="J74" s="253">
        <v>127.3</v>
      </c>
      <c r="K74" s="253">
        <v>126.7</v>
      </c>
      <c r="L74" s="253">
        <v>127.1</v>
      </c>
      <c r="M74" s="253">
        <v>127.6</v>
      </c>
      <c r="N74" s="253">
        <v>128.80000000000001</v>
      </c>
      <c r="O74" s="253">
        <v>128.30000000000001</v>
      </c>
      <c r="P74" s="253">
        <v>128.30000000000001</v>
      </c>
      <c r="Q74" s="253">
        <v>128.30000000000001</v>
      </c>
      <c r="R74" s="99">
        <v>128.69999999999999</v>
      </c>
      <c r="S74" s="99">
        <v>127.7</v>
      </c>
      <c r="T74" s="99">
        <v>127.7</v>
      </c>
      <c r="U74" s="99">
        <v>128.80000000000001</v>
      </c>
      <c r="V74" s="99">
        <v>128.80000000000001</v>
      </c>
      <c r="W74" s="99">
        <v>128.80000000000001</v>
      </c>
      <c r="X74" s="99">
        <v>129</v>
      </c>
      <c r="Y74" s="99">
        <v>129</v>
      </c>
      <c r="Z74" s="99">
        <v>129</v>
      </c>
      <c r="AA74" s="253">
        <v>128.9</v>
      </c>
      <c r="AB74" s="253">
        <v>128.5</v>
      </c>
      <c r="AC74" s="253">
        <v>128.6</v>
      </c>
      <c r="AD74" s="253">
        <v>128.9</v>
      </c>
      <c r="AE74" s="253">
        <v>128</v>
      </c>
      <c r="AF74" s="100">
        <v>127.2</v>
      </c>
      <c r="AG74" s="101"/>
      <c r="AH74" s="52">
        <f t="shared" si="2"/>
        <v>130.30000000000001</v>
      </c>
      <c r="AI74" s="53">
        <f t="shared" si="3"/>
        <v>126.1</v>
      </c>
    </row>
    <row r="75" spans="1:35" x14ac:dyDescent="0.25">
      <c r="A75" s="98" t="s">
        <v>82</v>
      </c>
      <c r="B75" s="253">
        <v>127</v>
      </c>
      <c r="C75" s="253">
        <v>127</v>
      </c>
      <c r="D75" s="253">
        <v>130.19999999999999</v>
      </c>
      <c r="E75" s="253">
        <v>130.80000000000001</v>
      </c>
      <c r="F75" s="253">
        <v>132.19999999999999</v>
      </c>
      <c r="G75" s="253">
        <v>132.30000000000001</v>
      </c>
      <c r="H75" s="253">
        <v>128.30000000000001</v>
      </c>
      <c r="I75" s="253">
        <v>127.5</v>
      </c>
      <c r="J75" s="253">
        <v>127.6</v>
      </c>
      <c r="K75" s="253">
        <v>125</v>
      </c>
      <c r="L75" s="253">
        <v>127.2</v>
      </c>
      <c r="M75" s="253">
        <v>127</v>
      </c>
      <c r="N75" s="253">
        <v>126.6</v>
      </c>
      <c r="O75" s="253">
        <v>127.4</v>
      </c>
      <c r="P75" s="253">
        <v>127.4</v>
      </c>
      <c r="Q75" s="253">
        <v>127.4</v>
      </c>
      <c r="R75" s="253">
        <v>127.3</v>
      </c>
      <c r="S75" s="253">
        <v>128.1</v>
      </c>
      <c r="T75" s="253">
        <v>128.1</v>
      </c>
      <c r="U75" s="99">
        <v>130.80000000000001</v>
      </c>
      <c r="V75" s="99">
        <v>130.80000000000001</v>
      </c>
      <c r="W75" s="99">
        <v>130.80000000000001</v>
      </c>
      <c r="X75" s="99">
        <v>129.4</v>
      </c>
      <c r="Y75" s="99">
        <v>129.4</v>
      </c>
      <c r="Z75" s="99">
        <v>127</v>
      </c>
      <c r="AA75" s="253">
        <v>126.9</v>
      </c>
      <c r="AB75" s="253">
        <v>128.1</v>
      </c>
      <c r="AC75" s="253">
        <v>125.1</v>
      </c>
      <c r="AD75" s="253">
        <v>125.6</v>
      </c>
      <c r="AE75" s="253">
        <v>126.5</v>
      </c>
      <c r="AF75" s="100">
        <v>126.1</v>
      </c>
      <c r="AG75" s="101"/>
      <c r="AH75" s="52">
        <f t="shared" si="2"/>
        <v>132.30000000000001</v>
      </c>
      <c r="AI75" s="53">
        <f t="shared" si="3"/>
        <v>125</v>
      </c>
    </row>
    <row r="76" spans="1:35" x14ac:dyDescent="0.25">
      <c r="A76" s="102" t="s">
        <v>83</v>
      </c>
      <c r="B76" s="253">
        <v>130</v>
      </c>
      <c r="C76" s="253">
        <v>130</v>
      </c>
      <c r="D76" s="253">
        <v>133.6</v>
      </c>
      <c r="E76" s="253">
        <v>134.69999999999999</v>
      </c>
      <c r="F76" s="253">
        <v>135.80000000000001</v>
      </c>
      <c r="G76" s="253">
        <v>135.30000000000001</v>
      </c>
      <c r="H76" s="253">
        <v>132.30000000000001</v>
      </c>
      <c r="I76" s="253">
        <v>131.19999999999999</v>
      </c>
      <c r="J76" s="253">
        <v>130.4</v>
      </c>
      <c r="K76" s="253">
        <v>127.1</v>
      </c>
      <c r="L76" s="253">
        <v>130</v>
      </c>
      <c r="M76" s="253">
        <v>131.1</v>
      </c>
      <c r="N76" s="253">
        <v>131</v>
      </c>
      <c r="O76" s="253">
        <v>132.4</v>
      </c>
      <c r="P76" s="253">
        <v>132.4</v>
      </c>
      <c r="Q76" s="253">
        <v>132.4</v>
      </c>
      <c r="R76" s="253">
        <v>131.4</v>
      </c>
      <c r="S76" s="253">
        <v>131.69999999999999</v>
      </c>
      <c r="T76" s="253">
        <v>131.69999999999999</v>
      </c>
      <c r="U76" s="99">
        <v>135.5</v>
      </c>
      <c r="V76" s="99">
        <v>135.5</v>
      </c>
      <c r="W76" s="99">
        <v>135.5</v>
      </c>
      <c r="X76" s="99">
        <v>133.6</v>
      </c>
      <c r="Y76" s="99">
        <v>133.6</v>
      </c>
      <c r="Z76" s="99">
        <v>130.69999999999999</v>
      </c>
      <c r="AA76" s="253">
        <v>131.1</v>
      </c>
      <c r="AB76" s="253">
        <v>132.1</v>
      </c>
      <c r="AC76" s="253">
        <v>129.5</v>
      </c>
      <c r="AD76" s="253">
        <v>130.69999999999999</v>
      </c>
      <c r="AE76" s="253">
        <v>131.19999999999999</v>
      </c>
      <c r="AF76" s="100">
        <v>131.1</v>
      </c>
      <c r="AG76" s="101"/>
      <c r="AH76" s="52">
        <f t="shared" si="2"/>
        <v>135.80000000000001</v>
      </c>
      <c r="AI76" s="53">
        <f t="shared" si="3"/>
        <v>127.1</v>
      </c>
    </row>
    <row r="77" spans="1:35" x14ac:dyDescent="0.25">
      <c r="A77" s="102" t="s">
        <v>84</v>
      </c>
      <c r="B77" s="266">
        <v>132</v>
      </c>
      <c r="C77" s="266">
        <v>132</v>
      </c>
      <c r="D77" s="266">
        <v>134.9</v>
      </c>
      <c r="E77" s="266">
        <v>133.4</v>
      </c>
      <c r="F77" s="266">
        <v>134.19999999999999</v>
      </c>
      <c r="G77" s="266">
        <v>132.6</v>
      </c>
      <c r="H77" s="266">
        <v>128.80000000000001</v>
      </c>
      <c r="I77" s="266">
        <v>133.5</v>
      </c>
      <c r="J77" s="266">
        <v>133.1</v>
      </c>
      <c r="K77" s="266">
        <v>132.6</v>
      </c>
      <c r="L77" s="266">
        <v>132.4</v>
      </c>
      <c r="M77" s="266">
        <v>131.1</v>
      </c>
      <c r="N77" s="266">
        <v>133.9</v>
      </c>
      <c r="O77" s="266">
        <v>132.4</v>
      </c>
      <c r="P77" s="266">
        <v>132.4</v>
      </c>
      <c r="Q77" s="266">
        <v>132.4</v>
      </c>
      <c r="R77" s="266">
        <v>133.5</v>
      </c>
      <c r="S77" s="266">
        <v>133.80000000000001</v>
      </c>
      <c r="T77" s="266">
        <v>133.80000000000001</v>
      </c>
      <c r="U77" s="99">
        <v>133.6</v>
      </c>
      <c r="V77" s="99">
        <v>133.6</v>
      </c>
      <c r="W77" s="99">
        <v>133.6</v>
      </c>
      <c r="X77" s="99">
        <v>133.5</v>
      </c>
      <c r="Y77" s="99">
        <v>133.5</v>
      </c>
      <c r="Z77" s="99">
        <v>133.80000000000001</v>
      </c>
      <c r="AA77" s="266">
        <v>139.6</v>
      </c>
      <c r="AB77" s="266">
        <v>133.9</v>
      </c>
      <c r="AC77" s="266">
        <v>133.6</v>
      </c>
      <c r="AD77" s="266">
        <v>133</v>
      </c>
      <c r="AE77" s="266">
        <v>131.4</v>
      </c>
      <c r="AF77" s="104">
        <v>134.5</v>
      </c>
      <c r="AG77" s="105"/>
      <c r="AH77" s="52">
        <f t="shared" si="2"/>
        <v>139.6</v>
      </c>
      <c r="AI77" s="53">
        <f t="shared" si="3"/>
        <v>128.80000000000001</v>
      </c>
    </row>
    <row r="78" spans="1:35" x14ac:dyDescent="0.25">
      <c r="A78" s="98" t="s">
        <v>85</v>
      </c>
      <c r="B78" s="253">
        <v>122</v>
      </c>
      <c r="C78" s="253">
        <v>122</v>
      </c>
      <c r="D78" s="253">
        <v>134.30000000000001</v>
      </c>
      <c r="E78" s="253">
        <v>132.1</v>
      </c>
      <c r="F78" s="253">
        <v>133.80000000000001</v>
      </c>
      <c r="G78" s="253">
        <v>131</v>
      </c>
      <c r="H78" s="253">
        <v>131.5</v>
      </c>
      <c r="I78" s="253">
        <v>131.80000000000001</v>
      </c>
      <c r="J78" s="253">
        <v>133.4</v>
      </c>
      <c r="K78" s="253">
        <v>132.69999999999999</v>
      </c>
      <c r="L78" s="253">
        <v>132.9</v>
      </c>
      <c r="M78" s="253">
        <v>130</v>
      </c>
      <c r="N78" s="253">
        <v>130.30000000000001</v>
      </c>
      <c r="O78" s="253">
        <v>126.2</v>
      </c>
      <c r="P78" s="253">
        <v>126.2</v>
      </c>
      <c r="Q78" s="253">
        <v>126.2</v>
      </c>
      <c r="R78" s="253">
        <v>128.19999999999999</v>
      </c>
      <c r="S78" s="253">
        <v>129.69999999999999</v>
      </c>
      <c r="T78" s="253">
        <v>129.69999999999999</v>
      </c>
      <c r="U78" s="99">
        <v>133.69999999999999</v>
      </c>
      <c r="V78" s="99">
        <v>133.69999999999999</v>
      </c>
      <c r="W78" s="99">
        <v>133.69999999999999</v>
      </c>
      <c r="X78" s="99">
        <v>134.4</v>
      </c>
      <c r="Y78" s="99">
        <v>134.4</v>
      </c>
      <c r="Z78" s="99">
        <v>129.5</v>
      </c>
      <c r="AA78" s="253">
        <v>124.7</v>
      </c>
      <c r="AB78" s="253">
        <v>130.69999999999999</v>
      </c>
      <c r="AC78" s="253">
        <v>128.5</v>
      </c>
      <c r="AD78" s="253">
        <v>130.9</v>
      </c>
      <c r="AE78" s="253">
        <v>132</v>
      </c>
      <c r="AF78" s="100">
        <v>132.5</v>
      </c>
      <c r="AG78" s="101"/>
      <c r="AH78" s="52">
        <f>MAX(B78:AF78)</f>
        <v>134.4</v>
      </c>
      <c r="AI78" s="53">
        <f>MIN(B78:AF78)</f>
        <v>122</v>
      </c>
    </row>
    <row r="79" spans="1:35" ht="15.75" thickBot="1" x14ac:dyDescent="0.3">
      <c r="A79" s="98" t="s">
        <v>86</v>
      </c>
      <c r="B79" s="106">
        <v>66</v>
      </c>
      <c r="C79" s="106">
        <v>66</v>
      </c>
      <c r="D79" s="106">
        <v>66.8</v>
      </c>
      <c r="E79" s="106">
        <v>66</v>
      </c>
      <c r="F79" s="106">
        <v>66.3</v>
      </c>
      <c r="G79" s="106">
        <v>65.900000000000006</v>
      </c>
      <c r="H79" s="106">
        <v>65.099999999999994</v>
      </c>
      <c r="I79" s="106">
        <v>64.5</v>
      </c>
      <c r="J79" s="106">
        <v>65.3</v>
      </c>
      <c r="K79" s="106">
        <v>64.7</v>
      </c>
      <c r="L79" s="106">
        <v>65</v>
      </c>
      <c r="M79" s="106">
        <v>65.2</v>
      </c>
      <c r="N79" s="106">
        <v>65.599999999999994</v>
      </c>
      <c r="O79" s="106">
        <v>65.599999999999994</v>
      </c>
      <c r="P79" s="106">
        <v>65.599999999999994</v>
      </c>
      <c r="Q79" s="106">
        <v>65.599999999999994</v>
      </c>
      <c r="R79" s="106">
        <v>65.7</v>
      </c>
      <c r="S79" s="106">
        <v>65.2</v>
      </c>
      <c r="T79" s="106">
        <v>65.2</v>
      </c>
      <c r="U79" s="106">
        <v>65.8</v>
      </c>
      <c r="V79" s="106">
        <v>65.8</v>
      </c>
      <c r="W79" s="106">
        <v>65.8</v>
      </c>
      <c r="X79" s="106">
        <v>66</v>
      </c>
      <c r="Y79" s="106">
        <v>66</v>
      </c>
      <c r="Z79" s="106">
        <v>66</v>
      </c>
      <c r="AA79" s="106">
        <v>66</v>
      </c>
      <c r="AB79" s="106">
        <v>65.900000000000006</v>
      </c>
      <c r="AC79" s="106">
        <v>66</v>
      </c>
      <c r="AD79" s="106">
        <v>66.2</v>
      </c>
      <c r="AE79" s="106">
        <v>65.7</v>
      </c>
      <c r="AF79" s="107">
        <v>65.2</v>
      </c>
      <c r="AG79" s="108"/>
      <c r="AH79" s="52">
        <f>MAX(B79:AF79)</f>
        <v>66.8</v>
      </c>
      <c r="AI79" s="53">
        <f>MIN(B79:AF79)</f>
        <v>64.5</v>
      </c>
    </row>
    <row r="80" spans="1:35" x14ac:dyDescent="0.25">
      <c r="A80" s="109" t="s">
        <v>87</v>
      </c>
      <c r="B80" s="110">
        <f t="shared" ref="B80:AF80" si="19">SUMIF(B48:B57,"&gt;0")</f>
        <v>125</v>
      </c>
      <c r="C80" s="110">
        <f t="shared" si="19"/>
        <v>124.5</v>
      </c>
      <c r="D80" s="110">
        <f t="shared" si="19"/>
        <v>116.58</v>
      </c>
      <c r="E80" s="110">
        <f t="shared" si="19"/>
        <v>132.80000000000001</v>
      </c>
      <c r="F80" s="110">
        <f t="shared" si="19"/>
        <v>114</v>
      </c>
      <c r="G80" s="110">
        <f t="shared" si="19"/>
        <v>101</v>
      </c>
      <c r="H80" s="110">
        <f t="shared" si="19"/>
        <v>97.5</v>
      </c>
      <c r="I80" s="110">
        <f t="shared" si="19"/>
        <v>108.7</v>
      </c>
      <c r="J80" s="110">
        <f t="shared" si="19"/>
        <v>127.5</v>
      </c>
      <c r="K80" s="110">
        <f t="shared" si="19"/>
        <v>117.7</v>
      </c>
      <c r="L80" s="110">
        <f t="shared" si="19"/>
        <v>149</v>
      </c>
      <c r="M80" s="110">
        <f t="shared" si="19"/>
        <v>154.9</v>
      </c>
      <c r="N80" s="110">
        <f t="shared" si="19"/>
        <v>191</v>
      </c>
      <c r="O80" s="110">
        <f t="shared" si="19"/>
        <v>178</v>
      </c>
      <c r="P80" s="110">
        <f t="shared" si="19"/>
        <v>158</v>
      </c>
      <c r="Q80" s="110">
        <f t="shared" si="19"/>
        <v>178</v>
      </c>
      <c r="R80" s="110">
        <f t="shared" si="19"/>
        <v>177.1</v>
      </c>
      <c r="S80" s="110">
        <f t="shared" si="19"/>
        <v>228.9</v>
      </c>
      <c r="T80" s="110">
        <f t="shared" si="19"/>
        <v>173</v>
      </c>
      <c r="U80" s="110">
        <f t="shared" si="19"/>
        <v>125</v>
      </c>
      <c r="V80" s="110">
        <f t="shared" si="19"/>
        <v>152</v>
      </c>
      <c r="W80" s="110">
        <f t="shared" si="19"/>
        <v>143</v>
      </c>
      <c r="X80" s="110">
        <f t="shared" si="19"/>
        <v>186</v>
      </c>
      <c r="Y80" s="110">
        <f t="shared" si="19"/>
        <v>210</v>
      </c>
      <c r="Z80" s="110">
        <f t="shared" si="19"/>
        <v>291</v>
      </c>
      <c r="AA80" s="110">
        <f t="shared" si="19"/>
        <v>308</v>
      </c>
      <c r="AB80" s="110">
        <f t="shared" si="19"/>
        <v>280.3</v>
      </c>
      <c r="AC80" s="110">
        <f t="shared" si="19"/>
        <v>273.60000000000002</v>
      </c>
      <c r="AD80" s="110">
        <f t="shared" si="19"/>
        <v>256.8</v>
      </c>
      <c r="AE80" s="110">
        <f t="shared" si="19"/>
        <v>201.2</v>
      </c>
      <c r="AF80" s="110">
        <f t="shared" si="19"/>
        <v>191.9</v>
      </c>
      <c r="AG80" s="111"/>
      <c r="AH80" s="52">
        <f>MAX(B80:AF80)</f>
        <v>308</v>
      </c>
      <c r="AI80" s="53">
        <f>MIN(B80:AF80)</f>
        <v>97.5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123.72000000000003</v>
      </c>
      <c r="C82" s="115">
        <f t="shared" ref="C82:AF82" si="20">C11+C13+C17+C34+C36+C38+C40+C94+C108+C110+C121+C127+C130+C139+C143+C144+C147+C154+C159+C162+C163+C164+C172+C177+C83+C84+C85+C86+C99</f>
        <v>106.72000000000003</v>
      </c>
      <c r="D82" s="115">
        <f t="shared" si="20"/>
        <v>99.619999999999976</v>
      </c>
      <c r="E82" s="115">
        <f t="shared" si="20"/>
        <v>104.71999999999994</v>
      </c>
      <c r="F82" s="115">
        <f t="shared" si="20"/>
        <v>107.51999999999995</v>
      </c>
      <c r="G82" s="115">
        <f t="shared" si="20"/>
        <v>144.41999999999999</v>
      </c>
      <c r="H82" s="115">
        <f t="shared" si="20"/>
        <v>152.61999999999998</v>
      </c>
      <c r="I82" s="115">
        <f t="shared" si="20"/>
        <v>185.92</v>
      </c>
      <c r="J82" s="115">
        <f t="shared" si="20"/>
        <v>185.81999999999996</v>
      </c>
      <c r="K82" s="115">
        <f t="shared" si="20"/>
        <v>203.11999999999998</v>
      </c>
      <c r="L82" s="115">
        <f t="shared" si="20"/>
        <v>202.21999999999994</v>
      </c>
      <c r="M82" s="115">
        <f t="shared" si="20"/>
        <v>181.31999999999996</v>
      </c>
      <c r="N82" s="115">
        <f t="shared" si="20"/>
        <v>180.11999999999995</v>
      </c>
      <c r="O82" s="115">
        <f t="shared" si="20"/>
        <v>175.82</v>
      </c>
      <c r="P82" s="115">
        <f t="shared" si="20"/>
        <v>181.22</v>
      </c>
      <c r="Q82" s="115">
        <f>Q11+Q13+Q17+Q34+Q36+Q38+Q40+Q94+Q108+Q110+Q121+Q127+Q130+Q139+Q143+Q144+Q147+Q154+Q159+Q162+Q163+Q164+Q172+Q177+Q83+Q84+Q85+Q86+Q99</f>
        <v>169.61999999999998</v>
      </c>
      <c r="R82" s="115">
        <f t="shared" si="20"/>
        <v>189.92</v>
      </c>
      <c r="S82" s="115">
        <f t="shared" si="20"/>
        <v>193.32</v>
      </c>
      <c r="T82" s="115">
        <f t="shared" si="20"/>
        <v>194.92</v>
      </c>
      <c r="U82" s="115">
        <f t="shared" si="20"/>
        <v>187.51999999999995</v>
      </c>
      <c r="V82" s="115">
        <f t="shared" si="20"/>
        <v>200.02</v>
      </c>
      <c r="W82" s="115">
        <f t="shared" si="20"/>
        <v>202.62000000000003</v>
      </c>
      <c r="X82" s="115">
        <f t="shared" si="20"/>
        <v>217.42000000000002</v>
      </c>
      <c r="Y82" s="115">
        <f t="shared" si="20"/>
        <v>233.82000000000002</v>
      </c>
      <c r="Z82" s="115">
        <f t="shared" si="20"/>
        <v>254.12000000000003</v>
      </c>
      <c r="AA82" s="115">
        <f t="shared" si="20"/>
        <v>245.92000000000002</v>
      </c>
      <c r="AB82" s="115">
        <f t="shared" si="20"/>
        <v>216.21999999999994</v>
      </c>
      <c r="AC82" s="115">
        <f t="shared" si="20"/>
        <v>191.82</v>
      </c>
      <c r="AD82" s="115">
        <f t="shared" si="20"/>
        <v>148.11999999999998</v>
      </c>
      <c r="AE82" s="115">
        <f t="shared" si="20"/>
        <v>121.21999999999998</v>
      </c>
      <c r="AF82" s="115">
        <f t="shared" si="20"/>
        <v>109.41999999999999</v>
      </c>
      <c r="AG82" s="116"/>
      <c r="AH82" s="52">
        <f>MAX(B82:AF82)</f>
        <v>254.12000000000003</v>
      </c>
      <c r="AI82" s="53">
        <f>MIN(B82:AF82)</f>
        <v>99.619999999999976</v>
      </c>
    </row>
    <row r="83" spans="1:37" x14ac:dyDescent="0.25">
      <c r="A83" s="117" t="s">
        <v>89</v>
      </c>
      <c r="B83" s="259">
        <v>60</v>
      </c>
      <c r="C83" s="259">
        <v>60</v>
      </c>
      <c r="D83" s="259">
        <v>49.1</v>
      </c>
      <c r="E83" s="259">
        <v>67</v>
      </c>
      <c r="F83" s="259">
        <v>64.5</v>
      </c>
      <c r="G83" s="259">
        <v>70.900000000000006</v>
      </c>
      <c r="H83" s="259">
        <v>68.3</v>
      </c>
      <c r="I83" s="259">
        <v>75.2</v>
      </c>
      <c r="J83" s="259">
        <v>70.8</v>
      </c>
      <c r="K83" s="259">
        <v>76</v>
      </c>
      <c r="L83" s="259">
        <v>63.9</v>
      </c>
      <c r="M83" s="259">
        <v>53.2</v>
      </c>
      <c r="N83" s="259">
        <v>57.8</v>
      </c>
      <c r="O83" s="259">
        <v>58.2</v>
      </c>
      <c r="P83" s="259">
        <v>60</v>
      </c>
      <c r="Q83" s="259">
        <v>64.400000000000006</v>
      </c>
      <c r="R83" s="259">
        <v>62.2</v>
      </c>
      <c r="S83" s="259">
        <v>56.3</v>
      </c>
      <c r="T83" s="259">
        <v>60</v>
      </c>
      <c r="U83" s="259">
        <v>68.5</v>
      </c>
      <c r="V83" s="259">
        <v>69.5</v>
      </c>
      <c r="W83" s="259">
        <v>69</v>
      </c>
      <c r="X83" s="259">
        <v>66</v>
      </c>
      <c r="Y83" s="259">
        <v>68</v>
      </c>
      <c r="Z83" s="259">
        <v>64</v>
      </c>
      <c r="AA83" s="284">
        <v>60</v>
      </c>
      <c r="AB83" s="260">
        <v>65.7</v>
      </c>
      <c r="AC83" s="260">
        <v>65</v>
      </c>
      <c r="AD83" s="260">
        <v>58.6</v>
      </c>
      <c r="AE83" s="260">
        <v>67.099999999999994</v>
      </c>
      <c r="AF83" s="119">
        <v>68.400000000000006</v>
      </c>
      <c r="AG83" s="120">
        <v>75</v>
      </c>
      <c r="AH83" s="52">
        <f>IF(ABS(MAX(B83:AF83))&gt;ABS(MIN(B83:AF83)),MAX(B83:AF83),MIN(B83:AF83))</f>
        <v>76</v>
      </c>
      <c r="AI83" s="121">
        <f>INDEX($B$9:$AF$9,1,MATCH(AH83,B83:AF83,0))</f>
        <v>0.3125</v>
      </c>
    </row>
    <row r="84" spans="1:37" x14ac:dyDescent="0.25">
      <c r="A84" s="122" t="s">
        <v>90</v>
      </c>
      <c r="B84" s="255">
        <v>-50</v>
      </c>
      <c r="C84" s="255">
        <v>-67</v>
      </c>
      <c r="D84" s="255">
        <v>-60</v>
      </c>
      <c r="E84" s="255">
        <v>-57</v>
      </c>
      <c r="F84" s="255">
        <v>-60</v>
      </c>
      <c r="G84" s="255">
        <v>-45</v>
      </c>
      <c r="H84" s="255">
        <v>-42</v>
      </c>
      <c r="I84" s="255">
        <v>-38</v>
      </c>
      <c r="J84" s="255">
        <v>-36</v>
      </c>
      <c r="K84" s="255">
        <v>-37</v>
      </c>
      <c r="L84" s="255">
        <v>-43.9</v>
      </c>
      <c r="M84" s="255">
        <v>-62.6</v>
      </c>
      <c r="N84" s="255">
        <v>-60.7</v>
      </c>
      <c r="O84" s="255">
        <v>-58</v>
      </c>
      <c r="P84" s="255">
        <v>-62</v>
      </c>
      <c r="Q84" s="255">
        <v>-65</v>
      </c>
      <c r="R84" s="255">
        <v>-41</v>
      </c>
      <c r="S84" s="255">
        <v>-25</v>
      </c>
      <c r="T84" s="255">
        <v>-30</v>
      </c>
      <c r="U84" s="255">
        <v>-39.5</v>
      </c>
      <c r="V84" s="255">
        <v>-40</v>
      </c>
      <c r="W84" s="255">
        <v>-40</v>
      </c>
      <c r="X84" s="255">
        <v>-49</v>
      </c>
      <c r="Y84" s="255">
        <v>-29</v>
      </c>
      <c r="Z84" s="255">
        <v>-19</v>
      </c>
      <c r="AA84" s="283">
        <v>-17</v>
      </c>
      <c r="AB84" s="253">
        <v>-33.4</v>
      </c>
      <c r="AC84" s="253">
        <v>-39</v>
      </c>
      <c r="AD84" s="253">
        <v>-49</v>
      </c>
      <c r="AE84" s="253">
        <v>-64</v>
      </c>
      <c r="AF84" s="123">
        <v>-59</v>
      </c>
      <c r="AG84" s="120">
        <v>240</v>
      </c>
      <c r="AH84" s="52">
        <f>IF(ABS(MAX(B84:AF84))&gt;ABS(MIN(B84:AF84)),MAX(B84:AF84),MIN(B84:AF84))</f>
        <v>-67</v>
      </c>
      <c r="AI84" s="121">
        <f>INDEX($B$9:$AF$9,1,MATCH(AH84,B84:AF84,0))</f>
        <v>8.3333333333333301E-2</v>
      </c>
    </row>
    <row r="85" spans="1:37" x14ac:dyDescent="0.25">
      <c r="A85" s="122" t="s">
        <v>91</v>
      </c>
      <c r="B85" s="255">
        <v>3</v>
      </c>
      <c r="C85" s="255">
        <v>5</v>
      </c>
      <c r="D85" s="255">
        <v>5.7</v>
      </c>
      <c r="E85" s="255">
        <v>-8.9</v>
      </c>
      <c r="F85" s="255">
        <v>-6.5</v>
      </c>
      <c r="G85" s="255">
        <v>-5.3</v>
      </c>
      <c r="H85" s="255">
        <v>-2.6</v>
      </c>
      <c r="I85" s="255">
        <v>-0.7</v>
      </c>
      <c r="J85" s="255">
        <v>9</v>
      </c>
      <c r="K85" s="255">
        <v>16</v>
      </c>
      <c r="L85" s="255">
        <v>20</v>
      </c>
      <c r="M85" s="255">
        <v>39</v>
      </c>
      <c r="N85" s="255">
        <v>31.7</v>
      </c>
      <c r="O85" s="255">
        <v>35.299999999999997</v>
      </c>
      <c r="P85" s="255">
        <v>35.299999999999997</v>
      </c>
      <c r="Q85" s="255">
        <v>28.3</v>
      </c>
      <c r="R85" s="255">
        <v>28.3</v>
      </c>
      <c r="S85" s="255">
        <v>19.899999999999999</v>
      </c>
      <c r="T85" s="255">
        <v>20</v>
      </c>
      <c r="U85" s="255">
        <v>20</v>
      </c>
      <c r="V85" s="255">
        <v>19.3</v>
      </c>
      <c r="W85" s="255">
        <v>18.8</v>
      </c>
      <c r="X85" s="255">
        <v>29.5</v>
      </c>
      <c r="Y85" s="255">
        <v>30.3</v>
      </c>
      <c r="Z85" s="255">
        <v>35</v>
      </c>
      <c r="AA85" s="283">
        <v>32</v>
      </c>
      <c r="AB85" s="253">
        <v>27.3</v>
      </c>
      <c r="AC85" s="253">
        <v>22.5</v>
      </c>
      <c r="AD85" s="253">
        <v>15.6</v>
      </c>
      <c r="AE85" s="253">
        <v>8.3000000000000007</v>
      </c>
      <c r="AF85" s="123">
        <v>4.7</v>
      </c>
      <c r="AG85" s="120">
        <v>60</v>
      </c>
      <c r="AH85" s="52">
        <f>IF(ABS(MAX(B85:AF85))&gt;ABS(MIN(B85:AF85)),MAX(B85:AF85),MIN(B85:AF85))</f>
        <v>39</v>
      </c>
      <c r="AI85" s="121">
        <f>INDEX($B$9:$AF$9,1,MATCH(AH85,B85:AF85,0))</f>
        <v>0.375</v>
      </c>
    </row>
    <row r="86" spans="1:37" x14ac:dyDescent="0.25">
      <c r="A86" s="124" t="s">
        <v>92</v>
      </c>
      <c r="B86" s="257">
        <v>-98</v>
      </c>
      <c r="C86" s="257">
        <v>-100</v>
      </c>
      <c r="D86" s="257">
        <v>-104</v>
      </c>
      <c r="E86" s="257">
        <v>-108</v>
      </c>
      <c r="F86" s="257">
        <v>-103.6</v>
      </c>
      <c r="G86" s="257">
        <v>-91.4</v>
      </c>
      <c r="H86" s="257">
        <v>-90.5</v>
      </c>
      <c r="I86" s="257">
        <v>-69</v>
      </c>
      <c r="J86" s="257">
        <v>-77</v>
      </c>
      <c r="K86" s="257">
        <v>-70.8</v>
      </c>
      <c r="L86" s="257">
        <v>-58.1</v>
      </c>
      <c r="M86" s="257">
        <v>-67.2</v>
      </c>
      <c r="N86" s="257">
        <v>-66.599999999999994</v>
      </c>
      <c r="O86" s="257">
        <v>-77.599999999999994</v>
      </c>
      <c r="P86" s="257">
        <v>-70</v>
      </c>
      <c r="Q86" s="257">
        <v>-76</v>
      </c>
      <c r="R86" s="257">
        <v>-68</v>
      </c>
      <c r="S86" s="257">
        <v>-68.099999999999994</v>
      </c>
      <c r="T86" s="257">
        <v>-70</v>
      </c>
      <c r="U86" s="257">
        <v>-72.8</v>
      </c>
      <c r="V86" s="257">
        <v>-60.3</v>
      </c>
      <c r="W86" s="257">
        <v>-56.7</v>
      </c>
      <c r="X86" s="257">
        <v>-40.6</v>
      </c>
      <c r="Y86" s="257">
        <v>-47</v>
      </c>
      <c r="Z86" s="257">
        <v>-39</v>
      </c>
      <c r="AA86" s="285">
        <v>-42.6</v>
      </c>
      <c r="AB86" s="125">
        <v>-55.8</v>
      </c>
      <c r="AC86" s="125">
        <v>-66.599999999999994</v>
      </c>
      <c r="AD86" s="125">
        <v>-86.9</v>
      </c>
      <c r="AE86" s="125">
        <v>-98.2</v>
      </c>
      <c r="AF86" s="126">
        <v>-110</v>
      </c>
      <c r="AG86" s="127">
        <v>120</v>
      </c>
      <c r="AH86" s="52">
        <f>IF(ABS(MAX(B86:AF86))&gt;ABS(MIN(B86:AF86)),MAX(B86:AF86),MIN(B86:AF86))</f>
        <v>-110</v>
      </c>
      <c r="AI86" s="121">
        <f>INDEX($B$9:$AF$9,1,MATCH(AH86,B86:AF86,0))</f>
        <v>1</v>
      </c>
    </row>
    <row r="87" spans="1:37" ht="15.75" thickBot="1" x14ac:dyDescent="0.3">
      <c r="A87" s="124" t="s">
        <v>93</v>
      </c>
      <c r="B87" s="257">
        <v>15</v>
      </c>
      <c r="C87" s="257">
        <v>12</v>
      </c>
      <c r="D87" s="257">
        <v>21.6</v>
      </c>
      <c r="E87" s="257">
        <v>28.4</v>
      </c>
      <c r="F87" s="257">
        <v>29.7</v>
      </c>
      <c r="G87" s="257">
        <v>21.2</v>
      </c>
      <c r="H87" s="257">
        <v>23.9</v>
      </c>
      <c r="I87" s="257">
        <v>27.6</v>
      </c>
      <c r="J87" s="257">
        <v>23.3</v>
      </c>
      <c r="K87" s="257">
        <v>12.8</v>
      </c>
      <c r="L87" s="257">
        <v>31.9</v>
      </c>
      <c r="M87" s="257">
        <v>13.6</v>
      </c>
      <c r="N87" s="257">
        <v>23.5</v>
      </c>
      <c r="O87" s="257">
        <v>18.8</v>
      </c>
      <c r="P87" s="257">
        <v>18.8</v>
      </c>
      <c r="Q87" s="257">
        <v>18.3</v>
      </c>
      <c r="R87" s="257">
        <v>22</v>
      </c>
      <c r="S87" s="257">
        <v>36.299999999999997</v>
      </c>
      <c r="T87" s="257">
        <v>30</v>
      </c>
      <c r="U87" s="257">
        <v>12.5</v>
      </c>
      <c r="V87" s="257">
        <v>10</v>
      </c>
      <c r="W87" s="257">
        <v>10</v>
      </c>
      <c r="X87" s="257">
        <v>10</v>
      </c>
      <c r="Y87" s="257">
        <v>11</v>
      </c>
      <c r="Z87" s="257">
        <v>24</v>
      </c>
      <c r="AA87" s="292">
        <v>28</v>
      </c>
      <c r="AB87" s="125">
        <v>19.7</v>
      </c>
      <c r="AC87" s="125">
        <v>12.6</v>
      </c>
      <c r="AD87" s="125">
        <v>20.100000000000001</v>
      </c>
      <c r="AE87" s="125">
        <v>11</v>
      </c>
      <c r="AF87" s="126">
        <v>16.2</v>
      </c>
      <c r="AG87" s="127"/>
      <c r="AH87" s="52">
        <f>IF(ABS(MAX(B87:AF87))&gt;ABS(MIN(B87:AF87)),MAX(B87:AF87),MIN(B87:AF87))</f>
        <v>36.299999999999997</v>
      </c>
      <c r="AI87" s="121">
        <f>INDEX($B$9:$AF$9,1,MATCH(AH87,B87:AF87,0))</f>
        <v>0.625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6"/>
      <c r="AG180" s="111"/>
      <c r="AH180" s="2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2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  <c r="AF186" s="246"/>
      <c r="AG186" s="246"/>
      <c r="AH186" s="246"/>
    </row>
    <row r="187" spans="1:50" x14ac:dyDescent="0.25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</row>
    <row r="188" spans="1:50" x14ac:dyDescent="0.25">
      <c r="A188" s="162" t="s">
        <v>189</v>
      </c>
      <c r="B188" s="163">
        <f>MAX(F65:M65)</f>
        <v>1079.54</v>
      </c>
      <c r="C188" s="164">
        <f>INDEX(F9:M9,1,MATCH(MAX(F65:M65),F65:M65,0))</f>
        <v>0.375</v>
      </c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6"/>
      <c r="AG188" s="246"/>
      <c r="AH188" s="246"/>
    </row>
    <row r="189" spans="1:50" x14ac:dyDescent="0.25"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165" t="str">
        <f ca="1">MID(CELL("filename",C7),FIND("]",CELL("filename",C7))+1,600)</f>
        <v>30</v>
      </c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  <c r="AH189" s="246"/>
    </row>
    <row r="190" spans="1:50" x14ac:dyDescent="0.25">
      <c r="A190" s="334" t="s">
        <v>190</v>
      </c>
      <c r="B190" s="334"/>
      <c r="C190" s="246"/>
      <c r="D190" s="165" t="str">
        <f ca="1">"Pie Chart of Daily Peak Demand(Inclusive of Export) of Nepal ("&amp;A4&amp;" "&amp;C4&amp;")"</f>
        <v>Pie Chart of Daily Peak Demand(Inclusive of Export) of Nepal (Date: 2078 Jestha 30)</v>
      </c>
      <c r="E190" s="246"/>
      <c r="F190" s="246"/>
      <c r="G190" s="165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165" t="str">
        <f ca="1">"Daily Load Curve(Excluding of Export) of Nepal ("&amp;A4&amp;" "&amp;C4&amp;")"</f>
        <v>Daily Load Curve(Excluding of Export) of Nepal (Date: 2078 Jestha 30)</v>
      </c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  <c r="AF190" s="246"/>
      <c r="AG190" s="246"/>
      <c r="AH190" s="246"/>
    </row>
    <row r="191" spans="1:50" ht="15.75" thickBot="1" x14ac:dyDescent="0.3">
      <c r="A191" s="166" t="s">
        <v>7</v>
      </c>
      <c r="B191" s="167"/>
      <c r="C191" s="246"/>
      <c r="D191" s="168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  <c r="AH191" s="246"/>
    </row>
    <row r="192" spans="1:50" ht="12.75" customHeight="1" thickTop="1" x14ac:dyDescent="0.25">
      <c r="A192" s="166" t="s">
        <v>191</v>
      </c>
      <c r="B192" s="167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 t="s">
        <v>194</v>
      </c>
      <c r="T193" s="173">
        <f t="shared" ref="T193:AX193" si="37">B65</f>
        <v>1050.7400000000002</v>
      </c>
      <c r="U193" s="173">
        <f t="shared" si="37"/>
        <v>1024.54</v>
      </c>
      <c r="V193" s="173">
        <f t="shared" si="37"/>
        <v>1012.5200000000001</v>
      </c>
      <c r="W193" s="173">
        <f t="shared" si="37"/>
        <v>983.84000000000015</v>
      </c>
      <c r="X193" s="173">
        <f t="shared" si="37"/>
        <v>947.74</v>
      </c>
      <c r="Y193" s="173">
        <f t="shared" si="37"/>
        <v>941.74</v>
      </c>
      <c r="Z193" s="173">
        <f t="shared" si="37"/>
        <v>939.04000000000019</v>
      </c>
      <c r="AA193" s="173">
        <f t="shared" si="37"/>
        <v>966.54000000000019</v>
      </c>
      <c r="AB193" s="173">
        <f t="shared" si="37"/>
        <v>978.44</v>
      </c>
      <c r="AC193" s="173">
        <f t="shared" si="37"/>
        <v>981.6400000000001</v>
      </c>
      <c r="AD193" s="173">
        <f t="shared" si="37"/>
        <v>1064.24</v>
      </c>
      <c r="AE193" s="173">
        <f t="shared" si="37"/>
        <v>1079.54</v>
      </c>
      <c r="AF193" s="173">
        <f t="shared" si="37"/>
        <v>1087.24</v>
      </c>
      <c r="AG193" s="173">
        <f t="shared" si="37"/>
        <v>1084.8400000000001</v>
      </c>
      <c r="AH193" s="173">
        <f t="shared" si="37"/>
        <v>1065.3400000000001</v>
      </c>
      <c r="AI193" s="173">
        <f t="shared" si="37"/>
        <v>1107.3400000000001</v>
      </c>
      <c r="AJ193" s="173">
        <f t="shared" si="37"/>
        <v>1097.24</v>
      </c>
      <c r="AK193" s="173">
        <f t="shared" si="37"/>
        <v>1092.44</v>
      </c>
      <c r="AL193" s="173">
        <f t="shared" si="37"/>
        <v>1052.54</v>
      </c>
      <c r="AM193" s="173">
        <f t="shared" si="37"/>
        <v>1021.1400000000001</v>
      </c>
      <c r="AN193" s="173">
        <f t="shared" si="37"/>
        <v>1022.24</v>
      </c>
      <c r="AO193" s="173">
        <f t="shared" si="37"/>
        <v>1029.8400000000001</v>
      </c>
      <c r="AP193" s="173">
        <f t="shared" si="37"/>
        <v>1103.1400000000001</v>
      </c>
      <c r="AQ193" s="173">
        <f t="shared" si="37"/>
        <v>1139.8400000000001</v>
      </c>
      <c r="AR193" s="173">
        <f t="shared" si="37"/>
        <v>1230.24</v>
      </c>
      <c r="AS193" s="173">
        <f t="shared" si="37"/>
        <v>1251.74</v>
      </c>
      <c r="AT193" s="173">
        <f t="shared" si="37"/>
        <v>1217.3400000000001</v>
      </c>
      <c r="AU193" s="173">
        <f t="shared" si="37"/>
        <v>1207.5400000000002</v>
      </c>
      <c r="AV193" s="173">
        <f t="shared" si="37"/>
        <v>1187.0400000000002</v>
      </c>
      <c r="AW193" s="173">
        <f t="shared" si="37"/>
        <v>1103.8400000000001</v>
      </c>
      <c r="AX193" s="173">
        <f t="shared" si="37"/>
        <v>1087.7400000000002</v>
      </c>
    </row>
    <row r="194" spans="1:50" x14ac:dyDescent="0.25">
      <c r="A194" s="166" t="s">
        <v>195</v>
      </c>
      <c r="B194" s="167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  <c r="AF194" s="246"/>
      <c r="AG194" s="246"/>
      <c r="AH194" s="246"/>
    </row>
    <row r="195" spans="1:50" x14ac:dyDescent="0.25">
      <c r="A195" s="166" t="s">
        <v>196</v>
      </c>
      <c r="B195" s="167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</row>
    <row r="196" spans="1:50" x14ac:dyDescent="0.25">
      <c r="A196" s="166" t="s">
        <v>197</v>
      </c>
      <c r="B196" s="167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  <c r="AH196" s="246"/>
    </row>
    <row r="197" spans="1:50" x14ac:dyDescent="0.25">
      <c r="A197" s="166" t="s">
        <v>198</v>
      </c>
      <c r="B197" s="174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  <c r="AH197" s="246"/>
    </row>
    <row r="198" spans="1:50" x14ac:dyDescent="0.25">
      <c r="A198" s="166" t="s">
        <v>199</v>
      </c>
      <c r="B198" s="167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  <c r="AH198" s="246"/>
    </row>
    <row r="199" spans="1:50" x14ac:dyDescent="0.25"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</row>
    <row r="200" spans="1:50" x14ac:dyDescent="0.25"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  <c r="AH200" s="246"/>
    </row>
    <row r="201" spans="1:50" x14ac:dyDescent="0.25"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</row>
    <row r="202" spans="1:50" x14ac:dyDescent="0.25"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</row>
    <row r="203" spans="1:50" x14ac:dyDescent="0.25"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</row>
    <row r="204" spans="1:50" x14ac:dyDescent="0.25"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</row>
    <row r="205" spans="1:50" x14ac:dyDescent="0.25"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</row>
    <row r="206" spans="1:50" x14ac:dyDescent="0.25"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</row>
    <row r="207" spans="1:50" x14ac:dyDescent="0.25"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</row>
    <row r="208" spans="1:50" x14ac:dyDescent="0.25"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</row>
    <row r="209" spans="1:34" x14ac:dyDescent="0.25"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</row>
    <row r="210" spans="1:34" x14ac:dyDescent="0.25"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</row>
    <row r="211" spans="1:34" x14ac:dyDescent="0.25"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</row>
    <row r="212" spans="1:34" x14ac:dyDescent="0.25"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</row>
    <row r="213" spans="1:34" x14ac:dyDescent="0.25"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</row>
    <row r="214" spans="1:34" x14ac:dyDescent="0.25">
      <c r="A214" s="250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246"/>
      <c r="AH214" s="2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246"/>
      <c r="AH215" s="2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246"/>
      <c r="AH216" s="2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246"/>
      <c r="AH217" s="2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246"/>
      <c r="AH218" s="246"/>
    </row>
    <row r="219" spans="1:34" x14ac:dyDescent="0.25"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</row>
    <row r="220" spans="1:34" x14ac:dyDescent="0.25"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</row>
    <row r="221" spans="1:34" x14ac:dyDescent="0.25"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</row>
    <row r="222" spans="1:34" x14ac:dyDescent="0.25"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</row>
    <row r="223" spans="1:34" x14ac:dyDescent="0.25"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</row>
    <row r="224" spans="1:34" x14ac:dyDescent="0.25"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</row>
    <row r="225" spans="2:32" x14ac:dyDescent="0.25"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63" priority="169">
      <formula>S$9&gt;=20/24</formula>
    </cfRule>
    <cfRule type="expression" dxfId="662" priority="170">
      <formula>AND(S$9&gt;=14/24,S$9&lt;20/24)</formula>
    </cfRule>
    <cfRule type="expression" dxfId="661" priority="171">
      <formula>AND(S$9&gt;=8/24,S$9&lt;14/24)</formula>
    </cfRule>
    <cfRule type="expression" dxfId="660" priority="172">
      <formula>S$9&lt;8/24</formula>
    </cfRule>
  </conditionalFormatting>
  <conditionalFormatting sqref="B8:AF10 AA70:AF70 B70:Q70 B47:AF47 B71:AF71 B48:K50 C173:AF179 M36 L29:Q29 L49:T50 V35:W35 AA72:AF79 AA48:AF50 B59:AF69 D51:K51 B51:C58 D52:G52 H52:K58 N36:N39 L32:Z33 L31:Q31 N35:Q36 L34:Q34 B72:Q79 M37:Z39 L51:Z58 R11:T11 T32:T34 S34:W34 L44:AF46 U11:Z12 Y32:Y35 R73:Z79 W34:Z35 AA51">
    <cfRule type="expression" dxfId="659" priority="165">
      <formula>B$9&gt;=20/24</formula>
    </cfRule>
    <cfRule type="expression" dxfId="658" priority="166">
      <formula>AND(B$9&gt;=14/24,B$9&lt;20/24)</formula>
    </cfRule>
    <cfRule type="expression" dxfId="657" priority="167">
      <formula>AND(B$9&gt;=8/24,B$9&lt;14/24)</formula>
    </cfRule>
    <cfRule type="expression" dxfId="656" priority="168">
      <formula>B$9&lt;8/24</formula>
    </cfRule>
  </conditionalFormatting>
  <conditionalFormatting sqref="B171:AF171">
    <cfRule type="expression" dxfId="655" priority="161">
      <formula>B$9&gt;=20/24</formula>
    </cfRule>
    <cfRule type="expression" dxfId="654" priority="162">
      <formula>AND(B$9&gt;=14/24,B$9&lt;20/24)</formula>
    </cfRule>
    <cfRule type="expression" dxfId="653" priority="163">
      <formula>AND(B$9&gt;=8/24,B$9&lt;14/24)</formula>
    </cfRule>
    <cfRule type="expression" dxfId="652" priority="164">
      <formula>B$9&lt;8/24</formula>
    </cfRule>
  </conditionalFormatting>
  <conditionalFormatting sqref="AL4:AL6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651" priority="156">
      <formula>L$9&gt;=20/24</formula>
    </cfRule>
    <cfRule type="expression" dxfId="650" priority="157">
      <formula>AND(L$9&gt;=14/24,L$9&lt;20/24)</formula>
    </cfRule>
    <cfRule type="expression" dxfId="649" priority="158">
      <formula>AND(L$9&gt;=8/24,L$9&lt;14/24)</formula>
    </cfRule>
    <cfRule type="expression" dxfId="648" priority="159">
      <formula>L$9&lt;8/24</formula>
    </cfRule>
  </conditionalFormatting>
  <conditionalFormatting sqref="L35:M35">
    <cfRule type="expression" dxfId="647" priority="152">
      <formula>L$9&gt;=20/24</formula>
    </cfRule>
    <cfRule type="expression" dxfId="646" priority="153">
      <formula>AND(L$9&gt;=14/24,L$9&lt;20/24)</formula>
    </cfRule>
    <cfRule type="expression" dxfId="645" priority="154">
      <formula>AND(L$9&gt;=8/24,L$9&lt;14/24)</formula>
    </cfRule>
    <cfRule type="expression" dxfId="644" priority="155">
      <formula>L$9&lt;8/24</formula>
    </cfRule>
  </conditionalFormatting>
  <conditionalFormatting sqref="U13:Z13">
    <cfRule type="expression" dxfId="643" priority="148">
      <formula>U$9&gt;=20/24</formula>
    </cfRule>
    <cfRule type="expression" dxfId="642" priority="149">
      <formula>AND(U$9&gt;=14/24,U$9&lt;20/24)</formula>
    </cfRule>
    <cfRule type="expression" dxfId="641" priority="150">
      <formula>AND(U$9&gt;=8/24,U$9&lt;14/24)</formula>
    </cfRule>
    <cfRule type="expression" dxfId="640" priority="151">
      <formula>U$9&lt;8/24</formula>
    </cfRule>
  </conditionalFormatting>
  <conditionalFormatting sqref="R31:Z31">
    <cfRule type="expression" dxfId="639" priority="144">
      <formula>R$9&gt;=20/24</formula>
    </cfRule>
    <cfRule type="expression" dxfId="638" priority="145">
      <formula>AND(R$9&gt;=14/24,R$9&lt;20/24)</formula>
    </cfRule>
    <cfRule type="expression" dxfId="637" priority="146">
      <formula>AND(R$9&gt;=8/24,R$9&lt;14/24)</formula>
    </cfRule>
    <cfRule type="expression" dxfId="636" priority="147">
      <formula>R$9&lt;8/24</formula>
    </cfRule>
  </conditionalFormatting>
  <conditionalFormatting sqref="R48:Z48">
    <cfRule type="expression" dxfId="635" priority="140">
      <formula>R$9&gt;=20/24</formula>
    </cfRule>
    <cfRule type="expression" dxfId="634" priority="141">
      <formula>AND(R$9&gt;=14/24,R$9&lt;20/24)</formula>
    </cfRule>
    <cfRule type="expression" dxfId="633" priority="142">
      <formula>AND(R$9&gt;=8/24,R$9&lt;14/24)</formula>
    </cfRule>
    <cfRule type="expression" dxfId="632" priority="143">
      <formula>R$9&lt;8/24</formula>
    </cfRule>
  </conditionalFormatting>
  <conditionalFormatting sqref="R70:Z70">
    <cfRule type="expression" dxfId="631" priority="136">
      <formula>R$9&gt;=20/24</formula>
    </cfRule>
    <cfRule type="expression" dxfId="630" priority="137">
      <formula>AND(R$9&gt;=14/24,R$9&lt;20/24)</formula>
    </cfRule>
    <cfRule type="expression" dxfId="629" priority="138">
      <formula>AND(R$9&gt;=8/24,R$9&lt;14/24)</formula>
    </cfRule>
    <cfRule type="expression" dxfId="628" priority="139">
      <formula>R$9&lt;8/24</formula>
    </cfRule>
  </conditionalFormatting>
  <conditionalFormatting sqref="R72:Z72">
    <cfRule type="expression" dxfId="627" priority="132">
      <formula>R$9&gt;=20/24</formula>
    </cfRule>
    <cfRule type="expression" dxfId="626" priority="133">
      <formula>AND(R$9&gt;=14/24,R$9&lt;20/24)</formula>
    </cfRule>
    <cfRule type="expression" dxfId="625" priority="134">
      <formula>AND(R$9&gt;=8/24,R$9&lt;14/24)</formula>
    </cfRule>
    <cfRule type="expression" dxfId="624" priority="135">
      <formula>R$9&lt;8/24</formula>
    </cfRule>
  </conditionalFormatting>
  <conditionalFormatting sqref="L11:Z27 AA21:AF21">
    <cfRule type="expression" dxfId="623" priority="128">
      <formula>L$9&gt;=20/24</formula>
    </cfRule>
    <cfRule type="expression" dxfId="622" priority="129">
      <formula>AND(L$9&gt;=14/24,L$9&lt;20/24)</formula>
    </cfRule>
    <cfRule type="expression" dxfId="621" priority="130">
      <formula>AND(L$9&gt;=8/24,L$9&lt;14/24)</formula>
    </cfRule>
    <cfRule type="expression" dxfId="620" priority="131">
      <formula>L$9&lt;8/24</formula>
    </cfRule>
  </conditionalFormatting>
  <conditionalFormatting sqref="L40:Z40">
    <cfRule type="expression" dxfId="619" priority="124">
      <formula>L$9&gt;=20/24</formula>
    </cfRule>
    <cfRule type="expression" dxfId="618" priority="125">
      <formula>AND(L$9&gt;=14/24,L$9&lt;20/24)</formula>
    </cfRule>
    <cfRule type="expression" dxfId="617" priority="126">
      <formula>AND(L$9&gt;=8/24,L$9&lt;14/24)</formula>
    </cfRule>
    <cfRule type="expression" dxfId="616" priority="127">
      <formula>L$9&lt;8/24</formula>
    </cfRule>
  </conditionalFormatting>
  <conditionalFormatting sqref="L41:Z41">
    <cfRule type="expression" dxfId="615" priority="120">
      <formula>L$9&gt;=20/24</formula>
    </cfRule>
    <cfRule type="expression" dxfId="614" priority="121">
      <formula>AND(L$9&gt;=14/24,L$9&lt;20/24)</formula>
    </cfRule>
    <cfRule type="expression" dxfId="613" priority="122">
      <formula>AND(L$9&gt;=8/24,L$9&lt;14/24)</formula>
    </cfRule>
    <cfRule type="expression" dxfId="612" priority="123">
      <formula>L$9&lt;8/24</formula>
    </cfRule>
  </conditionalFormatting>
  <conditionalFormatting sqref="L36:L39">
    <cfRule type="expression" dxfId="611" priority="116">
      <formula>L$9&gt;=20/24</formula>
    </cfRule>
    <cfRule type="expression" dxfId="610" priority="117">
      <formula>AND(L$9&gt;=14/24,L$9&lt;20/24)</formula>
    </cfRule>
    <cfRule type="expression" dxfId="609" priority="118">
      <formula>AND(L$9&gt;=8/24,L$9&lt;14/24)</formula>
    </cfRule>
    <cfRule type="expression" dxfId="608" priority="119">
      <formula>L$9&lt;8/24</formula>
    </cfRule>
  </conditionalFormatting>
  <conditionalFormatting sqref="R29:AD29">
    <cfRule type="expression" dxfId="607" priority="112">
      <formula>R$9&gt;=20/24</formula>
    </cfRule>
    <cfRule type="expression" dxfId="606" priority="113">
      <formula>AND(R$9&gt;=14/24,R$9&lt;20/24)</formula>
    </cfRule>
    <cfRule type="expression" dxfId="605" priority="114">
      <formula>AND(R$9&gt;=8/24,R$9&lt;14/24)</formula>
    </cfRule>
    <cfRule type="expression" dxfId="604" priority="115">
      <formula>R$9&lt;8/24</formula>
    </cfRule>
  </conditionalFormatting>
  <conditionalFormatting sqref="R12:T27 U14:Z27 AA16:AF27">
    <cfRule type="expression" dxfId="603" priority="108">
      <formula>R$9&gt;=20/24</formula>
    </cfRule>
    <cfRule type="expression" dxfId="602" priority="109">
      <formula>AND(R$9&gt;=14/24,R$9&lt;20/24)</formula>
    </cfRule>
    <cfRule type="expression" dxfId="601" priority="110">
      <formula>AND(R$9&gt;=8/24,R$9&lt;14/24)</formula>
    </cfRule>
    <cfRule type="expression" dxfId="600" priority="111">
      <formula>R$9&lt;8/24</formula>
    </cfRule>
  </conditionalFormatting>
  <conditionalFormatting sqref="R34:R39 S35:U39 V36:Z39">
    <cfRule type="expression" dxfId="599" priority="104">
      <formula>R$9&gt;=20/24</formula>
    </cfRule>
    <cfRule type="expression" dxfId="598" priority="105">
      <formula>AND(R$9&gt;=14/24,R$9&lt;20/24)</formula>
    </cfRule>
    <cfRule type="expression" dxfId="597" priority="106">
      <formula>AND(R$9&gt;=8/24,R$9&lt;14/24)</formula>
    </cfRule>
    <cfRule type="expression" dxfId="596" priority="107">
      <formula>R$9&lt;8/24</formula>
    </cfRule>
  </conditionalFormatting>
  <conditionalFormatting sqref="R40:Z40">
    <cfRule type="expression" dxfId="595" priority="100">
      <formula>R$9&gt;=20/24</formula>
    </cfRule>
    <cfRule type="expression" dxfId="594" priority="101">
      <formula>AND(R$9&gt;=14/24,R$9&lt;20/24)</formula>
    </cfRule>
    <cfRule type="expression" dxfId="593" priority="102">
      <formula>AND(R$9&gt;=8/24,R$9&lt;14/24)</formula>
    </cfRule>
    <cfRule type="expression" dxfId="592" priority="103">
      <formula>R$9&lt;8/24</formula>
    </cfRule>
  </conditionalFormatting>
  <conditionalFormatting sqref="R41:Z41">
    <cfRule type="expression" dxfId="591" priority="96">
      <formula>R$9&gt;=20/24</formula>
    </cfRule>
    <cfRule type="expression" dxfId="590" priority="97">
      <formula>AND(R$9&gt;=14/24,R$9&lt;20/24)</formula>
    </cfRule>
    <cfRule type="expression" dxfId="589" priority="98">
      <formula>AND(R$9&gt;=8/24,R$9&lt;14/24)</formula>
    </cfRule>
    <cfRule type="expression" dxfId="588" priority="99">
      <formula>R$9&lt;8/24</formula>
    </cfRule>
  </conditionalFormatting>
  <conditionalFormatting sqref="AA52:AA58">
    <cfRule type="expression" dxfId="587" priority="92">
      <formula>AA$9&gt;=20/24</formula>
    </cfRule>
    <cfRule type="expression" dxfId="586" priority="93">
      <formula>AND(AA$9&gt;=14/24,AA$9&lt;20/24)</formula>
    </cfRule>
    <cfRule type="expression" dxfId="585" priority="94">
      <formula>AND(AA$9&gt;=8/24,AA$9&lt;14/24)</formula>
    </cfRule>
    <cfRule type="expression" dxfId="584" priority="95">
      <formula>AA$9&lt;8/24</formula>
    </cfRule>
  </conditionalFormatting>
  <conditionalFormatting sqref="AA83:AF86">
    <cfRule type="expression" dxfId="583" priority="88">
      <formula>AA$9&gt;=20/24</formula>
    </cfRule>
    <cfRule type="expression" dxfId="582" priority="89">
      <formula>AND(AA$9&gt;=14/24,AA$9&lt;20/24)</formula>
    </cfRule>
    <cfRule type="expression" dxfId="581" priority="90">
      <formula>AND(AA$9&gt;=8/24,AA$9&lt;14/24)</formula>
    </cfRule>
    <cfRule type="expression" dxfId="580" priority="91">
      <formula>AA$9&lt;8/24</formula>
    </cfRule>
  </conditionalFormatting>
  <conditionalFormatting sqref="D53:G58">
    <cfRule type="expression" dxfId="579" priority="84">
      <formula>D$9&gt;=20/24</formula>
    </cfRule>
    <cfRule type="expression" dxfId="578" priority="85">
      <formula>AND(D$9&gt;=14/24,D$9&lt;20/24)</formula>
    </cfRule>
    <cfRule type="expression" dxfId="577" priority="86">
      <formula>AND(D$9&gt;=8/24,D$9&lt;14/24)</formula>
    </cfRule>
    <cfRule type="expression" dxfId="576" priority="87">
      <formula>D$9&lt;8/24</formula>
    </cfRule>
  </conditionalFormatting>
  <conditionalFormatting sqref="B83:K86">
    <cfRule type="expression" dxfId="575" priority="80">
      <formula>B$9&gt;=20/24</formula>
    </cfRule>
    <cfRule type="expression" dxfId="574" priority="81">
      <formula>AND(B$9&gt;=14/24,B$9&lt;20/24)</formula>
    </cfRule>
    <cfRule type="expression" dxfId="573" priority="82">
      <formula>AND(B$9&gt;=8/24,B$9&lt;14/24)</formula>
    </cfRule>
    <cfRule type="expression" dxfId="572" priority="83">
      <formula>B$9&lt;8/24</formula>
    </cfRule>
  </conditionalFormatting>
  <conditionalFormatting sqref="L83:Q86">
    <cfRule type="expression" dxfId="571" priority="76">
      <formula>L$9&gt;=20/24</formula>
    </cfRule>
    <cfRule type="expression" dxfId="570" priority="77">
      <formula>AND(L$9&gt;=14/24,L$9&lt;20/24)</formula>
    </cfRule>
    <cfRule type="expression" dxfId="569" priority="78">
      <formula>AND(L$9&gt;=8/24,L$9&lt;14/24)</formula>
    </cfRule>
    <cfRule type="expression" dxfId="568" priority="79">
      <formula>L$9&lt;8/24</formula>
    </cfRule>
  </conditionalFormatting>
  <conditionalFormatting sqref="R83:Z86">
    <cfRule type="expression" dxfId="567" priority="72">
      <formula>R$9&gt;=20/24</formula>
    </cfRule>
    <cfRule type="expression" dxfId="566" priority="73">
      <formula>AND(R$9&gt;=14/24,R$9&lt;20/24)</formula>
    </cfRule>
    <cfRule type="expression" dxfId="565" priority="74">
      <formula>AND(R$9&gt;=8/24,R$9&lt;14/24)</formula>
    </cfRule>
    <cfRule type="expression" dxfId="564" priority="75">
      <formula>R$9&lt;8/24</formula>
    </cfRule>
  </conditionalFormatting>
  <conditionalFormatting sqref="AG42 B11:AF47">
    <cfRule type="expression" dxfId="563" priority="71">
      <formula>B11&gt;$AG11</formula>
    </cfRule>
  </conditionalFormatting>
  <conditionalFormatting sqref="T192:AX192">
    <cfRule type="expression" dxfId="562" priority="67">
      <formula>T$9&gt;=20/24</formula>
    </cfRule>
    <cfRule type="expression" dxfId="561" priority="68">
      <formula>AND(T$9&gt;=14/24,T$9&lt;20/24)</formula>
    </cfRule>
    <cfRule type="expression" dxfId="560" priority="69">
      <formula>AND(T$9&gt;=8/24,T$9&lt;14/24)</formula>
    </cfRule>
    <cfRule type="expression" dxfId="559" priority="70">
      <formula>T$9&lt;8/24</formula>
    </cfRule>
  </conditionalFormatting>
  <conditionalFormatting sqref="A11:A86 A88:A180">
    <cfRule type="expression" dxfId="558" priority="66">
      <formula>$AH11=0</formula>
    </cfRule>
  </conditionalFormatting>
  <conditionalFormatting sqref="AA87:AF87">
    <cfRule type="expression" dxfId="557" priority="62">
      <formula>AA$9&gt;=20/24</formula>
    </cfRule>
    <cfRule type="expression" dxfId="556" priority="63">
      <formula>AND(AA$9&gt;=14/24,AA$9&lt;20/24)</formula>
    </cfRule>
    <cfRule type="expression" dxfId="555" priority="64">
      <formula>AND(AA$9&gt;=8/24,AA$9&lt;14/24)</formula>
    </cfRule>
    <cfRule type="expression" dxfId="554" priority="65">
      <formula>AA$9&lt;8/24</formula>
    </cfRule>
  </conditionalFormatting>
  <conditionalFormatting sqref="B87:K87">
    <cfRule type="expression" dxfId="553" priority="58">
      <formula>B$9&gt;=20/24</formula>
    </cfRule>
    <cfRule type="expression" dxfId="552" priority="59">
      <formula>AND(B$9&gt;=14/24,B$9&lt;20/24)</formula>
    </cfRule>
    <cfRule type="expression" dxfId="551" priority="60">
      <formula>AND(B$9&gt;=8/24,B$9&lt;14/24)</formula>
    </cfRule>
    <cfRule type="expression" dxfId="550" priority="61">
      <formula>B$9&lt;8/24</formula>
    </cfRule>
  </conditionalFormatting>
  <conditionalFormatting sqref="L87:Q87">
    <cfRule type="expression" dxfId="549" priority="54">
      <formula>L$9&gt;=20/24</formula>
    </cfRule>
    <cfRule type="expression" dxfId="548" priority="55">
      <formula>AND(L$9&gt;=14/24,L$9&lt;20/24)</formula>
    </cfRule>
    <cfRule type="expression" dxfId="547" priority="56">
      <formula>AND(L$9&gt;=8/24,L$9&lt;14/24)</formula>
    </cfRule>
    <cfRule type="expression" dxfId="546" priority="57">
      <formula>L$9&lt;8/24</formula>
    </cfRule>
  </conditionalFormatting>
  <conditionalFormatting sqref="R87:Z87">
    <cfRule type="expression" dxfId="545" priority="50">
      <formula>R$9&gt;=20/24</formula>
    </cfRule>
    <cfRule type="expression" dxfId="544" priority="51">
      <formula>AND(R$9&gt;=14/24,R$9&lt;20/24)</formula>
    </cfRule>
    <cfRule type="expression" dxfId="543" priority="52">
      <formula>AND(R$9&gt;=8/24,R$9&lt;14/24)</formula>
    </cfRule>
    <cfRule type="expression" dxfId="542" priority="53">
      <formula>R$9&lt;8/24</formula>
    </cfRule>
  </conditionalFormatting>
  <conditionalFormatting sqref="A87">
    <cfRule type="expression" dxfId="541" priority="49">
      <formula>$AH87=0</formula>
    </cfRule>
  </conditionalFormatting>
  <conditionalFormatting sqref="B28:AF28">
    <cfRule type="expression" dxfId="540" priority="45">
      <formula>B$9&gt;=20/24</formula>
    </cfRule>
    <cfRule type="expression" dxfId="539" priority="46">
      <formula>AND(B$9&gt;=14/24,B$9&lt;20/24)</formula>
    </cfRule>
    <cfRule type="expression" dxfId="538" priority="47">
      <formula>AND(B$9&gt;=8/24,B$9&lt;14/24)</formula>
    </cfRule>
    <cfRule type="expression" dxfId="537" priority="48">
      <formula>B$9&lt;8/24</formula>
    </cfRule>
  </conditionalFormatting>
  <conditionalFormatting sqref="R28:AA28">
    <cfRule type="expression" dxfId="536" priority="41">
      <formula>R$9&gt;=20/24</formula>
    </cfRule>
    <cfRule type="expression" dxfId="535" priority="42">
      <formula>AND(R$9&gt;=14/24,R$9&lt;20/24)</formula>
    </cfRule>
    <cfRule type="expression" dxfId="534" priority="43">
      <formula>AND(R$9&gt;=8/24,R$9&lt;14/24)</formula>
    </cfRule>
    <cfRule type="expression" dxfId="533" priority="44">
      <formula>R$9&lt;8/24</formula>
    </cfRule>
  </conditionalFormatting>
  <conditionalFormatting sqref="AB51">
    <cfRule type="expression" dxfId="532" priority="37">
      <formula>AB$9&gt;=20/24</formula>
    </cfRule>
    <cfRule type="expression" dxfId="531" priority="38">
      <formula>AND(AB$9&gt;=14/24,AB$9&lt;20/24)</formula>
    </cfRule>
    <cfRule type="expression" dxfId="530" priority="39">
      <formula>AND(AB$9&gt;=8/24,AB$9&lt;14/24)</formula>
    </cfRule>
    <cfRule type="expression" dxfId="529" priority="40">
      <formula>AB$9&lt;8/24</formula>
    </cfRule>
  </conditionalFormatting>
  <conditionalFormatting sqref="AB52:AB58">
    <cfRule type="expression" dxfId="528" priority="33">
      <formula>AB$9&gt;=20/24</formula>
    </cfRule>
    <cfRule type="expression" dxfId="527" priority="34">
      <formula>AND(AB$9&gt;=14/24,AB$9&lt;20/24)</formula>
    </cfRule>
    <cfRule type="expression" dxfId="526" priority="35">
      <formula>AND(AB$9&gt;=8/24,AB$9&lt;14/24)</formula>
    </cfRule>
    <cfRule type="expression" dxfId="525" priority="36">
      <formula>AB$9&lt;8/24</formula>
    </cfRule>
  </conditionalFormatting>
  <conditionalFormatting sqref="AC51">
    <cfRule type="expression" dxfId="524" priority="29">
      <formula>AC$9&gt;=20/24</formula>
    </cfRule>
    <cfRule type="expression" dxfId="523" priority="30">
      <formula>AND(AC$9&gt;=14/24,AC$9&lt;20/24)</formula>
    </cfRule>
    <cfRule type="expression" dxfId="522" priority="31">
      <formula>AND(AC$9&gt;=8/24,AC$9&lt;14/24)</formula>
    </cfRule>
    <cfRule type="expression" dxfId="521" priority="32">
      <formula>AC$9&lt;8/24</formula>
    </cfRule>
  </conditionalFormatting>
  <conditionalFormatting sqref="AC52:AC58">
    <cfRule type="expression" dxfId="520" priority="25">
      <formula>AC$9&gt;=20/24</formula>
    </cfRule>
    <cfRule type="expression" dxfId="519" priority="26">
      <formula>AND(AC$9&gt;=14/24,AC$9&lt;20/24)</formula>
    </cfRule>
    <cfRule type="expression" dxfId="518" priority="27">
      <formula>AND(AC$9&gt;=8/24,AC$9&lt;14/24)</formula>
    </cfRule>
    <cfRule type="expression" dxfId="517" priority="28">
      <formula>AC$9&lt;8/24</formula>
    </cfRule>
  </conditionalFormatting>
  <conditionalFormatting sqref="AD51">
    <cfRule type="expression" dxfId="516" priority="21">
      <formula>AD$9&gt;=20/24</formula>
    </cfRule>
    <cfRule type="expression" dxfId="515" priority="22">
      <formula>AND(AD$9&gt;=14/24,AD$9&lt;20/24)</formula>
    </cfRule>
    <cfRule type="expression" dxfId="514" priority="23">
      <formula>AND(AD$9&gt;=8/24,AD$9&lt;14/24)</formula>
    </cfRule>
    <cfRule type="expression" dxfId="513" priority="24">
      <formula>AD$9&lt;8/24</formula>
    </cfRule>
  </conditionalFormatting>
  <conditionalFormatting sqref="AD52:AD58">
    <cfRule type="expression" dxfId="512" priority="17">
      <formula>AD$9&gt;=20/24</formula>
    </cfRule>
    <cfRule type="expression" dxfId="511" priority="18">
      <formula>AND(AD$9&gt;=14/24,AD$9&lt;20/24)</formula>
    </cfRule>
    <cfRule type="expression" dxfId="510" priority="19">
      <formula>AND(AD$9&gt;=8/24,AD$9&lt;14/24)</formula>
    </cfRule>
    <cfRule type="expression" dxfId="509" priority="20">
      <formula>AD$9&lt;8/24</formula>
    </cfRule>
  </conditionalFormatting>
  <conditionalFormatting sqref="AE51">
    <cfRule type="expression" dxfId="508" priority="13">
      <formula>AE$9&gt;=20/24</formula>
    </cfRule>
    <cfRule type="expression" dxfId="507" priority="14">
      <formula>AND(AE$9&gt;=14/24,AE$9&lt;20/24)</formula>
    </cfRule>
    <cfRule type="expression" dxfId="506" priority="15">
      <formula>AND(AE$9&gt;=8/24,AE$9&lt;14/24)</formula>
    </cfRule>
    <cfRule type="expression" dxfId="505" priority="16">
      <formula>AE$9&lt;8/24</formula>
    </cfRule>
  </conditionalFormatting>
  <conditionalFormatting sqref="AE52:AE58">
    <cfRule type="expression" dxfId="504" priority="9">
      <formula>AE$9&gt;=20/24</formula>
    </cfRule>
    <cfRule type="expression" dxfId="503" priority="10">
      <formula>AND(AE$9&gt;=14/24,AE$9&lt;20/24)</formula>
    </cfRule>
    <cfRule type="expression" dxfId="502" priority="11">
      <formula>AND(AE$9&gt;=8/24,AE$9&lt;14/24)</formula>
    </cfRule>
    <cfRule type="expression" dxfId="501" priority="12">
      <formula>AE$9&lt;8/24</formula>
    </cfRule>
  </conditionalFormatting>
  <conditionalFormatting sqref="AF51">
    <cfRule type="expression" dxfId="500" priority="5">
      <formula>AF$9&gt;=20/24</formula>
    </cfRule>
    <cfRule type="expression" dxfId="499" priority="6">
      <formula>AND(AF$9&gt;=14/24,AF$9&lt;20/24)</formula>
    </cfRule>
    <cfRule type="expression" dxfId="498" priority="7">
      <formula>AND(AF$9&gt;=8/24,AF$9&lt;14/24)</formula>
    </cfRule>
    <cfRule type="expression" dxfId="497" priority="8">
      <formula>AF$9&lt;8/24</formula>
    </cfRule>
  </conditionalFormatting>
  <conditionalFormatting sqref="AF52:AF58">
    <cfRule type="expression" dxfId="496" priority="1">
      <formula>AF$9&gt;=20/24</formula>
    </cfRule>
    <cfRule type="expression" dxfId="495" priority="2">
      <formula>AND(AF$9&gt;=14/24,AF$9&lt;20/24)</formula>
    </cfRule>
    <cfRule type="expression" dxfId="494" priority="3">
      <formula>AND(AF$9&gt;=8/24,AF$9&lt;14/24)</formula>
    </cfRule>
    <cfRule type="expression" dxfId="493" priority="4">
      <formula>AF$9&lt;8/24</formula>
    </cfRule>
  </conditionalFormatting>
  <pageMargins left="0.7" right="0.7" top="0.75" bottom="0.75" header="0.3" footer="0.3"/>
  <pageSetup scale="50" orientation="landscape" horizontalDpi="300" verticalDpi="3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36" sqref="M36"/>
    </sheetView>
  </sheetViews>
  <sheetFormatPr defaultRowHeight="15" x14ac:dyDescent="0.25"/>
  <cols>
    <col min="1" max="1" width="28" style="286" bestFit="1" customWidth="1"/>
    <col min="2" max="2" width="6.7109375" style="286" bestFit="1" customWidth="1"/>
    <col min="3" max="3" width="7.42578125" style="286" customWidth="1"/>
    <col min="4" max="4" width="7" style="286" customWidth="1"/>
    <col min="5" max="9" width="6.42578125" style="286" bestFit="1" customWidth="1"/>
    <col min="10" max="10" width="6.28515625" style="286" bestFit="1" customWidth="1"/>
    <col min="11" max="13" width="6" style="286" bestFit="1" customWidth="1"/>
    <col min="14" max="15" width="6.28515625" style="286" bestFit="1" customWidth="1"/>
    <col min="16" max="18" width="5.7109375" style="286" customWidth="1"/>
    <col min="19" max="19" width="7" style="286" customWidth="1"/>
    <col min="20" max="32" width="6.85546875" style="286" customWidth="1"/>
    <col min="33" max="33" width="14.42578125" style="286" customWidth="1"/>
    <col min="34" max="35" width="8" style="286" customWidth="1"/>
    <col min="36" max="36" width="9.140625" style="1"/>
    <col min="37" max="37" width="9.140625" style="286"/>
    <col min="38" max="41" width="9.140625" style="286" customWidth="1"/>
    <col min="42" max="16384" width="9.140625" style="286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28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88" t="s">
        <v>200</v>
      </c>
      <c r="B4" s="28"/>
      <c r="C4" s="288" t="str">
        <f ca="1">MID(CELL("filename",C7),FIND("]",CELL("filename",C7))+1,600)</f>
        <v>31</v>
      </c>
      <c r="D4" s="324">
        <f ca="1">IFERROR(DATE(2021,5,14)+C4,"")</f>
        <v>44361</v>
      </c>
      <c r="E4" s="324"/>
      <c r="F4" s="324"/>
      <c r="G4" s="324"/>
      <c r="H4" s="324"/>
      <c r="I4" s="324"/>
      <c r="J4" s="29"/>
      <c r="K4" s="286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88"/>
      <c r="B5" s="32">
        <f>B59</f>
        <v>208.8</v>
      </c>
      <c r="C5" s="32">
        <f t="shared" ref="C5:AF5" si="0">C59</f>
        <v>199.7</v>
      </c>
      <c r="D5" s="32">
        <f t="shared" si="0"/>
        <v>156.80000000000001</v>
      </c>
      <c r="E5" s="32">
        <f t="shared" si="0"/>
        <v>139.5</v>
      </c>
      <c r="F5" s="32">
        <f t="shared" si="0"/>
        <v>135.30000000000001</v>
      </c>
      <c r="G5" s="32">
        <f t="shared" si="0"/>
        <v>221.8</v>
      </c>
      <c r="H5" s="32">
        <f t="shared" si="0"/>
        <v>159.20000000000002</v>
      </c>
      <c r="I5" s="32">
        <f t="shared" si="0"/>
        <v>142.89999999999998</v>
      </c>
      <c r="J5" s="32">
        <f t="shared" si="0"/>
        <v>161.74</v>
      </c>
      <c r="K5" s="32">
        <f t="shared" si="0"/>
        <v>162.30000000000001</v>
      </c>
      <c r="L5" s="32">
        <f t="shared" si="0"/>
        <v>211.6</v>
      </c>
      <c r="M5" s="32">
        <f t="shared" si="0"/>
        <v>284.09000000000003</v>
      </c>
      <c r="N5" s="32">
        <f t="shared" si="0"/>
        <v>250</v>
      </c>
      <c r="O5" s="32">
        <f t="shared" si="0"/>
        <v>189.60000000000002</v>
      </c>
      <c r="P5" s="32">
        <f t="shared" si="0"/>
        <v>167.6</v>
      </c>
      <c r="Q5" s="32">
        <f t="shared" si="0"/>
        <v>176.4</v>
      </c>
      <c r="R5" s="32">
        <f t="shared" si="0"/>
        <v>151.82</v>
      </c>
      <c r="S5" s="32">
        <f t="shared" si="0"/>
        <v>108</v>
      </c>
      <c r="T5" s="32">
        <f t="shared" si="0"/>
        <v>114</v>
      </c>
      <c r="U5" s="32">
        <f t="shared" si="0"/>
        <v>128</v>
      </c>
      <c r="V5" s="32">
        <f t="shared" si="0"/>
        <v>265</v>
      </c>
      <c r="W5" s="32">
        <f t="shared" si="0"/>
        <v>125.3</v>
      </c>
      <c r="X5" s="32">
        <f t="shared" si="0"/>
        <v>134</v>
      </c>
      <c r="Y5" s="32">
        <f t="shared" si="0"/>
        <v>178</v>
      </c>
      <c r="Z5" s="32">
        <f t="shared" si="0"/>
        <v>242.4</v>
      </c>
      <c r="AA5" s="32">
        <f t="shared" si="0"/>
        <v>258</v>
      </c>
      <c r="AB5" s="32">
        <f t="shared" si="0"/>
        <v>255</v>
      </c>
      <c r="AC5" s="32">
        <f t="shared" si="0"/>
        <v>260.89999999999998</v>
      </c>
      <c r="AD5" s="32">
        <f t="shared" si="0"/>
        <v>198</v>
      </c>
      <c r="AE5" s="32">
        <f t="shared" si="0"/>
        <v>142</v>
      </c>
      <c r="AF5" s="32">
        <f t="shared" si="0"/>
        <v>124.9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88"/>
      <c r="B6" s="28"/>
      <c r="C6" s="288"/>
      <c r="D6" s="293"/>
      <c r="E6" s="293"/>
      <c r="F6" s="293"/>
      <c r="G6" s="293"/>
      <c r="H6" s="293"/>
      <c r="I6" s="293"/>
      <c r="J6" s="29"/>
      <c r="K6" s="28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1101MW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Load=832</v>
      </c>
      <c r="B7" s="36">
        <f t="shared" ref="B7:AF7" si="1">B65</f>
        <v>1093.4900000000002</v>
      </c>
      <c r="C7" s="36">
        <f t="shared" si="1"/>
        <v>1088.79</v>
      </c>
      <c r="D7" s="36">
        <f t="shared" si="1"/>
        <v>1047.2900000000002</v>
      </c>
      <c r="E7" s="36">
        <f t="shared" si="1"/>
        <v>1030.28</v>
      </c>
      <c r="F7" s="36">
        <f t="shared" si="1"/>
        <v>992.69</v>
      </c>
      <c r="G7" s="36">
        <f t="shared" si="1"/>
        <v>1060.24</v>
      </c>
      <c r="H7" s="36">
        <f t="shared" si="1"/>
        <v>1015.2900000000002</v>
      </c>
      <c r="I7" s="36">
        <f t="shared" si="1"/>
        <v>1009.69</v>
      </c>
      <c r="J7" s="36">
        <f t="shared" si="1"/>
        <v>1048.6300000000001</v>
      </c>
      <c r="K7" s="36">
        <f t="shared" si="1"/>
        <v>1084.29</v>
      </c>
      <c r="L7" s="36">
        <f>L65</f>
        <v>1091.04</v>
      </c>
      <c r="M7" s="36">
        <f t="shared" si="1"/>
        <v>1101.23</v>
      </c>
      <c r="N7" s="36">
        <f t="shared" si="1"/>
        <v>1095.94</v>
      </c>
      <c r="O7" s="36">
        <f t="shared" si="1"/>
        <v>1077.1400000000001</v>
      </c>
      <c r="P7" s="36">
        <f t="shared" si="1"/>
        <v>1058.94</v>
      </c>
      <c r="Q7" s="36">
        <f t="shared" si="1"/>
        <v>1019.34</v>
      </c>
      <c r="R7" s="36">
        <f t="shared" si="1"/>
        <v>1018.46</v>
      </c>
      <c r="S7" s="36">
        <f t="shared" si="1"/>
        <v>951.34000000000015</v>
      </c>
      <c r="T7" s="36">
        <f t="shared" si="1"/>
        <v>968.1400000000001</v>
      </c>
      <c r="U7" s="36">
        <f t="shared" si="1"/>
        <v>964.04000000000008</v>
      </c>
      <c r="V7" s="36">
        <f t="shared" si="1"/>
        <v>831.54</v>
      </c>
      <c r="W7" s="36">
        <f t="shared" si="1"/>
        <v>956.24000000000012</v>
      </c>
      <c r="X7" s="36">
        <f t="shared" si="1"/>
        <v>974.94</v>
      </c>
      <c r="Y7" s="36">
        <f t="shared" si="1"/>
        <v>1046.44</v>
      </c>
      <c r="Z7" s="36">
        <f t="shared" si="1"/>
        <v>1110.24</v>
      </c>
      <c r="AA7" s="36">
        <f t="shared" si="1"/>
        <v>1083.8399999999999</v>
      </c>
      <c r="AB7" s="36">
        <f t="shared" si="1"/>
        <v>1099.5400000000002</v>
      </c>
      <c r="AC7" s="36">
        <f t="shared" si="1"/>
        <v>1116.1400000000001</v>
      </c>
      <c r="AD7" s="36">
        <f t="shared" si="1"/>
        <v>1013.94</v>
      </c>
      <c r="AE7" s="36">
        <f t="shared" si="1"/>
        <v>991.34</v>
      </c>
      <c r="AF7" s="36">
        <f t="shared" si="1"/>
        <v>968.83999999999992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289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>
        <v>44.8</v>
      </c>
      <c r="C11" s="48">
        <v>44.8</v>
      </c>
      <c r="D11" s="48">
        <v>45</v>
      </c>
      <c r="E11" s="48">
        <v>44</v>
      </c>
      <c r="F11" s="48">
        <v>45.8</v>
      </c>
      <c r="G11" s="48">
        <v>46</v>
      </c>
      <c r="H11" s="48">
        <v>46.5</v>
      </c>
      <c r="I11" s="48">
        <v>46.2</v>
      </c>
      <c r="J11" s="48">
        <v>47.6</v>
      </c>
      <c r="K11" s="48">
        <v>49.1</v>
      </c>
      <c r="L11" s="294">
        <v>48.6</v>
      </c>
      <c r="M11" s="294">
        <v>48.5</v>
      </c>
      <c r="N11" s="294">
        <v>48.3</v>
      </c>
      <c r="O11" s="294">
        <v>47.2</v>
      </c>
      <c r="P11" s="294">
        <v>45.8</v>
      </c>
      <c r="Q11" s="294">
        <v>43.8</v>
      </c>
      <c r="R11" s="302">
        <v>44.7</v>
      </c>
      <c r="S11" s="302">
        <v>42.9</v>
      </c>
      <c r="T11" s="302">
        <v>40</v>
      </c>
      <c r="U11" s="302">
        <v>41.4</v>
      </c>
      <c r="V11" s="302">
        <v>41</v>
      </c>
      <c r="W11" s="302">
        <v>42.5</v>
      </c>
      <c r="X11" s="302">
        <v>43</v>
      </c>
      <c r="Y11" s="302">
        <v>43</v>
      </c>
      <c r="Z11" s="302">
        <v>43</v>
      </c>
      <c r="AA11" s="48">
        <v>45.4</v>
      </c>
      <c r="AB11" s="48">
        <v>45.6</v>
      </c>
      <c r="AC11" s="48">
        <v>46</v>
      </c>
      <c r="AD11" s="48">
        <v>41.4</v>
      </c>
      <c r="AE11" s="48">
        <v>39.299999999999997</v>
      </c>
      <c r="AF11" s="48">
        <v>40.1</v>
      </c>
      <c r="AG11" s="51">
        <v>60</v>
      </c>
      <c r="AH11" s="52">
        <f>MAX(B11:AF11)</f>
        <v>49.1</v>
      </c>
      <c r="AI11" s="53">
        <f>MIN(B11:AF11)</f>
        <v>39.299999999999997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300">
        <v>50.6</v>
      </c>
      <c r="C12" s="300">
        <v>50.6</v>
      </c>
      <c r="D12" s="300">
        <v>50.4</v>
      </c>
      <c r="E12" s="300">
        <v>50.3</v>
      </c>
      <c r="F12" s="300">
        <v>50.6</v>
      </c>
      <c r="G12" s="300">
        <v>50.5</v>
      </c>
      <c r="H12" s="300">
        <v>50.6</v>
      </c>
      <c r="I12" s="300">
        <v>50.4</v>
      </c>
      <c r="J12" s="300">
        <v>50.3</v>
      </c>
      <c r="K12" s="300">
        <v>50.4</v>
      </c>
      <c r="L12" s="294">
        <v>50.3</v>
      </c>
      <c r="M12" s="294">
        <v>50</v>
      </c>
      <c r="N12" s="294">
        <v>0</v>
      </c>
      <c r="O12" s="294">
        <v>50.6</v>
      </c>
      <c r="P12" s="294">
        <v>50.3</v>
      </c>
      <c r="Q12" s="294">
        <v>50.3</v>
      </c>
      <c r="R12" s="294">
        <v>50.6</v>
      </c>
      <c r="S12" s="294">
        <v>50.4</v>
      </c>
      <c r="T12" s="294">
        <v>50.4</v>
      </c>
      <c r="U12" s="294">
        <v>50.4</v>
      </c>
      <c r="V12" s="294" t="s">
        <v>214</v>
      </c>
      <c r="W12" s="294">
        <v>50.4</v>
      </c>
      <c r="X12" s="294">
        <v>50.4</v>
      </c>
      <c r="Y12" s="294">
        <v>50.4</v>
      </c>
      <c r="Z12" s="294">
        <v>50.4</v>
      </c>
      <c r="AA12" s="300">
        <v>50.3</v>
      </c>
      <c r="AB12" s="300">
        <v>50.3</v>
      </c>
      <c r="AC12" s="300">
        <v>50.6</v>
      </c>
      <c r="AD12" s="300">
        <v>0</v>
      </c>
      <c r="AE12" s="300">
        <v>0</v>
      </c>
      <c r="AF12" s="300">
        <v>0</v>
      </c>
      <c r="AG12" s="57">
        <v>50</v>
      </c>
      <c r="AH12" s="52">
        <f t="shared" ref="AH12:AH77" si="2">MAX(B12:AF12)</f>
        <v>50.6</v>
      </c>
      <c r="AI12" s="53">
        <f t="shared" ref="AI12:AI77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300">
        <v>45.8</v>
      </c>
      <c r="C13" s="300">
        <v>43.2</v>
      </c>
      <c r="D13" s="300">
        <v>43.4</v>
      </c>
      <c r="E13" s="300">
        <v>43.5</v>
      </c>
      <c r="F13" s="300">
        <v>43.5</v>
      </c>
      <c r="G13" s="300">
        <v>43.3</v>
      </c>
      <c r="H13" s="300">
        <v>43.1</v>
      </c>
      <c r="I13" s="300">
        <v>43.2</v>
      </c>
      <c r="J13" s="300">
        <v>43.3</v>
      </c>
      <c r="K13" s="300">
        <v>43</v>
      </c>
      <c r="L13" s="294">
        <v>43.3</v>
      </c>
      <c r="M13" s="294">
        <v>45.7</v>
      </c>
      <c r="N13" s="294">
        <v>45.7</v>
      </c>
      <c r="O13" s="294">
        <v>45.7</v>
      </c>
      <c r="P13" s="294">
        <v>45.6</v>
      </c>
      <c r="Q13" s="294">
        <v>45.7</v>
      </c>
      <c r="R13" s="294">
        <v>45.9</v>
      </c>
      <c r="S13" s="294">
        <v>46.6</v>
      </c>
      <c r="T13" s="294">
        <v>46.6</v>
      </c>
      <c r="U13" s="294">
        <v>46.6</v>
      </c>
      <c r="V13" s="294">
        <v>46</v>
      </c>
      <c r="W13" s="294">
        <v>45.9</v>
      </c>
      <c r="X13" s="294">
        <v>45.9</v>
      </c>
      <c r="Y13" s="294">
        <v>45.9</v>
      </c>
      <c r="Z13" s="294">
        <v>45.9</v>
      </c>
      <c r="AA13" s="300">
        <v>46.1</v>
      </c>
      <c r="AB13" s="300">
        <v>46.1</v>
      </c>
      <c r="AC13" s="300">
        <v>45.2</v>
      </c>
      <c r="AD13" s="300">
        <v>45</v>
      </c>
      <c r="AE13" s="300">
        <v>45</v>
      </c>
      <c r="AF13" s="300">
        <v>45</v>
      </c>
      <c r="AG13" s="59">
        <v>45</v>
      </c>
      <c r="AH13" s="52">
        <f t="shared" si="2"/>
        <v>46.6</v>
      </c>
      <c r="AI13" s="53">
        <f t="shared" si="3"/>
        <v>43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300">
        <v>25</v>
      </c>
      <c r="C14" s="300">
        <v>25</v>
      </c>
      <c r="D14" s="300">
        <v>25</v>
      </c>
      <c r="E14" s="300">
        <v>25</v>
      </c>
      <c r="F14" s="300">
        <v>25</v>
      </c>
      <c r="G14" s="300">
        <v>25</v>
      </c>
      <c r="H14" s="300">
        <v>25</v>
      </c>
      <c r="I14" s="300">
        <v>25</v>
      </c>
      <c r="J14" s="300">
        <v>25</v>
      </c>
      <c r="K14" s="300">
        <v>25</v>
      </c>
      <c r="L14" s="294">
        <v>25</v>
      </c>
      <c r="M14" s="294">
        <v>0</v>
      </c>
      <c r="N14" s="294">
        <v>0</v>
      </c>
      <c r="O14" s="294">
        <v>0</v>
      </c>
      <c r="P14" s="294">
        <v>0</v>
      </c>
      <c r="Q14" s="294">
        <v>0</v>
      </c>
      <c r="R14" s="294">
        <v>0</v>
      </c>
      <c r="S14" s="294">
        <v>0</v>
      </c>
      <c r="T14" s="294">
        <v>0</v>
      </c>
      <c r="U14" s="294">
        <v>25</v>
      </c>
      <c r="V14" s="294">
        <v>12.5</v>
      </c>
      <c r="W14" s="294">
        <v>12.5</v>
      </c>
      <c r="X14" s="294">
        <v>12.5</v>
      </c>
      <c r="Y14" s="294">
        <v>25</v>
      </c>
      <c r="Z14" s="294">
        <v>25</v>
      </c>
      <c r="AA14" s="300">
        <v>25</v>
      </c>
      <c r="AB14" s="300">
        <v>25</v>
      </c>
      <c r="AC14" s="300">
        <v>25</v>
      </c>
      <c r="AD14" s="300">
        <v>25</v>
      </c>
      <c r="AE14" s="300">
        <v>25</v>
      </c>
      <c r="AF14" s="300">
        <v>25</v>
      </c>
      <c r="AG14" s="59">
        <v>25</v>
      </c>
      <c r="AH14" s="52">
        <f t="shared" si="2"/>
        <v>25</v>
      </c>
      <c r="AI14" s="53">
        <f t="shared" si="3"/>
        <v>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300">
        <v>24.8</v>
      </c>
      <c r="C15" s="300">
        <v>24.8</v>
      </c>
      <c r="D15" s="300">
        <v>24.8</v>
      </c>
      <c r="E15" s="300">
        <v>24.7</v>
      </c>
      <c r="F15" s="300">
        <v>0</v>
      </c>
      <c r="G15" s="300">
        <v>0</v>
      </c>
      <c r="H15" s="300">
        <v>0</v>
      </c>
      <c r="I15" s="300">
        <v>0</v>
      </c>
      <c r="J15" s="300">
        <v>0</v>
      </c>
      <c r="K15" s="300">
        <v>0</v>
      </c>
      <c r="L15" s="294">
        <v>0</v>
      </c>
      <c r="M15" s="294">
        <v>12.5</v>
      </c>
      <c r="N15" s="294">
        <v>12.5</v>
      </c>
      <c r="O15" s="294">
        <v>12.5</v>
      </c>
      <c r="P15" s="294">
        <v>12.5</v>
      </c>
      <c r="Q15" s="294">
        <v>12.5</v>
      </c>
      <c r="R15" s="294">
        <v>12.5</v>
      </c>
      <c r="S15" s="294">
        <v>12.5</v>
      </c>
      <c r="T15" s="294">
        <v>12.5</v>
      </c>
      <c r="U15" s="294">
        <v>12.5</v>
      </c>
      <c r="V15" s="294" t="s">
        <v>214</v>
      </c>
      <c r="W15" s="294">
        <v>13.1</v>
      </c>
      <c r="X15" s="294">
        <v>13.1</v>
      </c>
      <c r="Y15" s="294">
        <v>13.1</v>
      </c>
      <c r="Z15" s="294">
        <v>13.1</v>
      </c>
      <c r="AA15" s="300">
        <v>13.2</v>
      </c>
      <c r="AB15" s="300">
        <v>13.2</v>
      </c>
      <c r="AC15" s="300">
        <v>13.2</v>
      </c>
      <c r="AD15" s="300">
        <v>0</v>
      </c>
      <c r="AE15" s="300">
        <v>0</v>
      </c>
      <c r="AF15" s="300">
        <v>0</v>
      </c>
      <c r="AG15" s="59">
        <v>25</v>
      </c>
      <c r="AH15" s="52">
        <f t="shared" si="2"/>
        <v>24.8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294">
        <v>6.3</v>
      </c>
      <c r="C16" s="294">
        <v>6.3</v>
      </c>
      <c r="D16" s="294">
        <v>6.3</v>
      </c>
      <c r="E16" s="300">
        <v>6.3</v>
      </c>
      <c r="F16" s="300">
        <v>6.3</v>
      </c>
      <c r="G16" s="300">
        <v>6.3</v>
      </c>
      <c r="H16" s="300">
        <v>6.3</v>
      </c>
      <c r="I16" s="300">
        <v>6.3</v>
      </c>
      <c r="J16" s="300">
        <v>6.3</v>
      </c>
      <c r="K16" s="300">
        <v>6.3</v>
      </c>
      <c r="L16" s="300">
        <v>6.3</v>
      </c>
      <c r="M16" s="300">
        <v>6.3</v>
      </c>
      <c r="N16" s="300">
        <v>6.3</v>
      </c>
      <c r="O16" s="300">
        <v>6.3</v>
      </c>
      <c r="P16" s="300">
        <v>6.3</v>
      </c>
      <c r="Q16" s="300">
        <v>6.3</v>
      </c>
      <c r="R16" s="300">
        <v>6.3</v>
      </c>
      <c r="S16" s="300">
        <v>6.3</v>
      </c>
      <c r="T16" s="300">
        <v>6.3</v>
      </c>
      <c r="U16" s="300">
        <v>6.3</v>
      </c>
      <c r="V16" s="300">
        <v>6.3</v>
      </c>
      <c r="W16" s="300">
        <v>6.3</v>
      </c>
      <c r="X16" s="300">
        <v>6.3</v>
      </c>
      <c r="Y16" s="300">
        <v>6.3</v>
      </c>
      <c r="Z16" s="300">
        <v>6.3</v>
      </c>
      <c r="AA16" s="294">
        <v>6.3</v>
      </c>
      <c r="AB16" s="294">
        <v>6.3</v>
      </c>
      <c r="AC16" s="294">
        <v>6.3</v>
      </c>
      <c r="AD16" s="294">
        <v>6.3</v>
      </c>
      <c r="AE16" s="294">
        <v>6.3</v>
      </c>
      <c r="AF16" s="294">
        <v>6.3</v>
      </c>
      <c r="AG16" s="59">
        <v>23.5</v>
      </c>
      <c r="AH16" s="52">
        <f t="shared" si="2"/>
        <v>6.3</v>
      </c>
      <c r="AI16" s="53">
        <f t="shared" si="3"/>
        <v>6.3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294">
        <v>22</v>
      </c>
      <c r="C17" s="294">
        <v>22</v>
      </c>
      <c r="D17" s="294">
        <v>22</v>
      </c>
      <c r="E17" s="300">
        <v>22</v>
      </c>
      <c r="F17" s="300">
        <v>22</v>
      </c>
      <c r="G17" s="300">
        <v>22.7</v>
      </c>
      <c r="H17" s="300">
        <v>22.7</v>
      </c>
      <c r="I17" s="300">
        <v>22.7</v>
      </c>
      <c r="J17" s="300">
        <v>22.8</v>
      </c>
      <c r="K17" s="300">
        <v>22.7</v>
      </c>
      <c r="L17" s="294">
        <v>22.7</v>
      </c>
      <c r="M17" s="294">
        <v>22.7</v>
      </c>
      <c r="N17" s="294">
        <v>22.7</v>
      </c>
      <c r="O17" s="294">
        <v>22.7</v>
      </c>
      <c r="P17" s="294">
        <v>22.7</v>
      </c>
      <c r="Q17" s="294">
        <v>22.7</v>
      </c>
      <c r="R17" s="294">
        <v>22.7</v>
      </c>
      <c r="S17" s="294">
        <v>22.1</v>
      </c>
      <c r="T17" s="294">
        <v>22.1</v>
      </c>
      <c r="U17" s="294">
        <v>22.1</v>
      </c>
      <c r="V17" s="294">
        <v>22.1</v>
      </c>
      <c r="W17" s="294">
        <v>22.1</v>
      </c>
      <c r="X17" s="294">
        <v>22.1</v>
      </c>
      <c r="Y17" s="294">
        <v>22.1</v>
      </c>
      <c r="Z17" s="294">
        <v>22.1</v>
      </c>
      <c r="AA17" s="294">
        <v>22.1</v>
      </c>
      <c r="AB17" s="294">
        <v>22.1</v>
      </c>
      <c r="AC17" s="294">
        <v>22.1</v>
      </c>
      <c r="AD17" s="294">
        <v>22.1</v>
      </c>
      <c r="AE17" s="294">
        <v>22.1</v>
      </c>
      <c r="AF17" s="294">
        <v>22.1</v>
      </c>
      <c r="AG17" s="59">
        <v>22.1</v>
      </c>
      <c r="AH17" s="52">
        <f t="shared" si="2"/>
        <v>22.8</v>
      </c>
      <c r="AI17" s="53">
        <f t="shared" si="3"/>
        <v>22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294">
        <v>8</v>
      </c>
      <c r="C18" s="294">
        <v>8</v>
      </c>
      <c r="D18" s="294">
        <v>8</v>
      </c>
      <c r="E18" s="300">
        <v>8</v>
      </c>
      <c r="F18" s="300">
        <v>8</v>
      </c>
      <c r="G18" s="300">
        <v>8</v>
      </c>
      <c r="H18" s="300">
        <v>8</v>
      </c>
      <c r="I18" s="300">
        <v>8</v>
      </c>
      <c r="J18" s="300">
        <v>8</v>
      </c>
      <c r="K18" s="300">
        <v>8</v>
      </c>
      <c r="L18" s="300">
        <v>8</v>
      </c>
      <c r="M18" s="300">
        <v>8</v>
      </c>
      <c r="N18" s="300">
        <v>8</v>
      </c>
      <c r="O18" s="300">
        <v>8</v>
      </c>
      <c r="P18" s="300">
        <v>8</v>
      </c>
      <c r="Q18" s="300">
        <v>8</v>
      </c>
      <c r="R18" s="300">
        <v>8</v>
      </c>
      <c r="S18" s="294">
        <v>8</v>
      </c>
      <c r="T18" s="294">
        <v>8</v>
      </c>
      <c r="U18" s="294">
        <v>8</v>
      </c>
      <c r="V18" s="294">
        <v>8</v>
      </c>
      <c r="W18" s="294">
        <v>8</v>
      </c>
      <c r="X18" s="294">
        <v>8</v>
      </c>
      <c r="Y18" s="294">
        <v>8</v>
      </c>
      <c r="Z18" s="294">
        <v>8</v>
      </c>
      <c r="AA18" s="294">
        <v>8</v>
      </c>
      <c r="AB18" s="294">
        <v>8</v>
      </c>
      <c r="AC18" s="294">
        <v>8</v>
      </c>
      <c r="AD18" s="294">
        <v>8</v>
      </c>
      <c r="AE18" s="294">
        <v>8</v>
      </c>
      <c r="AF18" s="294">
        <v>8</v>
      </c>
      <c r="AG18" s="59">
        <v>22.1</v>
      </c>
      <c r="AH18" s="52">
        <f t="shared" si="2"/>
        <v>8</v>
      </c>
      <c r="AI18" s="53">
        <f t="shared" si="3"/>
        <v>8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294">
        <v>24.4</v>
      </c>
      <c r="C19" s="294">
        <v>24.4</v>
      </c>
      <c r="D19" s="294">
        <v>24</v>
      </c>
      <c r="E19" s="300">
        <v>24</v>
      </c>
      <c r="F19" s="300">
        <v>24</v>
      </c>
      <c r="G19" s="300">
        <v>24.9</v>
      </c>
      <c r="H19" s="300">
        <v>24.8</v>
      </c>
      <c r="I19" s="300">
        <v>24.8</v>
      </c>
      <c r="J19" s="300">
        <v>24.7</v>
      </c>
      <c r="K19" s="300">
        <v>24.6</v>
      </c>
      <c r="L19" s="294">
        <v>24.6</v>
      </c>
      <c r="M19" s="294">
        <v>24.7</v>
      </c>
      <c r="N19" s="294">
        <v>24.6</v>
      </c>
      <c r="O19" s="294">
        <v>24.4</v>
      </c>
      <c r="P19" s="294">
        <v>24.5</v>
      </c>
      <c r="Q19" s="294">
        <v>24.5</v>
      </c>
      <c r="R19" s="294">
        <v>24.5</v>
      </c>
      <c r="S19" s="294">
        <v>24.2</v>
      </c>
      <c r="T19" s="294">
        <v>24.2</v>
      </c>
      <c r="U19" s="294">
        <v>24.2</v>
      </c>
      <c r="V19" s="294">
        <v>24.2</v>
      </c>
      <c r="W19" s="294">
        <v>24.2</v>
      </c>
      <c r="X19" s="294">
        <v>24.2</v>
      </c>
      <c r="Y19" s="294">
        <v>24.2</v>
      </c>
      <c r="Z19" s="294">
        <v>24.2</v>
      </c>
      <c r="AA19" s="294">
        <v>24</v>
      </c>
      <c r="AB19" s="294">
        <v>24</v>
      </c>
      <c r="AC19" s="294">
        <v>24</v>
      </c>
      <c r="AD19" s="294">
        <v>24</v>
      </c>
      <c r="AE19" s="294">
        <v>24</v>
      </c>
      <c r="AF19" s="294">
        <v>24</v>
      </c>
      <c r="AG19" s="59">
        <v>22</v>
      </c>
      <c r="AH19" s="52">
        <f t="shared" si="2"/>
        <v>24.9</v>
      </c>
      <c r="AI19" s="53">
        <f t="shared" si="3"/>
        <v>24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5.75" x14ac:dyDescent="0.25">
      <c r="A20" s="58" t="s">
        <v>27</v>
      </c>
      <c r="B20" s="290">
        <v>21</v>
      </c>
      <c r="C20" s="290">
        <v>21</v>
      </c>
      <c r="D20" s="290">
        <v>21</v>
      </c>
      <c r="E20" s="300">
        <v>21</v>
      </c>
      <c r="F20" s="300">
        <v>21</v>
      </c>
      <c r="G20" s="300"/>
      <c r="H20" s="300">
        <v>21</v>
      </c>
      <c r="I20" s="300">
        <v>21</v>
      </c>
      <c r="J20" s="300">
        <v>21</v>
      </c>
      <c r="K20" s="300">
        <v>21</v>
      </c>
      <c r="L20" s="294">
        <v>21</v>
      </c>
      <c r="M20" s="294">
        <v>21</v>
      </c>
      <c r="N20" s="294">
        <v>21</v>
      </c>
      <c r="O20" s="294">
        <v>21</v>
      </c>
      <c r="P20" s="294">
        <v>21</v>
      </c>
      <c r="Q20" s="294">
        <v>21</v>
      </c>
      <c r="R20" s="294">
        <v>21</v>
      </c>
      <c r="S20" s="294">
        <v>21</v>
      </c>
      <c r="T20" s="294">
        <v>21</v>
      </c>
      <c r="U20" s="294">
        <v>21</v>
      </c>
      <c r="V20" s="294">
        <v>21</v>
      </c>
      <c r="W20" s="294">
        <v>21</v>
      </c>
      <c r="X20" s="294">
        <v>21</v>
      </c>
      <c r="Y20" s="294">
        <v>21</v>
      </c>
      <c r="Z20" s="294">
        <v>21</v>
      </c>
      <c r="AA20" s="294">
        <v>21</v>
      </c>
      <c r="AB20" s="294">
        <v>21</v>
      </c>
      <c r="AC20" s="294">
        <v>21</v>
      </c>
      <c r="AD20" s="294">
        <v>21</v>
      </c>
      <c r="AE20" s="294">
        <v>21</v>
      </c>
      <c r="AF20" s="294">
        <v>21</v>
      </c>
      <c r="AG20" s="59">
        <v>22</v>
      </c>
      <c r="AH20" s="52">
        <f t="shared" si="2"/>
        <v>21</v>
      </c>
      <c r="AI20" s="53">
        <f t="shared" si="3"/>
        <v>21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5.75" x14ac:dyDescent="0.25">
      <c r="A21" s="58" t="s">
        <v>28</v>
      </c>
      <c r="B21" s="290">
        <v>4.45</v>
      </c>
      <c r="C21" s="290">
        <v>4.45</v>
      </c>
      <c r="D21" s="290">
        <v>4.45</v>
      </c>
      <c r="E21" s="290">
        <v>4.45</v>
      </c>
      <c r="F21" s="290">
        <v>4.45</v>
      </c>
      <c r="G21" s="290"/>
      <c r="H21" s="290">
        <v>4.45</v>
      </c>
      <c r="I21" s="290">
        <v>4.45</v>
      </c>
      <c r="J21" s="290">
        <v>4.45</v>
      </c>
      <c r="K21" s="290">
        <v>4.45</v>
      </c>
      <c r="L21" s="294">
        <v>4.5</v>
      </c>
      <c r="M21" s="294">
        <v>4.5</v>
      </c>
      <c r="N21" s="294">
        <v>4.5</v>
      </c>
      <c r="O21" s="294">
        <v>4.5</v>
      </c>
      <c r="P21" s="294">
        <v>4.5</v>
      </c>
      <c r="Q21" s="294">
        <v>4.5</v>
      </c>
      <c r="R21" s="294">
        <v>8</v>
      </c>
      <c r="S21" s="294">
        <v>8</v>
      </c>
      <c r="T21" s="294">
        <v>8</v>
      </c>
      <c r="U21" s="294">
        <v>8</v>
      </c>
      <c r="V21" s="294">
        <v>8</v>
      </c>
      <c r="W21" s="294">
        <v>8</v>
      </c>
      <c r="X21" s="294">
        <v>8</v>
      </c>
      <c r="Y21" s="294">
        <v>8</v>
      </c>
      <c r="Z21" s="294">
        <v>8</v>
      </c>
      <c r="AA21" s="294">
        <v>8</v>
      </c>
      <c r="AB21" s="294">
        <v>8</v>
      </c>
      <c r="AC21" s="294">
        <v>8</v>
      </c>
      <c r="AD21" s="294">
        <v>8</v>
      </c>
      <c r="AE21" s="294">
        <v>8</v>
      </c>
      <c r="AF21" s="294">
        <v>8</v>
      </c>
      <c r="AG21" s="59">
        <v>14.9</v>
      </c>
      <c r="AH21" s="52">
        <f t="shared" si="2"/>
        <v>8</v>
      </c>
      <c r="AI21" s="53">
        <f t="shared" si="3"/>
        <v>4.45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5.75" x14ac:dyDescent="0.25">
      <c r="A22" s="58" t="s">
        <v>29</v>
      </c>
      <c r="B22" s="290">
        <v>0</v>
      </c>
      <c r="C22" s="290">
        <v>0</v>
      </c>
      <c r="D22" s="290">
        <v>0</v>
      </c>
      <c r="E22" s="300">
        <v>0</v>
      </c>
      <c r="F22" s="300">
        <v>0</v>
      </c>
      <c r="G22" s="300">
        <v>0</v>
      </c>
      <c r="H22" s="300">
        <v>0</v>
      </c>
      <c r="I22" s="300">
        <v>0</v>
      </c>
      <c r="J22" s="300">
        <v>0</v>
      </c>
      <c r="K22" s="300">
        <v>0</v>
      </c>
      <c r="L22" s="294">
        <v>0</v>
      </c>
      <c r="M22" s="294">
        <v>0</v>
      </c>
      <c r="N22" s="294">
        <v>0</v>
      </c>
      <c r="O22" s="294">
        <v>0</v>
      </c>
      <c r="P22" s="294">
        <v>0</v>
      </c>
      <c r="Q22" s="294">
        <v>0</v>
      </c>
      <c r="R22" s="294">
        <v>0</v>
      </c>
      <c r="S22" s="294">
        <v>0</v>
      </c>
      <c r="T22" s="294">
        <v>0</v>
      </c>
      <c r="U22" s="294">
        <v>0</v>
      </c>
      <c r="V22" s="294">
        <v>0</v>
      </c>
      <c r="W22" s="294">
        <v>0</v>
      </c>
      <c r="X22" s="294">
        <v>0</v>
      </c>
      <c r="Y22" s="294">
        <v>0</v>
      </c>
      <c r="Z22" s="294">
        <v>0</v>
      </c>
      <c r="AA22" s="294">
        <v>0</v>
      </c>
      <c r="AB22" s="294">
        <v>0</v>
      </c>
      <c r="AC22" s="294">
        <v>0</v>
      </c>
      <c r="AD22" s="294">
        <v>0</v>
      </c>
      <c r="AE22" s="294">
        <v>0</v>
      </c>
      <c r="AF22" s="294">
        <v>0</v>
      </c>
      <c r="AG22" s="59">
        <v>13.6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5.75" x14ac:dyDescent="0.25">
      <c r="A23" s="58" t="s">
        <v>30</v>
      </c>
      <c r="B23" s="290">
        <v>10.6</v>
      </c>
      <c r="C23" s="290">
        <v>10.6</v>
      </c>
      <c r="D23" s="290">
        <v>10.6</v>
      </c>
      <c r="E23" s="300">
        <v>10.6</v>
      </c>
      <c r="F23" s="300">
        <v>10.6</v>
      </c>
      <c r="G23" s="300">
        <v>10.6</v>
      </c>
      <c r="H23" s="300">
        <v>10.6</v>
      </c>
      <c r="I23" s="300">
        <v>10.6</v>
      </c>
      <c r="J23" s="300">
        <v>10.6</v>
      </c>
      <c r="K23" s="300">
        <v>10.6</v>
      </c>
      <c r="L23" s="294">
        <v>10.6</v>
      </c>
      <c r="M23" s="294">
        <v>10.6</v>
      </c>
      <c r="N23" s="294">
        <v>10.6</v>
      </c>
      <c r="O23" s="294">
        <v>10.6</v>
      </c>
      <c r="P23" s="294">
        <v>10.6</v>
      </c>
      <c r="Q23" s="294">
        <v>10.6</v>
      </c>
      <c r="R23" s="294">
        <v>10.6</v>
      </c>
      <c r="S23" s="294">
        <v>10.6</v>
      </c>
      <c r="T23" s="294">
        <v>10.6</v>
      </c>
      <c r="U23" s="294">
        <v>10.6</v>
      </c>
      <c r="V23" s="294">
        <v>10.6</v>
      </c>
      <c r="W23" s="294">
        <v>10.6</v>
      </c>
      <c r="X23" s="294">
        <v>10.6</v>
      </c>
      <c r="Y23" s="294">
        <v>10.6</v>
      </c>
      <c r="Z23" s="294">
        <v>10.6</v>
      </c>
      <c r="AA23" s="294">
        <v>10.6</v>
      </c>
      <c r="AB23" s="294">
        <v>10.6</v>
      </c>
      <c r="AC23" s="294">
        <v>10.6</v>
      </c>
      <c r="AD23" s="294">
        <v>10.6</v>
      </c>
      <c r="AE23" s="294">
        <v>10.6</v>
      </c>
      <c r="AF23" s="294">
        <v>0</v>
      </c>
      <c r="AG23" s="59">
        <v>13</v>
      </c>
      <c r="AH23" s="52">
        <f t="shared" si="2"/>
        <v>10.6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ht="15.75" x14ac:dyDescent="0.25">
      <c r="A24" s="58" t="s">
        <v>31</v>
      </c>
      <c r="B24" s="290">
        <v>12</v>
      </c>
      <c r="C24" s="290">
        <v>12</v>
      </c>
      <c r="D24" s="290">
        <v>12</v>
      </c>
      <c r="E24" s="300">
        <v>12</v>
      </c>
      <c r="F24" s="300">
        <v>12</v>
      </c>
      <c r="G24" s="300">
        <v>12</v>
      </c>
      <c r="H24" s="300">
        <v>12</v>
      </c>
      <c r="I24" s="300">
        <v>12</v>
      </c>
      <c r="J24" s="300">
        <v>12</v>
      </c>
      <c r="K24" s="300">
        <v>12</v>
      </c>
      <c r="L24" s="294">
        <v>12</v>
      </c>
      <c r="M24" s="294">
        <v>12</v>
      </c>
      <c r="N24" s="294">
        <v>12</v>
      </c>
      <c r="O24" s="294">
        <v>12</v>
      </c>
      <c r="P24" s="294">
        <v>12</v>
      </c>
      <c r="Q24" s="294">
        <v>12</v>
      </c>
      <c r="R24" s="294">
        <v>12</v>
      </c>
      <c r="S24" s="294">
        <v>12</v>
      </c>
      <c r="T24" s="294">
        <v>12</v>
      </c>
      <c r="U24" s="294">
        <v>12</v>
      </c>
      <c r="V24" s="294">
        <v>12</v>
      </c>
      <c r="W24" s="294">
        <v>12</v>
      </c>
      <c r="X24" s="294">
        <v>12</v>
      </c>
      <c r="Y24" s="294">
        <v>12</v>
      </c>
      <c r="Z24" s="294">
        <v>12</v>
      </c>
      <c r="AA24" s="294">
        <v>12</v>
      </c>
      <c r="AB24" s="294">
        <v>12</v>
      </c>
      <c r="AC24" s="294">
        <v>12</v>
      </c>
      <c r="AD24" s="294">
        <v>12</v>
      </c>
      <c r="AE24" s="294">
        <v>12</v>
      </c>
      <c r="AF24" s="294">
        <v>12</v>
      </c>
      <c r="AG24" s="59">
        <v>12</v>
      </c>
      <c r="AH24" s="52">
        <f t="shared" si="2"/>
        <v>12</v>
      </c>
      <c r="AI24" s="53">
        <f t="shared" si="3"/>
        <v>12</v>
      </c>
      <c r="AJ24" s="1"/>
      <c r="AK24" s="54"/>
      <c r="AL24" s="31"/>
      <c r="AM24" s="286"/>
      <c r="AN24" s="28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ht="15.75" x14ac:dyDescent="0.25">
      <c r="A25" s="58" t="s">
        <v>32</v>
      </c>
      <c r="B25" s="290">
        <v>2.2000000000000002</v>
      </c>
      <c r="C25" s="290">
        <v>2.2000000000000002</v>
      </c>
      <c r="D25" s="290">
        <v>2.2000000000000002</v>
      </c>
      <c r="E25" s="300">
        <v>2.2000000000000002</v>
      </c>
      <c r="F25" s="300">
        <v>2.2000000000000002</v>
      </c>
      <c r="G25" s="300"/>
      <c r="H25" s="300">
        <v>2.2000000000000002</v>
      </c>
      <c r="I25" s="300">
        <v>2.2000000000000002</v>
      </c>
      <c r="J25" s="300">
        <v>2.2000000000000002</v>
      </c>
      <c r="K25" s="300">
        <v>2.2000000000000002</v>
      </c>
      <c r="L25" s="294">
        <v>2.2000000000000002</v>
      </c>
      <c r="M25" s="294">
        <v>2.2000000000000002</v>
      </c>
      <c r="N25" s="294">
        <v>2.2000000000000002</v>
      </c>
      <c r="O25" s="294">
        <v>3.1</v>
      </c>
      <c r="P25" s="294">
        <v>3.1</v>
      </c>
      <c r="Q25" s="294">
        <v>3.1</v>
      </c>
      <c r="R25" s="294">
        <v>3.1</v>
      </c>
      <c r="S25" s="294">
        <v>3.1</v>
      </c>
      <c r="T25" s="294">
        <v>3.1</v>
      </c>
      <c r="U25" s="294">
        <v>3.1</v>
      </c>
      <c r="V25" s="294">
        <v>3.1</v>
      </c>
      <c r="W25" s="294">
        <v>3.1</v>
      </c>
      <c r="X25" s="294">
        <v>3.1</v>
      </c>
      <c r="Y25" s="294">
        <v>3.1</v>
      </c>
      <c r="Z25" s="294">
        <v>3.1</v>
      </c>
      <c r="AA25" s="294">
        <v>3.2</v>
      </c>
      <c r="AB25" s="294">
        <v>3.2</v>
      </c>
      <c r="AC25" s="294">
        <v>3.2</v>
      </c>
      <c r="AD25" s="294">
        <v>3.2</v>
      </c>
      <c r="AE25" s="294">
        <v>3.2</v>
      </c>
      <c r="AF25" s="294">
        <v>3.2</v>
      </c>
      <c r="AG25" s="59">
        <v>12</v>
      </c>
      <c r="AH25" s="52">
        <f>MAX(B25:AF25)</f>
        <v>3.2</v>
      </c>
      <c r="AI25" s="53">
        <f>MIN(B25:AF25)</f>
        <v>2.2000000000000002</v>
      </c>
      <c r="AJ25" s="1"/>
      <c r="AK25" s="54"/>
      <c r="AL25" s="31"/>
      <c r="AM25" s="286"/>
      <c r="AN25" s="28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ht="15.75" x14ac:dyDescent="0.25">
      <c r="A26" s="58" t="s">
        <v>33</v>
      </c>
      <c r="B26" s="290">
        <v>10</v>
      </c>
      <c r="C26" s="290">
        <v>10</v>
      </c>
      <c r="D26" s="290">
        <v>10</v>
      </c>
      <c r="E26" s="300">
        <v>10</v>
      </c>
      <c r="F26" s="300">
        <v>10</v>
      </c>
      <c r="G26" s="300">
        <v>10</v>
      </c>
      <c r="H26" s="300">
        <v>10</v>
      </c>
      <c r="I26" s="300">
        <v>10</v>
      </c>
      <c r="J26" s="300">
        <v>10</v>
      </c>
      <c r="K26" s="300">
        <v>10</v>
      </c>
      <c r="L26" s="294">
        <v>10</v>
      </c>
      <c r="M26" s="294">
        <v>10</v>
      </c>
      <c r="N26" s="294">
        <v>10</v>
      </c>
      <c r="O26" s="294">
        <v>10</v>
      </c>
      <c r="P26" s="294">
        <v>10</v>
      </c>
      <c r="Q26" s="294">
        <v>10</v>
      </c>
      <c r="R26" s="294">
        <v>10</v>
      </c>
      <c r="S26" s="294">
        <v>10</v>
      </c>
      <c r="T26" s="294">
        <v>10</v>
      </c>
      <c r="U26" s="294">
        <v>10</v>
      </c>
      <c r="V26" s="294">
        <v>10</v>
      </c>
      <c r="W26" s="294">
        <v>10</v>
      </c>
      <c r="X26" s="294">
        <v>10</v>
      </c>
      <c r="Y26" s="294">
        <v>10</v>
      </c>
      <c r="Z26" s="294">
        <v>10</v>
      </c>
      <c r="AA26" s="294">
        <v>10</v>
      </c>
      <c r="AB26" s="294">
        <v>10</v>
      </c>
      <c r="AC26" s="294">
        <v>10</v>
      </c>
      <c r="AD26" s="294">
        <v>10</v>
      </c>
      <c r="AE26" s="294">
        <v>10</v>
      </c>
      <c r="AF26" s="294">
        <v>0</v>
      </c>
      <c r="AG26" s="59">
        <v>12</v>
      </c>
      <c r="AH26" s="52">
        <f>MAX(B26:AF26)</f>
        <v>10</v>
      </c>
      <c r="AI26" s="53">
        <f>MIN(B26:AF26)</f>
        <v>0</v>
      </c>
      <c r="AJ26" s="1"/>
      <c r="AK26" s="54"/>
      <c r="AL26" s="31"/>
      <c r="AM26" s="286"/>
      <c r="AN26" s="28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5.75" x14ac:dyDescent="0.25">
      <c r="A27" s="58" t="s">
        <v>34</v>
      </c>
      <c r="B27" s="290">
        <v>8</v>
      </c>
      <c r="C27" s="290">
        <v>8</v>
      </c>
      <c r="D27" s="290">
        <v>8</v>
      </c>
      <c r="E27" s="300">
        <v>8</v>
      </c>
      <c r="F27" s="300">
        <v>8</v>
      </c>
      <c r="G27" s="300">
        <v>8</v>
      </c>
      <c r="H27" s="300">
        <v>8</v>
      </c>
      <c r="I27" s="300">
        <v>8</v>
      </c>
      <c r="J27" s="300">
        <v>8</v>
      </c>
      <c r="K27" s="300">
        <v>8</v>
      </c>
      <c r="L27" s="294">
        <v>8</v>
      </c>
      <c r="M27" s="294">
        <v>8</v>
      </c>
      <c r="N27" s="294">
        <v>8</v>
      </c>
      <c r="O27" s="294">
        <v>8</v>
      </c>
      <c r="P27" s="294">
        <v>8</v>
      </c>
      <c r="Q27" s="294">
        <v>8</v>
      </c>
      <c r="R27" s="294">
        <v>8</v>
      </c>
      <c r="S27" s="294">
        <v>8</v>
      </c>
      <c r="T27" s="294">
        <v>8</v>
      </c>
      <c r="U27" s="294">
        <v>8</v>
      </c>
      <c r="V27" s="294">
        <v>8</v>
      </c>
      <c r="W27" s="294">
        <v>8</v>
      </c>
      <c r="X27" s="294">
        <v>8</v>
      </c>
      <c r="Y27" s="294">
        <v>8</v>
      </c>
      <c r="Z27" s="294">
        <v>8</v>
      </c>
      <c r="AA27" s="294">
        <v>8</v>
      </c>
      <c r="AB27" s="294">
        <v>8</v>
      </c>
      <c r="AC27" s="294">
        <v>8</v>
      </c>
      <c r="AD27" s="294">
        <v>8</v>
      </c>
      <c r="AE27" s="294">
        <v>8</v>
      </c>
      <c r="AF27" s="294">
        <v>0</v>
      </c>
      <c r="AG27" s="59">
        <v>10</v>
      </c>
      <c r="AH27" s="52">
        <f t="shared" si="2"/>
        <v>8</v>
      </c>
      <c r="AI27" s="53">
        <f t="shared" si="3"/>
        <v>0</v>
      </c>
      <c r="AK27" s="54"/>
    </row>
    <row r="28" spans="1:88" x14ac:dyDescent="0.25">
      <c r="A28" s="65" t="s">
        <v>35</v>
      </c>
      <c r="B28" s="300">
        <v>150</v>
      </c>
      <c r="C28" s="300">
        <v>150</v>
      </c>
      <c r="D28" s="300">
        <v>150</v>
      </c>
      <c r="E28" s="300">
        <v>150</v>
      </c>
      <c r="F28" s="300">
        <v>150</v>
      </c>
      <c r="G28" s="300">
        <v>150</v>
      </c>
      <c r="H28" s="300">
        <v>150</v>
      </c>
      <c r="I28" s="300">
        <v>150</v>
      </c>
      <c r="J28" s="300">
        <v>150</v>
      </c>
      <c r="K28" s="300">
        <v>150</v>
      </c>
      <c r="L28" s="294">
        <v>150</v>
      </c>
      <c r="M28" s="294">
        <v>150</v>
      </c>
      <c r="N28" s="294">
        <v>150</v>
      </c>
      <c r="O28" s="294">
        <v>150</v>
      </c>
      <c r="P28" s="294">
        <v>150</v>
      </c>
      <c r="Q28" s="294">
        <v>150</v>
      </c>
      <c r="R28" s="300">
        <v>150</v>
      </c>
      <c r="S28" s="300">
        <v>150</v>
      </c>
      <c r="T28" s="300">
        <v>150</v>
      </c>
      <c r="U28" s="300">
        <v>150</v>
      </c>
      <c r="V28" s="300">
        <v>150</v>
      </c>
      <c r="W28" s="300">
        <v>150</v>
      </c>
      <c r="X28" s="300">
        <v>150</v>
      </c>
      <c r="Y28" s="300">
        <v>150</v>
      </c>
      <c r="Z28" s="300">
        <v>150</v>
      </c>
      <c r="AA28" s="300">
        <v>150</v>
      </c>
      <c r="AB28" s="300">
        <v>150</v>
      </c>
      <c r="AC28" s="300">
        <v>150</v>
      </c>
      <c r="AD28" s="300">
        <v>150</v>
      </c>
      <c r="AE28" s="300">
        <v>150</v>
      </c>
      <c r="AF28" s="300">
        <v>175</v>
      </c>
      <c r="AG28" s="59">
        <v>85</v>
      </c>
      <c r="AH28" s="52">
        <f t="shared" si="2"/>
        <v>175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300">
        <v>94.4</v>
      </c>
      <c r="C29" s="300">
        <v>95</v>
      </c>
      <c r="D29" s="300">
        <v>94.8</v>
      </c>
      <c r="E29" s="300">
        <v>93.2</v>
      </c>
      <c r="F29" s="300">
        <v>93.1</v>
      </c>
      <c r="G29" s="300">
        <v>0</v>
      </c>
      <c r="H29" s="300">
        <v>84.3</v>
      </c>
      <c r="I29" s="300">
        <v>90.4</v>
      </c>
      <c r="J29" s="300">
        <v>88.6</v>
      </c>
      <c r="K29" s="300">
        <v>90.7</v>
      </c>
      <c r="L29" s="303">
        <v>92.2</v>
      </c>
      <c r="M29" s="303">
        <v>63.5</v>
      </c>
      <c r="N29" s="303">
        <v>64.599999999999994</v>
      </c>
      <c r="O29" s="303">
        <v>69</v>
      </c>
      <c r="P29" s="303">
        <v>58.3</v>
      </c>
      <c r="Q29" s="303">
        <v>79.5</v>
      </c>
      <c r="R29" s="303">
        <v>81.5</v>
      </c>
      <c r="S29" s="303">
        <v>82</v>
      </c>
      <c r="T29" s="303">
        <v>88.1</v>
      </c>
      <c r="U29" s="303">
        <v>111.4</v>
      </c>
      <c r="V29" s="303">
        <v>111.4</v>
      </c>
      <c r="W29" s="303">
        <v>111.4</v>
      </c>
      <c r="X29" s="303">
        <v>103.6</v>
      </c>
      <c r="Y29" s="303">
        <v>113.2</v>
      </c>
      <c r="Z29" s="303">
        <v>119.8</v>
      </c>
      <c r="AA29" s="303">
        <v>119.9</v>
      </c>
      <c r="AB29" s="303">
        <v>123</v>
      </c>
      <c r="AC29" s="303">
        <v>121.5</v>
      </c>
      <c r="AD29" s="303">
        <v>118.7</v>
      </c>
      <c r="AE29" s="300">
        <v>117.5</v>
      </c>
      <c r="AF29" s="300">
        <v>116.5</v>
      </c>
      <c r="AG29" s="59">
        <v>240</v>
      </c>
      <c r="AH29" s="52">
        <f t="shared" si="2"/>
        <v>123</v>
      </c>
      <c r="AI29" s="53">
        <f t="shared" si="3"/>
        <v>0</v>
      </c>
      <c r="AK29" s="54"/>
    </row>
    <row r="30" spans="1:88" ht="15.75" thickBot="1" x14ac:dyDescent="0.3">
      <c r="A30" s="68" t="s">
        <v>37</v>
      </c>
      <c r="B30" s="304">
        <f>SUM(B11:B28)</f>
        <v>469.95000000000005</v>
      </c>
      <c r="C30" s="304">
        <f t="shared" ref="C30:AF30" si="4">SUM(C11:C28)</f>
        <v>467.35</v>
      </c>
      <c r="D30" s="304">
        <f t="shared" si="4"/>
        <v>467.15000000000003</v>
      </c>
      <c r="E30" s="304">
        <f t="shared" si="4"/>
        <v>466.05</v>
      </c>
      <c r="F30" s="304">
        <f t="shared" si="4"/>
        <v>443.45</v>
      </c>
      <c r="G30" s="304">
        <f t="shared" si="4"/>
        <v>417.3</v>
      </c>
      <c r="H30" s="304">
        <f t="shared" si="4"/>
        <v>445.25</v>
      </c>
      <c r="I30" s="304">
        <f t="shared" si="4"/>
        <v>444.85</v>
      </c>
      <c r="J30" s="304">
        <f t="shared" si="4"/>
        <v>446.25</v>
      </c>
      <c r="K30" s="304">
        <f t="shared" si="4"/>
        <v>447.34999999999997</v>
      </c>
      <c r="L30" s="304">
        <f t="shared" si="4"/>
        <v>447.09999999999997</v>
      </c>
      <c r="M30" s="304">
        <f t="shared" si="4"/>
        <v>436.7</v>
      </c>
      <c r="N30" s="304">
        <f t="shared" si="4"/>
        <v>386.4</v>
      </c>
      <c r="O30" s="304">
        <f t="shared" si="4"/>
        <v>436.6</v>
      </c>
      <c r="P30" s="304">
        <f t="shared" si="4"/>
        <v>434.9</v>
      </c>
      <c r="Q30" s="304">
        <f t="shared" si="4"/>
        <v>433</v>
      </c>
      <c r="R30" s="304">
        <f t="shared" si="4"/>
        <v>437.90000000000003</v>
      </c>
      <c r="S30" s="304">
        <f t="shared" si="4"/>
        <v>435.70000000000005</v>
      </c>
      <c r="T30" s="304">
        <f t="shared" si="4"/>
        <v>432.8</v>
      </c>
      <c r="U30" s="304">
        <f t="shared" si="4"/>
        <v>459.20000000000005</v>
      </c>
      <c r="V30" s="304">
        <f>SUM(V11:V28)</f>
        <v>382.79999999999995</v>
      </c>
      <c r="W30" s="304">
        <f t="shared" si="4"/>
        <v>447.70000000000005</v>
      </c>
      <c r="X30" s="304">
        <f t="shared" si="4"/>
        <v>448.20000000000005</v>
      </c>
      <c r="Y30" s="304">
        <f t="shared" si="4"/>
        <v>460.70000000000005</v>
      </c>
      <c r="Z30" s="304">
        <f t="shared" si="4"/>
        <v>460.70000000000005</v>
      </c>
      <c r="AA30" s="304">
        <f t="shared" si="4"/>
        <v>463.2</v>
      </c>
      <c r="AB30" s="304">
        <f t="shared" si="4"/>
        <v>463.40000000000003</v>
      </c>
      <c r="AC30" s="304">
        <f t="shared" si="4"/>
        <v>463.2</v>
      </c>
      <c r="AD30" s="304">
        <f t="shared" si="4"/>
        <v>394.6</v>
      </c>
      <c r="AE30" s="304">
        <f t="shared" si="4"/>
        <v>392.5</v>
      </c>
      <c r="AF30" s="304">
        <f t="shared" si="4"/>
        <v>389.7</v>
      </c>
      <c r="AG30" s="59">
        <f>SUM(AG11:AG29)</f>
        <v>729.2</v>
      </c>
      <c r="AH30" s="52">
        <f t="shared" si="2"/>
        <v>469.95000000000005</v>
      </c>
      <c r="AI30" s="53">
        <f t="shared" si="3"/>
        <v>382.79999999999995</v>
      </c>
      <c r="AK30" s="54"/>
    </row>
    <row r="31" spans="1:88" x14ac:dyDescent="0.25">
      <c r="A31" s="55" t="s">
        <v>38</v>
      </c>
      <c r="B31" s="48">
        <v>140.5</v>
      </c>
      <c r="C31" s="48">
        <v>140.5</v>
      </c>
      <c r="D31" s="48">
        <v>140.5</v>
      </c>
      <c r="E31" s="300">
        <v>141</v>
      </c>
      <c r="F31" s="300">
        <v>130</v>
      </c>
      <c r="G31" s="300">
        <v>140</v>
      </c>
      <c r="H31" s="300">
        <v>139.9</v>
      </c>
      <c r="I31" s="300">
        <v>139.80000000000001</v>
      </c>
      <c r="J31" s="300">
        <v>141.6</v>
      </c>
      <c r="K31" s="300">
        <v>142.1</v>
      </c>
      <c r="L31" s="294">
        <v>102.9</v>
      </c>
      <c r="M31" s="294">
        <v>48.2</v>
      </c>
      <c r="N31" s="294">
        <v>130</v>
      </c>
      <c r="O31" s="294">
        <v>126</v>
      </c>
      <c r="P31" s="294">
        <v>126.4</v>
      </c>
      <c r="Q31" s="294">
        <v>126.5</v>
      </c>
      <c r="R31" s="294">
        <v>111.5</v>
      </c>
      <c r="S31" s="294">
        <v>114.5</v>
      </c>
      <c r="T31" s="294">
        <v>112</v>
      </c>
      <c r="U31" s="294">
        <v>100.8</v>
      </c>
      <c r="V31" s="294" t="s">
        <v>210</v>
      </c>
      <c r="W31" s="294">
        <v>110</v>
      </c>
      <c r="X31" s="294">
        <v>102</v>
      </c>
      <c r="Y31" s="294">
        <v>101.2</v>
      </c>
      <c r="Z31" s="294">
        <v>119</v>
      </c>
      <c r="AA31" s="48">
        <v>116.6</v>
      </c>
      <c r="AB31" s="48">
        <v>130</v>
      </c>
      <c r="AC31" s="48">
        <v>140</v>
      </c>
      <c r="AD31" s="48">
        <v>138.80000000000001</v>
      </c>
      <c r="AE31" s="48">
        <v>140.69999999999999</v>
      </c>
      <c r="AF31" s="48">
        <v>143</v>
      </c>
      <c r="AG31" s="57">
        <v>144</v>
      </c>
      <c r="AH31" s="52">
        <f t="shared" si="2"/>
        <v>143</v>
      </c>
      <c r="AI31" s="53">
        <f t="shared" si="3"/>
        <v>48.2</v>
      </c>
      <c r="AK31" s="54"/>
    </row>
    <row r="32" spans="1:88" x14ac:dyDescent="0.25">
      <c r="A32" s="58" t="s">
        <v>39</v>
      </c>
      <c r="B32" s="300">
        <v>69.2</v>
      </c>
      <c r="C32" s="300">
        <v>69.2</v>
      </c>
      <c r="D32" s="300">
        <v>70</v>
      </c>
      <c r="E32" s="300">
        <v>70.989999999999995</v>
      </c>
      <c r="F32" s="300">
        <v>70.599999999999994</v>
      </c>
      <c r="G32" s="300">
        <v>69.400000000000006</v>
      </c>
      <c r="H32" s="300">
        <v>59.7</v>
      </c>
      <c r="I32" s="300">
        <v>71.8</v>
      </c>
      <c r="J32" s="300">
        <v>69.900000000000006</v>
      </c>
      <c r="K32" s="300">
        <v>71.400000000000006</v>
      </c>
      <c r="L32" s="295">
        <v>71.099999999999994</v>
      </c>
      <c r="M32" s="295">
        <v>70.400000000000006</v>
      </c>
      <c r="N32" s="295">
        <v>69.900000000000006</v>
      </c>
      <c r="O32" s="295">
        <v>63.8</v>
      </c>
      <c r="P32" s="295">
        <v>70.599999999999994</v>
      </c>
      <c r="Q32" s="295">
        <v>71.3</v>
      </c>
      <c r="R32" s="295">
        <v>69.900000000000006</v>
      </c>
      <c r="S32" s="295">
        <v>69.7</v>
      </c>
      <c r="T32" s="295">
        <v>70.5</v>
      </c>
      <c r="U32" s="295">
        <v>46.2</v>
      </c>
      <c r="V32" s="295" t="s">
        <v>211</v>
      </c>
      <c r="W32" s="295">
        <v>35</v>
      </c>
      <c r="X32" s="295">
        <v>50</v>
      </c>
      <c r="Y32" s="295">
        <v>55</v>
      </c>
      <c r="Z32" s="295">
        <v>65</v>
      </c>
      <c r="AA32" s="300">
        <v>60.5</v>
      </c>
      <c r="AB32" s="300">
        <v>69</v>
      </c>
      <c r="AC32" s="300">
        <v>69.900000000000006</v>
      </c>
      <c r="AD32" s="300">
        <v>70.599999999999994</v>
      </c>
      <c r="AE32" s="300">
        <v>69.599999999999994</v>
      </c>
      <c r="AF32" s="300">
        <v>70</v>
      </c>
      <c r="AG32" s="59">
        <v>70</v>
      </c>
      <c r="AH32" s="52">
        <f t="shared" si="2"/>
        <v>71.8</v>
      </c>
      <c r="AI32" s="53">
        <f t="shared" si="3"/>
        <v>35</v>
      </c>
      <c r="AK32" s="54"/>
    </row>
    <row r="33" spans="1:41" x14ac:dyDescent="0.25">
      <c r="A33" s="58" t="s">
        <v>40</v>
      </c>
      <c r="B33" s="300">
        <v>45.3</v>
      </c>
      <c r="C33" s="300">
        <v>45.3</v>
      </c>
      <c r="D33" s="300">
        <v>45.3</v>
      </c>
      <c r="E33" s="300">
        <v>46</v>
      </c>
      <c r="F33" s="300">
        <v>46.2</v>
      </c>
      <c r="G33" s="300">
        <v>46</v>
      </c>
      <c r="H33" s="300">
        <v>45.5</v>
      </c>
      <c r="I33" s="300">
        <v>45.3</v>
      </c>
      <c r="J33" s="300">
        <v>45.1</v>
      </c>
      <c r="K33" s="300">
        <v>45.1</v>
      </c>
      <c r="L33" s="295">
        <v>45.9</v>
      </c>
      <c r="M33" s="295">
        <v>45.6</v>
      </c>
      <c r="N33" s="295">
        <v>44.6</v>
      </c>
      <c r="O33" s="295">
        <v>44.8</v>
      </c>
      <c r="P33" s="295">
        <v>45.5</v>
      </c>
      <c r="Q33" s="295">
        <v>46.2</v>
      </c>
      <c r="R33" s="295">
        <v>45.8</v>
      </c>
      <c r="S33" s="295">
        <v>45.8</v>
      </c>
      <c r="T33" s="295">
        <v>46.5</v>
      </c>
      <c r="U33" s="295">
        <v>32</v>
      </c>
      <c r="V33" s="295" t="s">
        <v>212</v>
      </c>
      <c r="W33" s="295">
        <v>23</v>
      </c>
      <c r="X33" s="295">
        <v>46.5</v>
      </c>
      <c r="Y33" s="295">
        <v>46.1</v>
      </c>
      <c r="Z33" s="295">
        <v>34</v>
      </c>
      <c r="AA33" s="300">
        <v>35.799999999999997</v>
      </c>
      <c r="AB33" s="300">
        <v>36</v>
      </c>
      <c r="AC33" s="300">
        <v>36</v>
      </c>
      <c r="AD33" s="300">
        <v>46</v>
      </c>
      <c r="AE33" s="300">
        <v>45.6</v>
      </c>
      <c r="AF33" s="300">
        <v>45.5</v>
      </c>
      <c r="AG33" s="59">
        <v>69</v>
      </c>
      <c r="AH33" s="52">
        <f t="shared" si="2"/>
        <v>46.5</v>
      </c>
      <c r="AI33" s="53">
        <f t="shared" si="3"/>
        <v>23</v>
      </c>
      <c r="AK33" s="54"/>
    </row>
    <row r="34" spans="1:41" x14ac:dyDescent="0.25">
      <c r="A34" s="58" t="s">
        <v>41</v>
      </c>
      <c r="B34" s="300">
        <v>28.5</v>
      </c>
      <c r="C34" s="300">
        <v>28.5</v>
      </c>
      <c r="D34" s="300">
        <v>28.5</v>
      </c>
      <c r="E34" s="300">
        <v>28.6</v>
      </c>
      <c r="F34" s="300">
        <v>28.9</v>
      </c>
      <c r="G34" s="300">
        <v>28.5</v>
      </c>
      <c r="H34" s="300">
        <v>28.5</v>
      </c>
      <c r="I34" s="300">
        <v>28.2</v>
      </c>
      <c r="J34" s="300">
        <v>28.2</v>
      </c>
      <c r="K34" s="300">
        <v>28.2</v>
      </c>
      <c r="L34" s="295">
        <v>28.2</v>
      </c>
      <c r="M34" s="295">
        <v>28.2</v>
      </c>
      <c r="N34" s="295">
        <v>28.2</v>
      </c>
      <c r="O34" s="295">
        <v>28.2</v>
      </c>
      <c r="P34" s="295">
        <v>28.2</v>
      </c>
      <c r="Q34" s="295">
        <v>28.2</v>
      </c>
      <c r="R34" s="295">
        <v>28.2</v>
      </c>
      <c r="S34" s="295">
        <v>28.2</v>
      </c>
      <c r="T34" s="295">
        <v>28.2</v>
      </c>
      <c r="U34" s="295">
        <v>28.2</v>
      </c>
      <c r="V34" s="295" t="s">
        <v>213</v>
      </c>
      <c r="W34" s="295">
        <v>28.2</v>
      </c>
      <c r="X34" s="295">
        <v>28.2</v>
      </c>
      <c r="Y34" s="295">
        <v>28.2</v>
      </c>
      <c r="Z34" s="295">
        <v>28.2</v>
      </c>
      <c r="AA34" s="300">
        <v>28.2</v>
      </c>
      <c r="AB34" s="300">
        <v>28.5</v>
      </c>
      <c r="AC34" s="300">
        <v>28.5</v>
      </c>
      <c r="AD34" s="300">
        <v>28.5</v>
      </c>
      <c r="AE34" s="300">
        <v>28.2</v>
      </c>
      <c r="AF34" s="300">
        <v>28.5</v>
      </c>
      <c r="AG34" s="59">
        <v>60</v>
      </c>
      <c r="AH34" s="52">
        <f t="shared" si="2"/>
        <v>28.9</v>
      </c>
      <c r="AI34" s="53">
        <f t="shared" si="3"/>
        <v>28.2</v>
      </c>
      <c r="AK34" s="54"/>
    </row>
    <row r="35" spans="1:41" x14ac:dyDescent="0.25">
      <c r="A35" s="58" t="s">
        <v>42</v>
      </c>
      <c r="B35" s="300">
        <v>29.1</v>
      </c>
      <c r="C35" s="300">
        <v>29.1</v>
      </c>
      <c r="D35" s="300">
        <v>30</v>
      </c>
      <c r="E35" s="300">
        <v>30</v>
      </c>
      <c r="F35" s="300">
        <v>30</v>
      </c>
      <c r="G35" s="300">
        <v>29.2</v>
      </c>
      <c r="H35" s="300">
        <v>29.1</v>
      </c>
      <c r="I35" s="300">
        <v>29.2</v>
      </c>
      <c r="J35" s="300">
        <v>29.5</v>
      </c>
      <c r="K35" s="300">
        <v>29.5</v>
      </c>
      <c r="L35" s="294">
        <v>25.4</v>
      </c>
      <c r="M35" s="294">
        <v>29.2</v>
      </c>
      <c r="N35" s="294">
        <v>29.4</v>
      </c>
      <c r="O35" s="294">
        <v>29.6</v>
      </c>
      <c r="P35" s="294">
        <v>29.6</v>
      </c>
      <c r="Q35" s="294">
        <v>29.8</v>
      </c>
      <c r="R35" s="294">
        <v>29.8</v>
      </c>
      <c r="S35" s="294">
        <v>29.1</v>
      </c>
      <c r="T35" s="294">
        <v>29.1</v>
      </c>
      <c r="U35" s="294">
        <v>29.1</v>
      </c>
      <c r="V35" s="294">
        <v>29.1</v>
      </c>
      <c r="W35" s="295">
        <v>29</v>
      </c>
      <c r="X35" s="295">
        <v>29</v>
      </c>
      <c r="Y35" s="295">
        <v>29</v>
      </c>
      <c r="Z35" s="295">
        <v>29</v>
      </c>
      <c r="AA35" s="300">
        <v>29</v>
      </c>
      <c r="AB35" s="300">
        <v>29</v>
      </c>
      <c r="AC35" s="300">
        <v>29</v>
      </c>
      <c r="AD35" s="300">
        <v>29</v>
      </c>
      <c r="AE35" s="300">
        <v>29</v>
      </c>
      <c r="AF35" s="300">
        <v>29</v>
      </c>
      <c r="AG35" s="59">
        <v>30</v>
      </c>
      <c r="AH35" s="52">
        <f t="shared" si="2"/>
        <v>30</v>
      </c>
      <c r="AI35" s="53">
        <f t="shared" si="3"/>
        <v>25.4</v>
      </c>
      <c r="AK35" s="54"/>
    </row>
    <row r="36" spans="1:41" x14ac:dyDescent="0.25">
      <c r="A36" s="58" t="s">
        <v>43</v>
      </c>
      <c r="B36" s="300">
        <v>15.5</v>
      </c>
      <c r="C36" s="300">
        <v>15.5</v>
      </c>
      <c r="D36" s="300">
        <v>15.4</v>
      </c>
      <c r="E36" s="71">
        <v>15.2</v>
      </c>
      <c r="F36" s="71">
        <v>15.2</v>
      </c>
      <c r="G36" s="71">
        <v>15.1</v>
      </c>
      <c r="H36" s="71">
        <v>14.8</v>
      </c>
      <c r="I36" s="71">
        <v>14.4</v>
      </c>
      <c r="J36" s="71">
        <v>14.2</v>
      </c>
      <c r="K36" s="71">
        <v>15.6</v>
      </c>
      <c r="L36" s="294">
        <v>15.5</v>
      </c>
      <c r="M36" s="294">
        <v>15.5</v>
      </c>
      <c r="N36" s="294">
        <v>14</v>
      </c>
      <c r="O36" s="294">
        <v>15.5</v>
      </c>
      <c r="P36" s="294">
        <v>15.4</v>
      </c>
      <c r="Q36" s="294">
        <v>15.4</v>
      </c>
      <c r="R36" s="294">
        <v>15.4</v>
      </c>
      <c r="S36" s="294">
        <v>15.5</v>
      </c>
      <c r="T36" s="294">
        <v>15.5</v>
      </c>
      <c r="U36" s="294">
        <v>15.5</v>
      </c>
      <c r="V36" s="294">
        <v>15.5</v>
      </c>
      <c r="W36" s="294">
        <v>15.5</v>
      </c>
      <c r="X36" s="294">
        <v>15.5</v>
      </c>
      <c r="Y36" s="294">
        <v>15.5</v>
      </c>
      <c r="Z36" s="294">
        <v>15.5</v>
      </c>
      <c r="AA36" s="300">
        <v>15.5</v>
      </c>
      <c r="AB36" s="300">
        <v>15.6</v>
      </c>
      <c r="AC36" s="300">
        <v>15.6</v>
      </c>
      <c r="AD36" s="300">
        <v>15.6</v>
      </c>
      <c r="AE36" s="300">
        <v>15.5</v>
      </c>
      <c r="AF36" s="300">
        <v>15.4</v>
      </c>
      <c r="AG36" s="59">
        <v>24</v>
      </c>
      <c r="AH36" s="52">
        <f t="shared" si="2"/>
        <v>15.6</v>
      </c>
      <c r="AI36" s="53">
        <f t="shared" si="3"/>
        <v>14</v>
      </c>
      <c r="AK36" s="54"/>
    </row>
    <row r="37" spans="1:41" x14ac:dyDescent="0.25">
      <c r="A37" s="58" t="s">
        <v>44</v>
      </c>
      <c r="B37" s="300">
        <v>2.1</v>
      </c>
      <c r="C37" s="300">
        <v>2.1</v>
      </c>
      <c r="D37" s="300">
        <v>2.1</v>
      </c>
      <c r="E37" s="300">
        <v>2.1</v>
      </c>
      <c r="F37" s="300">
        <v>2.1</v>
      </c>
      <c r="G37" s="300">
        <v>2.1</v>
      </c>
      <c r="H37" s="300">
        <v>2.1</v>
      </c>
      <c r="I37" s="300">
        <v>2.1</v>
      </c>
      <c r="J37" s="300">
        <v>2.1</v>
      </c>
      <c r="K37" s="300">
        <v>2.1</v>
      </c>
      <c r="L37" s="294">
        <v>2.9</v>
      </c>
      <c r="M37" s="294">
        <v>2.9</v>
      </c>
      <c r="N37" s="294">
        <v>2.9</v>
      </c>
      <c r="O37" s="294">
        <v>2.9</v>
      </c>
      <c r="P37" s="294">
        <v>2.9</v>
      </c>
      <c r="Q37" s="294">
        <v>2.9</v>
      </c>
      <c r="R37" s="294">
        <v>2.9</v>
      </c>
      <c r="S37" s="294">
        <v>2.9</v>
      </c>
      <c r="T37" s="294">
        <v>2.9</v>
      </c>
      <c r="U37" s="294">
        <v>2.9</v>
      </c>
      <c r="V37" s="295">
        <v>0</v>
      </c>
      <c r="W37" s="295">
        <v>3.4</v>
      </c>
      <c r="X37" s="295">
        <v>3.4</v>
      </c>
      <c r="Y37" s="295">
        <v>3.4</v>
      </c>
      <c r="Z37" s="295">
        <v>3.4</v>
      </c>
      <c r="AA37" s="300">
        <v>3.5</v>
      </c>
      <c r="AB37" s="300">
        <v>3.5</v>
      </c>
      <c r="AC37" s="300">
        <v>3.5</v>
      </c>
      <c r="AD37" s="300">
        <v>3.5</v>
      </c>
      <c r="AE37" s="300">
        <v>3.2</v>
      </c>
      <c r="AF37" s="300">
        <v>3.2</v>
      </c>
      <c r="AG37" s="59">
        <v>15</v>
      </c>
      <c r="AH37" s="52">
        <f t="shared" si="2"/>
        <v>3.5</v>
      </c>
      <c r="AI37" s="53">
        <f t="shared" si="3"/>
        <v>0</v>
      </c>
      <c r="AK37" s="54"/>
    </row>
    <row r="38" spans="1:41" x14ac:dyDescent="0.25">
      <c r="A38" s="58" t="s">
        <v>45</v>
      </c>
      <c r="B38" s="300">
        <v>10</v>
      </c>
      <c r="C38" s="300">
        <v>10</v>
      </c>
      <c r="D38" s="300">
        <v>10</v>
      </c>
      <c r="E38" s="300">
        <v>10</v>
      </c>
      <c r="F38" s="300">
        <v>10</v>
      </c>
      <c r="G38" s="300">
        <v>10</v>
      </c>
      <c r="H38" s="300">
        <v>10</v>
      </c>
      <c r="I38" s="300">
        <v>10</v>
      </c>
      <c r="J38" s="300">
        <v>10</v>
      </c>
      <c r="K38" s="300">
        <v>10</v>
      </c>
      <c r="L38" s="294">
        <v>10</v>
      </c>
      <c r="M38" s="294">
        <v>10</v>
      </c>
      <c r="N38" s="294">
        <v>10</v>
      </c>
      <c r="O38" s="294">
        <v>10</v>
      </c>
      <c r="P38" s="294">
        <v>10</v>
      </c>
      <c r="Q38" s="294">
        <v>10</v>
      </c>
      <c r="R38" s="294">
        <v>10</v>
      </c>
      <c r="S38" s="294">
        <v>10</v>
      </c>
      <c r="T38" s="294">
        <v>10</v>
      </c>
      <c r="U38" s="294">
        <v>10</v>
      </c>
      <c r="V38" s="294">
        <v>10</v>
      </c>
      <c r="W38" s="294">
        <v>10</v>
      </c>
      <c r="X38" s="294">
        <v>10</v>
      </c>
      <c r="Y38" s="294">
        <v>10</v>
      </c>
      <c r="Z38" s="294">
        <v>10</v>
      </c>
      <c r="AA38" s="300">
        <v>10</v>
      </c>
      <c r="AB38" s="300">
        <v>10</v>
      </c>
      <c r="AC38" s="300">
        <v>10</v>
      </c>
      <c r="AD38" s="300">
        <v>10</v>
      </c>
      <c r="AE38" s="300">
        <v>10</v>
      </c>
      <c r="AF38" s="300">
        <v>10</v>
      </c>
      <c r="AG38" s="59">
        <v>14.1</v>
      </c>
      <c r="AH38" s="52">
        <f t="shared" si="2"/>
        <v>10</v>
      </c>
      <c r="AI38" s="53">
        <f t="shared" si="3"/>
        <v>10</v>
      </c>
      <c r="AK38" s="54"/>
      <c r="AL38" s="64"/>
      <c r="AO38" s="64"/>
    </row>
    <row r="39" spans="1:41" s="64" customFormat="1" x14ac:dyDescent="0.25">
      <c r="A39" s="72" t="s">
        <v>46</v>
      </c>
      <c r="B39" s="300">
        <v>12</v>
      </c>
      <c r="C39" s="300">
        <v>12</v>
      </c>
      <c r="D39" s="300">
        <v>12</v>
      </c>
      <c r="E39" s="300">
        <v>12</v>
      </c>
      <c r="F39" s="300">
        <v>12</v>
      </c>
      <c r="G39" s="300">
        <v>12</v>
      </c>
      <c r="H39" s="300">
        <v>12</v>
      </c>
      <c r="I39" s="300">
        <v>12</v>
      </c>
      <c r="J39" s="300">
        <v>12</v>
      </c>
      <c r="K39" s="300">
        <v>12</v>
      </c>
      <c r="L39" s="294">
        <v>12</v>
      </c>
      <c r="M39" s="294">
        <v>12</v>
      </c>
      <c r="N39" s="294">
        <v>12</v>
      </c>
      <c r="O39" s="294">
        <v>12</v>
      </c>
      <c r="P39" s="294">
        <v>12</v>
      </c>
      <c r="Q39" s="294">
        <v>12</v>
      </c>
      <c r="R39" s="294">
        <v>12</v>
      </c>
      <c r="S39" s="294">
        <v>12</v>
      </c>
      <c r="T39" s="294">
        <v>12</v>
      </c>
      <c r="U39" s="294">
        <v>12</v>
      </c>
      <c r="V39" s="294">
        <v>12</v>
      </c>
      <c r="W39" s="294">
        <v>12</v>
      </c>
      <c r="X39" s="294">
        <v>12</v>
      </c>
      <c r="Y39" s="294">
        <v>12</v>
      </c>
      <c r="Z39" s="294">
        <v>12</v>
      </c>
      <c r="AA39" s="300">
        <v>12</v>
      </c>
      <c r="AB39" s="300">
        <v>12</v>
      </c>
      <c r="AC39" s="300">
        <v>12</v>
      </c>
      <c r="AD39" s="300">
        <v>12</v>
      </c>
      <c r="AE39" s="300">
        <v>12</v>
      </c>
      <c r="AF39" s="300">
        <v>0</v>
      </c>
      <c r="AG39" s="59">
        <v>14</v>
      </c>
      <c r="AH39" s="52">
        <f t="shared" si="2"/>
        <v>12</v>
      </c>
      <c r="AI39" s="53">
        <f t="shared" si="3"/>
        <v>0</v>
      </c>
      <c r="AJ39" s="1"/>
      <c r="AK39" s="54"/>
      <c r="AL39" s="286"/>
      <c r="AM39" s="286"/>
      <c r="AN39" s="286"/>
      <c r="AO39" s="286"/>
    </row>
    <row r="40" spans="1:41" x14ac:dyDescent="0.25">
      <c r="A40" s="58" t="s">
        <v>47</v>
      </c>
      <c r="B40" s="300">
        <v>9.1</v>
      </c>
      <c r="C40" s="300">
        <v>9.1</v>
      </c>
      <c r="D40" s="300">
        <v>9.1</v>
      </c>
      <c r="E40" s="300">
        <v>9.1</v>
      </c>
      <c r="F40" s="300">
        <v>9.1</v>
      </c>
      <c r="G40" s="300">
        <v>9.1</v>
      </c>
      <c r="H40" s="300">
        <v>9.1</v>
      </c>
      <c r="I40" s="300">
        <v>9.1</v>
      </c>
      <c r="J40" s="300">
        <v>9.1</v>
      </c>
      <c r="K40" s="300">
        <v>9.1</v>
      </c>
      <c r="L40" s="294">
        <v>9.1</v>
      </c>
      <c r="M40" s="294">
        <v>9.1</v>
      </c>
      <c r="N40" s="294">
        <v>9.1999999999999993</v>
      </c>
      <c r="O40" s="294">
        <v>9.3000000000000007</v>
      </c>
      <c r="P40" s="294">
        <v>6.9</v>
      </c>
      <c r="Q40" s="294">
        <v>7.6</v>
      </c>
      <c r="R40" s="294">
        <v>7.6</v>
      </c>
      <c r="S40" s="294">
        <v>7.6</v>
      </c>
      <c r="T40" s="294">
        <v>7.6</v>
      </c>
      <c r="U40" s="294">
        <v>7.6</v>
      </c>
      <c r="V40" s="294">
        <v>7.6</v>
      </c>
      <c r="W40" s="294">
        <v>7.6</v>
      </c>
      <c r="X40" s="294">
        <v>7.6</v>
      </c>
      <c r="Y40" s="294">
        <v>7.6</v>
      </c>
      <c r="Z40" s="294">
        <v>7.6</v>
      </c>
      <c r="AA40" s="300">
        <v>7.6</v>
      </c>
      <c r="AB40" s="300">
        <v>7.6</v>
      </c>
      <c r="AC40" s="300">
        <v>7.6</v>
      </c>
      <c r="AD40" s="300">
        <v>7.6</v>
      </c>
      <c r="AE40" s="300">
        <v>9.1</v>
      </c>
      <c r="AF40" s="300">
        <v>9.1</v>
      </c>
      <c r="AG40" s="59">
        <v>10.050000000000001</v>
      </c>
      <c r="AH40" s="52">
        <f t="shared" si="2"/>
        <v>9.3000000000000007</v>
      </c>
      <c r="AI40" s="53">
        <f t="shared" si="3"/>
        <v>6.9</v>
      </c>
      <c r="AK40" s="54"/>
    </row>
    <row r="41" spans="1:41" x14ac:dyDescent="0.25">
      <c r="A41" s="58" t="s">
        <v>48</v>
      </c>
      <c r="B41" s="300">
        <v>5</v>
      </c>
      <c r="C41" s="300">
        <v>5</v>
      </c>
      <c r="D41" s="300">
        <v>5</v>
      </c>
      <c r="E41" s="300">
        <v>5</v>
      </c>
      <c r="F41" s="300">
        <v>5</v>
      </c>
      <c r="G41" s="300">
        <v>5</v>
      </c>
      <c r="H41" s="300">
        <v>5</v>
      </c>
      <c r="I41" s="300">
        <v>5</v>
      </c>
      <c r="J41" s="300">
        <v>5</v>
      </c>
      <c r="K41" s="300">
        <v>5</v>
      </c>
      <c r="L41" s="294">
        <v>5</v>
      </c>
      <c r="M41" s="294">
        <v>5</v>
      </c>
      <c r="N41" s="294">
        <v>5</v>
      </c>
      <c r="O41" s="294">
        <v>5</v>
      </c>
      <c r="P41" s="294">
        <v>5</v>
      </c>
      <c r="Q41" s="294">
        <v>5</v>
      </c>
      <c r="R41" s="294">
        <v>5</v>
      </c>
      <c r="S41" s="294">
        <v>5</v>
      </c>
      <c r="T41" s="294">
        <v>5</v>
      </c>
      <c r="U41" s="294">
        <v>5</v>
      </c>
      <c r="V41" s="294">
        <v>5</v>
      </c>
      <c r="W41" s="294">
        <v>5</v>
      </c>
      <c r="X41" s="294">
        <v>5</v>
      </c>
      <c r="Y41" s="294">
        <v>5</v>
      </c>
      <c r="Z41" s="294">
        <v>5</v>
      </c>
      <c r="AA41" s="300">
        <v>5</v>
      </c>
      <c r="AB41" s="300">
        <v>5</v>
      </c>
      <c r="AC41" s="300">
        <v>5</v>
      </c>
      <c r="AD41" s="300">
        <v>5</v>
      </c>
      <c r="AE41" s="300">
        <v>5</v>
      </c>
      <c r="AF41" s="300">
        <v>5</v>
      </c>
      <c r="AG41" s="59">
        <v>6.2</v>
      </c>
      <c r="AH41" s="52">
        <f t="shared" si="2"/>
        <v>5</v>
      </c>
      <c r="AI41" s="53">
        <f t="shared" si="3"/>
        <v>5</v>
      </c>
      <c r="AK41" s="54"/>
    </row>
    <row r="42" spans="1:41" ht="15.75" thickBot="1" x14ac:dyDescent="0.3">
      <c r="A42" s="65" t="s">
        <v>49</v>
      </c>
      <c r="B42" s="305">
        <f t="shared" ref="B42" si="5">B179</f>
        <v>3.54</v>
      </c>
      <c r="C42" s="305">
        <f t="shared" ref="C42:AF42" si="6">C179</f>
        <v>3.54</v>
      </c>
      <c r="D42" s="305">
        <f t="shared" si="6"/>
        <v>3.54</v>
      </c>
      <c r="E42" s="305">
        <f t="shared" si="6"/>
        <v>3.54</v>
      </c>
      <c r="F42" s="305">
        <f t="shared" si="6"/>
        <v>3.54</v>
      </c>
      <c r="G42" s="305">
        <f t="shared" si="6"/>
        <v>3.54</v>
      </c>
      <c r="H42" s="305">
        <f t="shared" si="6"/>
        <v>3.54</v>
      </c>
      <c r="I42" s="305">
        <f t="shared" si="6"/>
        <v>3.54</v>
      </c>
      <c r="J42" s="305">
        <f t="shared" si="6"/>
        <v>3.54</v>
      </c>
      <c r="K42" s="305">
        <f t="shared" si="6"/>
        <v>3.54</v>
      </c>
      <c r="L42" s="305">
        <f t="shared" si="6"/>
        <v>3.54</v>
      </c>
      <c r="M42" s="305">
        <f t="shared" si="6"/>
        <v>3.54</v>
      </c>
      <c r="N42" s="305">
        <f t="shared" si="6"/>
        <v>3.54</v>
      </c>
      <c r="O42" s="305">
        <f t="shared" si="6"/>
        <v>3.54</v>
      </c>
      <c r="P42" s="305">
        <f t="shared" si="6"/>
        <v>3.54</v>
      </c>
      <c r="Q42" s="305">
        <f t="shared" si="6"/>
        <v>3.54</v>
      </c>
      <c r="R42" s="305">
        <f t="shared" si="6"/>
        <v>3.54</v>
      </c>
      <c r="S42" s="305">
        <f t="shared" si="6"/>
        <v>3.54</v>
      </c>
      <c r="T42" s="305">
        <f t="shared" si="6"/>
        <v>3.54</v>
      </c>
      <c r="U42" s="305">
        <f t="shared" si="6"/>
        <v>3.54</v>
      </c>
      <c r="V42" s="305">
        <f t="shared" si="6"/>
        <v>3.54</v>
      </c>
      <c r="W42" s="305">
        <f t="shared" si="6"/>
        <v>3.54</v>
      </c>
      <c r="X42" s="305">
        <f t="shared" si="6"/>
        <v>3.54</v>
      </c>
      <c r="Y42" s="305">
        <f t="shared" si="6"/>
        <v>3.54</v>
      </c>
      <c r="Z42" s="305">
        <f t="shared" si="6"/>
        <v>3.54</v>
      </c>
      <c r="AA42" s="305">
        <f t="shared" si="6"/>
        <v>3.54</v>
      </c>
      <c r="AB42" s="305">
        <f t="shared" si="6"/>
        <v>3.54</v>
      </c>
      <c r="AC42" s="305">
        <f t="shared" si="6"/>
        <v>3.54</v>
      </c>
      <c r="AD42" s="305">
        <f t="shared" si="6"/>
        <v>3.54</v>
      </c>
      <c r="AE42" s="305">
        <f t="shared" si="6"/>
        <v>3.54</v>
      </c>
      <c r="AF42" s="305">
        <f t="shared" si="6"/>
        <v>3.54</v>
      </c>
      <c r="AG42" s="305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304">
        <f t="shared" ref="B43:AF43" si="7">SUM(B31:B42)</f>
        <v>369.84000000000009</v>
      </c>
      <c r="C43" s="304">
        <f t="shared" si="7"/>
        <v>369.84000000000009</v>
      </c>
      <c r="D43" s="304">
        <f t="shared" si="7"/>
        <v>371.44000000000005</v>
      </c>
      <c r="E43" s="304">
        <f t="shared" si="7"/>
        <v>373.53000000000009</v>
      </c>
      <c r="F43" s="304">
        <f t="shared" si="7"/>
        <v>362.64000000000004</v>
      </c>
      <c r="G43" s="304">
        <f t="shared" si="7"/>
        <v>369.94000000000005</v>
      </c>
      <c r="H43" s="304">
        <f t="shared" si="7"/>
        <v>359.24000000000012</v>
      </c>
      <c r="I43" s="304">
        <f t="shared" si="7"/>
        <v>370.44000000000005</v>
      </c>
      <c r="J43" s="304">
        <f t="shared" si="7"/>
        <v>370.24000000000007</v>
      </c>
      <c r="K43" s="304">
        <f t="shared" si="7"/>
        <v>373.6400000000001</v>
      </c>
      <c r="L43" s="304">
        <f t="shared" si="7"/>
        <v>331.54</v>
      </c>
      <c r="M43" s="304">
        <f t="shared" si="7"/>
        <v>279.64000000000004</v>
      </c>
      <c r="N43" s="304">
        <f t="shared" si="7"/>
        <v>358.73999999999995</v>
      </c>
      <c r="O43" s="304">
        <f t="shared" si="7"/>
        <v>350.64000000000004</v>
      </c>
      <c r="P43" s="304">
        <f t="shared" si="7"/>
        <v>356.03999999999996</v>
      </c>
      <c r="Q43" s="304">
        <f t="shared" si="7"/>
        <v>358.44</v>
      </c>
      <c r="R43" s="304">
        <f t="shared" si="7"/>
        <v>341.64</v>
      </c>
      <c r="S43" s="304">
        <f t="shared" si="7"/>
        <v>343.84000000000003</v>
      </c>
      <c r="T43" s="304">
        <f t="shared" si="7"/>
        <v>342.84000000000003</v>
      </c>
      <c r="U43" s="304">
        <f t="shared" si="7"/>
        <v>292.84000000000003</v>
      </c>
      <c r="V43" s="304">
        <f t="shared" si="7"/>
        <v>82.74</v>
      </c>
      <c r="W43" s="304">
        <f t="shared" si="7"/>
        <v>282.24000000000007</v>
      </c>
      <c r="X43" s="304">
        <f t="shared" si="7"/>
        <v>312.74</v>
      </c>
      <c r="Y43" s="304">
        <f t="shared" si="7"/>
        <v>316.54000000000002</v>
      </c>
      <c r="Z43" s="304">
        <f t="shared" si="7"/>
        <v>332.24</v>
      </c>
      <c r="AA43" s="304">
        <f t="shared" si="7"/>
        <v>327.24</v>
      </c>
      <c r="AB43" s="304">
        <f t="shared" si="7"/>
        <v>349.74000000000007</v>
      </c>
      <c r="AC43" s="304">
        <f t="shared" si="7"/>
        <v>360.64000000000004</v>
      </c>
      <c r="AD43" s="304">
        <f t="shared" si="7"/>
        <v>370.14000000000004</v>
      </c>
      <c r="AE43" s="304">
        <f t="shared" si="7"/>
        <v>371.44</v>
      </c>
      <c r="AF43" s="304">
        <f t="shared" si="7"/>
        <v>362.24</v>
      </c>
      <c r="AG43" s="74">
        <f>SUM(AG31:AG42)</f>
        <v>464.91</v>
      </c>
      <c r="AH43" s="52">
        <f t="shared" si="2"/>
        <v>373.6400000000001</v>
      </c>
      <c r="AI43" s="53">
        <f t="shared" si="3"/>
        <v>82.74</v>
      </c>
      <c r="AK43" s="54"/>
    </row>
    <row r="44" spans="1:41" x14ac:dyDescent="0.25">
      <c r="A44" s="55" t="s">
        <v>51</v>
      </c>
      <c r="B44" s="300">
        <v>30.7</v>
      </c>
      <c r="C44" s="300">
        <v>30</v>
      </c>
      <c r="D44" s="300">
        <v>30</v>
      </c>
      <c r="E44" s="300">
        <v>29.9</v>
      </c>
      <c r="F44" s="300">
        <v>30</v>
      </c>
      <c r="G44" s="300">
        <v>29.8</v>
      </c>
      <c r="H44" s="300">
        <v>30.2</v>
      </c>
      <c r="I44" s="300">
        <v>29.7</v>
      </c>
      <c r="J44" s="300">
        <v>43</v>
      </c>
      <c r="K44" s="300">
        <v>59.5</v>
      </c>
      <c r="L44" s="75">
        <v>59.3</v>
      </c>
      <c r="M44" s="75">
        <v>59.3</v>
      </c>
      <c r="N44" s="75">
        <v>59.3</v>
      </c>
      <c r="O44" s="75">
        <v>59.3</v>
      </c>
      <c r="P44" s="294">
        <v>59.3</v>
      </c>
      <c r="Q44" s="294">
        <v>29.2</v>
      </c>
      <c r="R44" s="294">
        <v>59.3</v>
      </c>
      <c r="S44" s="294">
        <v>39</v>
      </c>
      <c r="T44" s="294">
        <v>50</v>
      </c>
      <c r="U44" s="294">
        <v>50</v>
      </c>
      <c r="V44" s="294">
        <v>60</v>
      </c>
      <c r="W44" s="294">
        <v>60</v>
      </c>
      <c r="X44" s="294">
        <v>39</v>
      </c>
      <c r="Y44" s="294">
        <v>55</v>
      </c>
      <c r="Z44" s="294">
        <v>33</v>
      </c>
      <c r="AA44" s="294">
        <v>20.5</v>
      </c>
      <c r="AB44" s="294">
        <v>20.6</v>
      </c>
      <c r="AC44" s="294">
        <v>20.6</v>
      </c>
      <c r="AD44" s="294">
        <v>29.6</v>
      </c>
      <c r="AE44" s="294">
        <v>50</v>
      </c>
      <c r="AF44" s="294">
        <v>54.6</v>
      </c>
      <c r="AG44" s="57">
        <v>60</v>
      </c>
      <c r="AH44" s="52">
        <f t="shared" si="2"/>
        <v>60</v>
      </c>
      <c r="AI44" s="53">
        <f t="shared" si="3"/>
        <v>20.5</v>
      </c>
      <c r="AK44" s="54"/>
    </row>
    <row r="45" spans="1:41" x14ac:dyDescent="0.25">
      <c r="A45" s="58" t="s">
        <v>52</v>
      </c>
      <c r="B45" s="300">
        <v>10.4</v>
      </c>
      <c r="C45" s="300">
        <v>16</v>
      </c>
      <c r="D45" s="300">
        <v>16</v>
      </c>
      <c r="E45" s="300">
        <v>15.6</v>
      </c>
      <c r="F45" s="300">
        <v>15.7</v>
      </c>
      <c r="G45" s="300">
        <v>15.7</v>
      </c>
      <c r="H45" s="300">
        <v>15.7</v>
      </c>
      <c r="I45" s="300">
        <v>16</v>
      </c>
      <c r="J45" s="300">
        <v>20.100000000000001</v>
      </c>
      <c r="K45" s="300">
        <v>30.4</v>
      </c>
      <c r="L45" s="75">
        <v>30.4</v>
      </c>
      <c r="M45" s="75">
        <v>30.4</v>
      </c>
      <c r="N45" s="75">
        <v>30.4</v>
      </c>
      <c r="O45" s="75">
        <v>30</v>
      </c>
      <c r="P45" s="295">
        <v>30.1</v>
      </c>
      <c r="Q45" s="295">
        <v>16.3</v>
      </c>
      <c r="R45" s="294">
        <v>20.399999999999999</v>
      </c>
      <c r="S45" s="294">
        <v>18.2</v>
      </c>
      <c r="T45" s="294">
        <v>21</v>
      </c>
      <c r="U45" s="295">
        <v>23</v>
      </c>
      <c r="V45" s="295">
        <v>29</v>
      </c>
      <c r="W45" s="295">
        <v>29</v>
      </c>
      <c r="X45" s="295">
        <v>30</v>
      </c>
      <c r="Y45" s="295">
        <v>26.2</v>
      </c>
      <c r="Z45" s="295">
        <v>30.7</v>
      </c>
      <c r="AA45" s="295">
        <v>10.9</v>
      </c>
      <c r="AB45" s="295">
        <v>7.9</v>
      </c>
      <c r="AC45" s="295">
        <v>7.9</v>
      </c>
      <c r="AD45" s="295">
        <v>15.8</v>
      </c>
      <c r="AE45" s="295">
        <v>25.9</v>
      </c>
      <c r="AF45" s="295">
        <v>27.4</v>
      </c>
      <c r="AG45" s="59">
        <v>32</v>
      </c>
      <c r="AH45" s="52">
        <f t="shared" si="2"/>
        <v>30.7</v>
      </c>
      <c r="AI45" s="53">
        <f t="shared" si="3"/>
        <v>7.9</v>
      </c>
      <c r="AK45" s="54"/>
    </row>
    <row r="46" spans="1:41" ht="15.75" thickBot="1" x14ac:dyDescent="0.3">
      <c r="A46" s="72" t="s">
        <v>53</v>
      </c>
      <c r="B46" s="71">
        <v>3.8</v>
      </c>
      <c r="C46" s="71">
        <v>5.9</v>
      </c>
      <c r="D46" s="71">
        <v>5.9</v>
      </c>
      <c r="E46" s="71">
        <v>5.7</v>
      </c>
      <c r="F46" s="71">
        <v>5.6</v>
      </c>
      <c r="G46" s="71">
        <v>5.7</v>
      </c>
      <c r="H46" s="71">
        <v>5.7</v>
      </c>
      <c r="I46" s="71">
        <v>5.8</v>
      </c>
      <c r="J46" s="71">
        <v>7.3</v>
      </c>
      <c r="K46" s="71">
        <v>11.1</v>
      </c>
      <c r="L46" s="76">
        <v>11.1</v>
      </c>
      <c r="M46" s="76">
        <v>11.1</v>
      </c>
      <c r="N46" s="76">
        <v>11.1</v>
      </c>
      <c r="O46" s="76">
        <v>11</v>
      </c>
      <c r="P46" s="306">
        <v>11</v>
      </c>
      <c r="Q46" s="306">
        <v>6</v>
      </c>
      <c r="R46" s="294">
        <v>7.4</v>
      </c>
      <c r="S46" s="294">
        <v>6.6</v>
      </c>
      <c r="T46" s="294">
        <v>7.5</v>
      </c>
      <c r="U46" s="306">
        <v>11</v>
      </c>
      <c r="V46" s="306">
        <v>12</v>
      </c>
      <c r="W46" s="306">
        <v>12</v>
      </c>
      <c r="X46" s="306">
        <v>11</v>
      </c>
      <c r="Y46" s="306">
        <v>10</v>
      </c>
      <c r="Z46" s="306">
        <v>11.2</v>
      </c>
      <c r="AA46" s="306">
        <v>4</v>
      </c>
      <c r="AB46" s="306">
        <v>2.9</v>
      </c>
      <c r="AC46" s="306">
        <v>2.9</v>
      </c>
      <c r="AD46" s="306">
        <v>5.8</v>
      </c>
      <c r="AE46" s="306">
        <v>9.5</v>
      </c>
      <c r="AF46" s="306">
        <v>10</v>
      </c>
      <c r="AG46" s="78">
        <v>14</v>
      </c>
      <c r="AH46" s="52">
        <f t="shared" si="2"/>
        <v>12</v>
      </c>
      <c r="AI46" s="53">
        <f t="shared" si="3"/>
        <v>2.9</v>
      </c>
      <c r="AK46" s="54"/>
    </row>
    <row r="47" spans="1:41" ht="15.75" thickBot="1" x14ac:dyDescent="0.3">
      <c r="A47" s="68" t="s">
        <v>54</v>
      </c>
      <c r="B47" s="304">
        <f>SUM(B44:B46)</f>
        <v>44.9</v>
      </c>
      <c r="C47" s="304">
        <f t="shared" ref="C47:AF47" si="8">SUM(C44:C46)</f>
        <v>51.9</v>
      </c>
      <c r="D47" s="304">
        <f t="shared" si="8"/>
        <v>51.9</v>
      </c>
      <c r="E47" s="304">
        <f t="shared" si="8"/>
        <v>51.2</v>
      </c>
      <c r="F47" s="304">
        <f t="shared" si="8"/>
        <v>51.300000000000004</v>
      </c>
      <c r="G47" s="304">
        <f t="shared" si="8"/>
        <v>51.2</v>
      </c>
      <c r="H47" s="304">
        <f t="shared" si="8"/>
        <v>51.6</v>
      </c>
      <c r="I47" s="304">
        <f t="shared" si="8"/>
        <v>51.5</v>
      </c>
      <c r="J47" s="304">
        <f t="shared" si="8"/>
        <v>70.400000000000006</v>
      </c>
      <c r="K47" s="304">
        <f t="shared" si="8"/>
        <v>101</v>
      </c>
      <c r="L47" s="304">
        <f t="shared" si="8"/>
        <v>100.79999999999998</v>
      </c>
      <c r="M47" s="304">
        <f t="shared" si="8"/>
        <v>100.79999999999998</v>
      </c>
      <c r="N47" s="304">
        <f t="shared" si="8"/>
        <v>100.79999999999998</v>
      </c>
      <c r="O47" s="304">
        <f t="shared" si="8"/>
        <v>100.3</v>
      </c>
      <c r="P47" s="304">
        <f t="shared" si="8"/>
        <v>100.4</v>
      </c>
      <c r="Q47" s="304">
        <f t="shared" si="8"/>
        <v>51.5</v>
      </c>
      <c r="R47" s="304">
        <f t="shared" si="8"/>
        <v>87.1</v>
      </c>
      <c r="S47" s="304">
        <f t="shared" si="8"/>
        <v>63.800000000000004</v>
      </c>
      <c r="T47" s="304">
        <f t="shared" si="8"/>
        <v>78.5</v>
      </c>
      <c r="U47" s="304">
        <f t="shared" si="8"/>
        <v>84</v>
      </c>
      <c r="V47" s="304">
        <f t="shared" si="8"/>
        <v>101</v>
      </c>
      <c r="W47" s="304">
        <f t="shared" si="8"/>
        <v>101</v>
      </c>
      <c r="X47" s="304">
        <f t="shared" si="8"/>
        <v>80</v>
      </c>
      <c r="Y47" s="304">
        <f t="shared" si="8"/>
        <v>91.2</v>
      </c>
      <c r="Z47" s="304">
        <f t="shared" si="8"/>
        <v>74.900000000000006</v>
      </c>
      <c r="AA47" s="304">
        <f t="shared" si="8"/>
        <v>35.4</v>
      </c>
      <c r="AB47" s="304">
        <f t="shared" si="8"/>
        <v>31.4</v>
      </c>
      <c r="AC47" s="304">
        <f t="shared" si="8"/>
        <v>31.4</v>
      </c>
      <c r="AD47" s="304">
        <f t="shared" si="8"/>
        <v>51.2</v>
      </c>
      <c r="AE47" s="304">
        <f t="shared" si="8"/>
        <v>85.4</v>
      </c>
      <c r="AF47" s="304">
        <f t="shared" si="8"/>
        <v>92</v>
      </c>
      <c r="AG47" s="74">
        <f>SUM(AG44:AG46)</f>
        <v>106</v>
      </c>
      <c r="AH47" s="52">
        <f t="shared" si="2"/>
        <v>101</v>
      </c>
      <c r="AI47" s="53">
        <f t="shared" si="3"/>
        <v>31.4</v>
      </c>
      <c r="AK47" s="54"/>
    </row>
    <row r="48" spans="1:41" x14ac:dyDescent="0.25">
      <c r="A48" s="55" t="s">
        <v>55</v>
      </c>
      <c r="B48" s="294">
        <v>55.1</v>
      </c>
      <c r="C48" s="294">
        <v>56</v>
      </c>
      <c r="D48" s="294">
        <v>54</v>
      </c>
      <c r="E48" s="294">
        <v>49</v>
      </c>
      <c r="F48" s="294">
        <v>41</v>
      </c>
      <c r="G48" s="294">
        <v>51.7</v>
      </c>
      <c r="H48" s="294">
        <v>53.6</v>
      </c>
      <c r="I48" s="294">
        <v>48.8</v>
      </c>
      <c r="J48" s="294">
        <v>54.44</v>
      </c>
      <c r="K48" s="294">
        <v>64.3</v>
      </c>
      <c r="L48" s="294">
        <v>63.4</v>
      </c>
      <c r="M48" s="294">
        <v>57.79</v>
      </c>
      <c r="N48" s="294">
        <v>50</v>
      </c>
      <c r="O48" s="294">
        <v>40</v>
      </c>
      <c r="P48" s="294">
        <v>32.1</v>
      </c>
      <c r="Q48" s="294">
        <v>26.1</v>
      </c>
      <c r="R48" s="294">
        <v>31.82</v>
      </c>
      <c r="S48" s="294">
        <v>38</v>
      </c>
      <c r="T48" s="294">
        <v>32</v>
      </c>
      <c r="U48" s="294">
        <v>35</v>
      </c>
      <c r="V48" s="294">
        <v>35</v>
      </c>
      <c r="W48" s="294">
        <v>29.3</v>
      </c>
      <c r="X48" s="294">
        <v>33</v>
      </c>
      <c r="Y48" s="294">
        <v>28</v>
      </c>
      <c r="Z48" s="294">
        <v>42.4</v>
      </c>
      <c r="AA48" s="294">
        <v>52</v>
      </c>
      <c r="AB48" s="294">
        <v>54</v>
      </c>
      <c r="AC48" s="294">
        <v>51.9</v>
      </c>
      <c r="AD48" s="294">
        <v>48</v>
      </c>
      <c r="AE48" s="294">
        <v>42</v>
      </c>
      <c r="AF48" s="294">
        <v>62</v>
      </c>
      <c r="AG48" s="57"/>
      <c r="AH48" s="52">
        <f t="shared" si="2"/>
        <v>64.3</v>
      </c>
      <c r="AI48" s="53">
        <f t="shared" si="3"/>
        <v>26.1</v>
      </c>
      <c r="AK48" s="54"/>
    </row>
    <row r="49" spans="1:37" x14ac:dyDescent="0.25">
      <c r="A49" s="58" t="s">
        <v>56</v>
      </c>
      <c r="B49" s="295">
        <v>53.7</v>
      </c>
      <c r="C49" s="295">
        <v>53.7</v>
      </c>
      <c r="D49" s="295">
        <v>33.799999999999997</v>
      </c>
      <c r="E49" s="295">
        <v>34.5</v>
      </c>
      <c r="F49" s="295">
        <v>37.299999999999997</v>
      </c>
      <c r="G49" s="295">
        <v>32.1</v>
      </c>
      <c r="H49" s="295">
        <v>32.200000000000003</v>
      </c>
      <c r="I49" s="295">
        <v>30.3</v>
      </c>
      <c r="J49" s="295">
        <v>33.799999999999997</v>
      </c>
      <c r="K49" s="295">
        <v>33.799999999999997</v>
      </c>
      <c r="L49" s="294">
        <v>38.200000000000003</v>
      </c>
      <c r="M49" s="294">
        <f>50.6+92.7</f>
        <v>143.30000000000001</v>
      </c>
      <c r="N49" s="294">
        <v>150</v>
      </c>
      <c r="O49" s="294">
        <v>88.8</v>
      </c>
      <c r="P49" s="294">
        <v>80.5</v>
      </c>
      <c r="Q49" s="294">
        <v>68.7</v>
      </c>
      <c r="R49" s="294">
        <v>60</v>
      </c>
      <c r="S49" s="294">
        <v>0</v>
      </c>
      <c r="T49" s="294">
        <v>0</v>
      </c>
      <c r="U49" s="296">
        <v>0</v>
      </c>
      <c r="V49" s="296">
        <v>0</v>
      </c>
      <c r="W49" s="296">
        <v>0</v>
      </c>
      <c r="X49" s="296">
        <v>0</v>
      </c>
      <c r="Y49" s="296">
        <v>0</v>
      </c>
      <c r="Z49" s="296">
        <v>0</v>
      </c>
      <c r="AA49" s="295">
        <v>0</v>
      </c>
      <c r="AB49" s="295">
        <v>0</v>
      </c>
      <c r="AC49" s="295">
        <v>0</v>
      </c>
      <c r="AD49" s="295">
        <v>0</v>
      </c>
      <c r="AE49" s="295">
        <v>0</v>
      </c>
      <c r="AF49" s="295">
        <v>62.9</v>
      </c>
      <c r="AG49" s="59"/>
      <c r="AH49" s="52">
        <f t="shared" si="2"/>
        <v>150</v>
      </c>
      <c r="AI49" s="53">
        <f t="shared" si="3"/>
        <v>0</v>
      </c>
      <c r="AK49" s="54"/>
    </row>
    <row r="50" spans="1:37" x14ac:dyDescent="0.25">
      <c r="A50" s="58" t="s">
        <v>57</v>
      </c>
      <c r="B50" s="295">
        <v>90</v>
      </c>
      <c r="C50" s="295">
        <v>90</v>
      </c>
      <c r="D50" s="295">
        <v>69</v>
      </c>
      <c r="E50" s="295">
        <v>56</v>
      </c>
      <c r="F50" s="295">
        <v>57</v>
      </c>
      <c r="G50" s="294">
        <v>138</v>
      </c>
      <c r="H50" s="294">
        <v>73.400000000000006</v>
      </c>
      <c r="I50" s="294">
        <v>63.8</v>
      </c>
      <c r="J50" s="294">
        <v>73.5</v>
      </c>
      <c r="K50" s="294">
        <v>64.2</v>
      </c>
      <c r="L50" s="295">
        <v>100</v>
      </c>
      <c r="M50" s="295">
        <v>73</v>
      </c>
      <c r="N50" s="295">
        <v>50</v>
      </c>
      <c r="O50" s="295">
        <v>60.8</v>
      </c>
      <c r="P50" s="295">
        <v>55</v>
      </c>
      <c r="Q50" s="295">
        <v>81.599999999999994</v>
      </c>
      <c r="R50" s="295">
        <v>60</v>
      </c>
      <c r="S50" s="295">
        <v>70</v>
      </c>
      <c r="T50" s="295">
        <v>82</v>
      </c>
      <c r="U50" s="307">
        <v>93</v>
      </c>
      <c r="V50" s="307">
        <v>230</v>
      </c>
      <c r="W50" s="307">
        <v>96</v>
      </c>
      <c r="X50" s="307">
        <v>101</v>
      </c>
      <c r="Y50" s="307">
        <v>150</v>
      </c>
      <c r="Z50" s="307">
        <v>200</v>
      </c>
      <c r="AA50" s="295">
        <v>206</v>
      </c>
      <c r="AB50" s="295">
        <v>201</v>
      </c>
      <c r="AC50" s="295">
        <v>209</v>
      </c>
      <c r="AD50" s="295">
        <v>150</v>
      </c>
      <c r="AE50" s="295">
        <v>100</v>
      </c>
      <c r="AF50" s="295">
        <v>0</v>
      </c>
      <c r="AG50" s="81"/>
      <c r="AH50" s="52">
        <f t="shared" si="2"/>
        <v>230</v>
      </c>
      <c r="AI50" s="53">
        <f t="shared" si="3"/>
        <v>0</v>
      </c>
      <c r="AK50" s="54"/>
    </row>
    <row r="51" spans="1:37" ht="15.75" x14ac:dyDescent="0.25">
      <c r="A51" s="58" t="s">
        <v>58</v>
      </c>
      <c r="B51" s="290">
        <v>0</v>
      </c>
      <c r="C51" s="290">
        <v>0</v>
      </c>
      <c r="D51" s="290">
        <v>0</v>
      </c>
      <c r="E51" s="298">
        <v>0</v>
      </c>
      <c r="F51" s="298">
        <v>0</v>
      </c>
      <c r="G51" s="298">
        <v>0</v>
      </c>
      <c r="H51" s="298">
        <v>0</v>
      </c>
      <c r="I51" s="298">
        <v>0</v>
      </c>
      <c r="J51" s="298">
        <v>0</v>
      </c>
      <c r="K51" s="298">
        <v>0</v>
      </c>
      <c r="L51" s="295">
        <v>10</v>
      </c>
      <c r="M51" s="295">
        <v>10</v>
      </c>
      <c r="N51" s="295">
        <v>0</v>
      </c>
      <c r="O51" s="295">
        <v>0</v>
      </c>
      <c r="P51" s="295">
        <v>0</v>
      </c>
      <c r="Q51" s="295">
        <v>0</v>
      </c>
      <c r="R51" s="295">
        <v>0</v>
      </c>
      <c r="S51" s="295">
        <v>0</v>
      </c>
      <c r="T51" s="295">
        <v>0</v>
      </c>
      <c r="U51" s="295">
        <v>0</v>
      </c>
      <c r="V51" s="295">
        <v>0</v>
      </c>
      <c r="W51" s="295">
        <v>0</v>
      </c>
      <c r="X51" s="295">
        <v>0</v>
      </c>
      <c r="Y51" s="295">
        <v>0</v>
      </c>
      <c r="Z51" s="295">
        <v>0</v>
      </c>
      <c r="AA51" s="298">
        <v>0</v>
      </c>
      <c r="AB51" s="298">
        <v>0</v>
      </c>
      <c r="AC51" s="298">
        <v>0</v>
      </c>
      <c r="AD51" s="298">
        <v>0</v>
      </c>
      <c r="AE51" s="298">
        <v>0</v>
      </c>
      <c r="AF51" s="298">
        <v>0</v>
      </c>
      <c r="AG51" s="81"/>
      <c r="AH51" s="52">
        <f t="shared" si="2"/>
        <v>10</v>
      </c>
      <c r="AI51" s="53">
        <f t="shared" si="3"/>
        <v>0</v>
      </c>
      <c r="AK51" s="54"/>
    </row>
    <row r="52" spans="1:37" ht="15.75" x14ac:dyDescent="0.25">
      <c r="A52" s="58" t="s">
        <v>59</v>
      </c>
      <c r="B52" s="290">
        <v>0</v>
      </c>
      <c r="C52" s="290">
        <v>0</v>
      </c>
      <c r="D52" s="290">
        <v>0</v>
      </c>
      <c r="E52" s="298">
        <v>0</v>
      </c>
      <c r="F52" s="298">
        <v>0</v>
      </c>
      <c r="G52" s="298">
        <v>0</v>
      </c>
      <c r="H52" s="298">
        <v>0</v>
      </c>
      <c r="I52" s="298">
        <v>0</v>
      </c>
      <c r="J52" s="298">
        <v>0</v>
      </c>
      <c r="K52" s="298">
        <v>0</v>
      </c>
      <c r="L52" s="294">
        <v>0</v>
      </c>
      <c r="M52" s="294">
        <v>0</v>
      </c>
      <c r="N52" s="294">
        <v>0</v>
      </c>
      <c r="O52" s="294">
        <v>0</v>
      </c>
      <c r="P52" s="294">
        <v>0</v>
      </c>
      <c r="Q52" s="294">
        <v>0</v>
      </c>
      <c r="R52" s="294">
        <v>0</v>
      </c>
      <c r="S52" s="294">
        <v>0</v>
      </c>
      <c r="T52" s="294">
        <v>0</v>
      </c>
      <c r="U52" s="294">
        <v>0</v>
      </c>
      <c r="V52" s="294">
        <v>0</v>
      </c>
      <c r="W52" s="294">
        <v>0</v>
      </c>
      <c r="X52" s="294">
        <v>0</v>
      </c>
      <c r="Y52" s="294">
        <v>0</v>
      </c>
      <c r="Z52" s="294">
        <v>0</v>
      </c>
      <c r="AA52" s="294">
        <v>0</v>
      </c>
      <c r="AB52" s="294">
        <v>0</v>
      </c>
      <c r="AC52" s="294">
        <v>0</v>
      </c>
      <c r="AD52" s="294">
        <v>0</v>
      </c>
      <c r="AE52" s="294">
        <v>0</v>
      </c>
      <c r="AF52" s="294">
        <v>0</v>
      </c>
      <c r="AG52" s="81"/>
      <c r="AH52" s="52">
        <f t="shared" si="2"/>
        <v>0</v>
      </c>
      <c r="AI52" s="53">
        <f t="shared" si="3"/>
        <v>0</v>
      </c>
      <c r="AK52" s="54"/>
    </row>
    <row r="53" spans="1:37" ht="15.75" x14ac:dyDescent="0.25">
      <c r="A53" s="58" t="s">
        <v>60</v>
      </c>
      <c r="B53" s="290">
        <v>0</v>
      </c>
      <c r="C53" s="290">
        <v>0</v>
      </c>
      <c r="D53" s="290">
        <v>0</v>
      </c>
      <c r="E53" s="295">
        <v>0</v>
      </c>
      <c r="F53" s="295">
        <v>0</v>
      </c>
      <c r="G53" s="295">
        <v>0</v>
      </c>
      <c r="H53" s="295">
        <v>0</v>
      </c>
      <c r="I53" s="295">
        <v>0</v>
      </c>
      <c r="J53" s="295">
        <v>0</v>
      </c>
      <c r="K53" s="295">
        <v>0</v>
      </c>
      <c r="L53" s="294">
        <v>0</v>
      </c>
      <c r="M53" s="294">
        <v>0</v>
      </c>
      <c r="N53" s="294">
        <v>0</v>
      </c>
      <c r="O53" s="294">
        <v>0</v>
      </c>
      <c r="P53" s="294">
        <v>0</v>
      </c>
      <c r="Q53" s="294">
        <v>0</v>
      </c>
      <c r="R53" s="294">
        <v>0</v>
      </c>
      <c r="S53" s="294">
        <v>0</v>
      </c>
      <c r="T53" s="294">
        <v>0</v>
      </c>
      <c r="U53" s="294">
        <v>0</v>
      </c>
      <c r="V53" s="294">
        <v>0</v>
      </c>
      <c r="W53" s="294">
        <v>0</v>
      </c>
      <c r="X53" s="294">
        <v>0</v>
      </c>
      <c r="Y53" s="294">
        <v>0</v>
      </c>
      <c r="Z53" s="294">
        <v>0</v>
      </c>
      <c r="AA53" s="297">
        <v>0</v>
      </c>
      <c r="AB53" s="297">
        <v>0</v>
      </c>
      <c r="AC53" s="297">
        <v>0</v>
      </c>
      <c r="AD53" s="297">
        <v>0</v>
      </c>
      <c r="AE53" s="297">
        <v>0</v>
      </c>
      <c r="AF53" s="297">
        <v>0</v>
      </c>
      <c r="AG53" s="81"/>
      <c r="AH53" s="52">
        <f t="shared" si="2"/>
        <v>0</v>
      </c>
      <c r="AI53" s="53">
        <f t="shared" si="3"/>
        <v>0</v>
      </c>
      <c r="AK53" s="54"/>
    </row>
    <row r="54" spans="1:37" ht="15.75" x14ac:dyDescent="0.25">
      <c r="A54" s="58" t="s">
        <v>61</v>
      </c>
      <c r="B54" s="290">
        <v>0</v>
      </c>
      <c r="C54" s="290">
        <v>0</v>
      </c>
      <c r="D54" s="290">
        <v>0</v>
      </c>
      <c r="E54" s="295">
        <v>0</v>
      </c>
      <c r="F54" s="295">
        <v>0</v>
      </c>
      <c r="G54" s="295">
        <v>0</v>
      </c>
      <c r="H54" s="295">
        <v>0</v>
      </c>
      <c r="I54" s="295">
        <v>0</v>
      </c>
      <c r="J54" s="295">
        <v>0</v>
      </c>
      <c r="K54" s="295">
        <v>0</v>
      </c>
      <c r="L54" s="294">
        <v>0</v>
      </c>
      <c r="M54" s="294">
        <v>0</v>
      </c>
      <c r="N54" s="294">
        <v>0</v>
      </c>
      <c r="O54" s="294">
        <v>0</v>
      </c>
      <c r="P54" s="294">
        <v>0</v>
      </c>
      <c r="Q54" s="294">
        <v>0</v>
      </c>
      <c r="R54" s="294">
        <v>0</v>
      </c>
      <c r="S54" s="294">
        <v>0</v>
      </c>
      <c r="T54" s="294">
        <v>0</v>
      </c>
      <c r="U54" s="294">
        <v>0</v>
      </c>
      <c r="V54" s="294">
        <v>0</v>
      </c>
      <c r="W54" s="294">
        <v>0</v>
      </c>
      <c r="X54" s="294">
        <v>0</v>
      </c>
      <c r="Y54" s="294">
        <v>0</v>
      </c>
      <c r="Z54" s="294">
        <v>0</v>
      </c>
      <c r="AA54" s="297">
        <v>0</v>
      </c>
      <c r="AB54" s="297">
        <v>0</v>
      </c>
      <c r="AC54" s="297">
        <v>0</v>
      </c>
      <c r="AD54" s="297">
        <v>0</v>
      </c>
      <c r="AE54" s="297">
        <v>0</v>
      </c>
      <c r="AF54" s="297">
        <v>0</v>
      </c>
      <c r="AG54" s="81"/>
      <c r="AH54" s="52">
        <f t="shared" si="2"/>
        <v>0</v>
      </c>
      <c r="AI54" s="53">
        <f t="shared" si="3"/>
        <v>0</v>
      </c>
      <c r="AK54" s="54"/>
    </row>
    <row r="55" spans="1:37" ht="15.75" x14ac:dyDescent="0.25">
      <c r="A55" s="58" t="s">
        <v>62</v>
      </c>
      <c r="B55" s="290">
        <v>10</v>
      </c>
      <c r="C55" s="290">
        <v>0</v>
      </c>
      <c r="D55" s="290">
        <v>0</v>
      </c>
      <c r="E55" s="298">
        <v>0</v>
      </c>
      <c r="F55" s="298">
        <v>0</v>
      </c>
      <c r="G55" s="298">
        <v>0</v>
      </c>
      <c r="H55" s="298">
        <v>0</v>
      </c>
      <c r="I55" s="298">
        <v>0</v>
      </c>
      <c r="J55" s="298">
        <v>0</v>
      </c>
      <c r="K55" s="298">
        <v>0</v>
      </c>
      <c r="L55" s="294">
        <v>0</v>
      </c>
      <c r="M55" s="294">
        <v>0</v>
      </c>
      <c r="N55" s="294">
        <v>0</v>
      </c>
      <c r="O55" s="294">
        <v>0</v>
      </c>
      <c r="P55" s="294">
        <v>0</v>
      </c>
      <c r="Q55" s="294">
        <v>0</v>
      </c>
      <c r="R55" s="294">
        <v>0</v>
      </c>
      <c r="S55" s="294">
        <v>0</v>
      </c>
      <c r="T55" s="294">
        <v>0</v>
      </c>
      <c r="U55" s="294">
        <v>0</v>
      </c>
      <c r="V55" s="294">
        <v>0</v>
      </c>
      <c r="W55" s="294">
        <v>0</v>
      </c>
      <c r="X55" s="294">
        <v>0</v>
      </c>
      <c r="Y55" s="294">
        <v>0</v>
      </c>
      <c r="Z55" s="294">
        <v>0</v>
      </c>
      <c r="AA55" s="298">
        <v>0</v>
      </c>
      <c r="AB55" s="298">
        <v>0</v>
      </c>
      <c r="AC55" s="298">
        <v>0</v>
      </c>
      <c r="AD55" s="298">
        <v>0</v>
      </c>
      <c r="AE55" s="298">
        <v>0</v>
      </c>
      <c r="AF55" s="298">
        <v>0</v>
      </c>
      <c r="AG55" s="81"/>
      <c r="AH55" s="52">
        <f t="shared" si="2"/>
        <v>10</v>
      </c>
      <c r="AI55" s="53">
        <f t="shared" si="3"/>
        <v>0</v>
      </c>
      <c r="AK55" s="54"/>
    </row>
    <row r="56" spans="1:37" ht="15.75" x14ac:dyDescent="0.25">
      <c r="A56" s="58" t="s">
        <v>63</v>
      </c>
      <c r="B56" s="290">
        <v>0</v>
      </c>
      <c r="C56" s="290">
        <v>0</v>
      </c>
      <c r="D56" s="290">
        <v>0</v>
      </c>
      <c r="E56" s="298">
        <v>0</v>
      </c>
      <c r="F56" s="298">
        <v>0</v>
      </c>
      <c r="G56" s="298">
        <v>0</v>
      </c>
      <c r="H56" s="298">
        <v>0</v>
      </c>
      <c r="I56" s="298">
        <v>0</v>
      </c>
      <c r="J56" s="298">
        <v>0</v>
      </c>
      <c r="K56" s="298">
        <v>0</v>
      </c>
      <c r="L56" s="294">
        <v>0</v>
      </c>
      <c r="M56" s="294">
        <v>0</v>
      </c>
      <c r="N56" s="294">
        <v>0</v>
      </c>
      <c r="O56" s="294">
        <v>0</v>
      </c>
      <c r="P56" s="294">
        <v>0</v>
      </c>
      <c r="Q56" s="294">
        <v>0</v>
      </c>
      <c r="R56" s="294">
        <v>0</v>
      </c>
      <c r="S56" s="294">
        <v>0</v>
      </c>
      <c r="T56" s="294">
        <v>0</v>
      </c>
      <c r="U56" s="294">
        <v>0</v>
      </c>
      <c r="V56" s="294">
        <v>0</v>
      </c>
      <c r="W56" s="294">
        <v>0</v>
      </c>
      <c r="X56" s="294">
        <v>0</v>
      </c>
      <c r="Y56" s="294">
        <v>0</v>
      </c>
      <c r="Z56" s="294">
        <v>0</v>
      </c>
      <c r="AA56" s="298">
        <v>0</v>
      </c>
      <c r="AB56" s="298">
        <v>0</v>
      </c>
      <c r="AC56" s="298">
        <v>0</v>
      </c>
      <c r="AD56" s="298">
        <v>0</v>
      </c>
      <c r="AE56" s="298">
        <v>0</v>
      </c>
      <c r="AF56" s="298">
        <v>0</v>
      </c>
      <c r="AG56" s="81"/>
      <c r="AH56" s="52">
        <f t="shared" si="2"/>
        <v>0</v>
      </c>
      <c r="AI56" s="53">
        <f t="shared" si="3"/>
        <v>0</v>
      </c>
      <c r="AK56" s="54"/>
    </row>
    <row r="57" spans="1:37" ht="15.75" x14ac:dyDescent="0.25">
      <c r="A57" s="84" t="s">
        <v>64</v>
      </c>
      <c r="B57" s="290">
        <v>0</v>
      </c>
      <c r="C57" s="290">
        <v>0</v>
      </c>
      <c r="D57" s="290">
        <v>0</v>
      </c>
      <c r="E57" s="295">
        <v>0</v>
      </c>
      <c r="F57" s="295">
        <v>0</v>
      </c>
      <c r="G57" s="295">
        <v>0</v>
      </c>
      <c r="H57" s="295">
        <v>0</v>
      </c>
      <c r="I57" s="295">
        <v>0</v>
      </c>
      <c r="J57" s="295">
        <v>0</v>
      </c>
      <c r="K57" s="295">
        <v>0</v>
      </c>
      <c r="L57" s="294">
        <v>0</v>
      </c>
      <c r="M57" s="294">
        <v>0</v>
      </c>
      <c r="N57" s="294">
        <v>0</v>
      </c>
      <c r="O57" s="294">
        <v>0</v>
      </c>
      <c r="P57" s="294">
        <v>0</v>
      </c>
      <c r="Q57" s="294">
        <v>0</v>
      </c>
      <c r="R57" s="294">
        <v>0</v>
      </c>
      <c r="S57" s="294">
        <v>0</v>
      </c>
      <c r="T57" s="294">
        <v>0</v>
      </c>
      <c r="U57" s="294">
        <v>0</v>
      </c>
      <c r="V57" s="294">
        <v>0</v>
      </c>
      <c r="W57" s="294">
        <v>0</v>
      </c>
      <c r="X57" s="294">
        <v>0</v>
      </c>
      <c r="Y57" s="294">
        <v>0</v>
      </c>
      <c r="Z57" s="294">
        <v>0</v>
      </c>
      <c r="AA57" s="299">
        <v>0</v>
      </c>
      <c r="AB57" s="299">
        <v>0</v>
      </c>
      <c r="AC57" s="299">
        <v>0</v>
      </c>
      <c r="AD57" s="299">
        <v>0</v>
      </c>
      <c r="AE57" s="299">
        <v>0</v>
      </c>
      <c r="AF57" s="299">
        <v>0</v>
      </c>
      <c r="AG57" s="86"/>
      <c r="AH57" s="52">
        <f t="shared" si="2"/>
        <v>0</v>
      </c>
      <c r="AI57" s="53">
        <f t="shared" si="3"/>
        <v>0</v>
      </c>
      <c r="AK57" s="54"/>
    </row>
    <row r="58" spans="1:37" ht="16.5" thickBot="1" x14ac:dyDescent="0.3">
      <c r="A58" s="84" t="s">
        <v>65</v>
      </c>
      <c r="B58" s="291">
        <v>0</v>
      </c>
      <c r="C58" s="291">
        <v>0</v>
      </c>
      <c r="D58" s="291">
        <v>0</v>
      </c>
      <c r="E58" s="295">
        <v>0</v>
      </c>
      <c r="F58" s="295">
        <v>0</v>
      </c>
      <c r="G58" s="295">
        <v>0</v>
      </c>
      <c r="H58" s="295">
        <v>0</v>
      </c>
      <c r="I58" s="295">
        <v>0</v>
      </c>
      <c r="J58" s="295">
        <v>0</v>
      </c>
      <c r="K58" s="295">
        <v>0</v>
      </c>
      <c r="L58" s="294">
        <v>0</v>
      </c>
      <c r="M58" s="294">
        <v>0</v>
      </c>
      <c r="N58" s="294">
        <v>0</v>
      </c>
      <c r="O58" s="294">
        <v>0</v>
      </c>
      <c r="P58" s="294">
        <v>0</v>
      </c>
      <c r="Q58" s="294">
        <v>0</v>
      </c>
      <c r="R58" s="294">
        <v>0</v>
      </c>
      <c r="S58" s="294">
        <v>0</v>
      </c>
      <c r="T58" s="294">
        <v>0</v>
      </c>
      <c r="U58" s="294">
        <v>0</v>
      </c>
      <c r="V58" s="294">
        <v>0</v>
      </c>
      <c r="W58" s="294">
        <v>0</v>
      </c>
      <c r="X58" s="294">
        <v>0</v>
      </c>
      <c r="Y58" s="294">
        <v>0</v>
      </c>
      <c r="Z58" s="294">
        <v>0</v>
      </c>
      <c r="AA58" s="299">
        <v>0</v>
      </c>
      <c r="AB58" s="299">
        <v>0</v>
      </c>
      <c r="AC58" s="299">
        <v>0</v>
      </c>
      <c r="AD58" s="299">
        <v>0</v>
      </c>
      <c r="AE58" s="299">
        <v>0</v>
      </c>
      <c r="AF58" s="299"/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304">
        <f>SUM(B48:B58)</f>
        <v>208.8</v>
      </c>
      <c r="C59" s="304">
        <f t="shared" ref="C59:AF59" si="9">SUM(C48:C58)</f>
        <v>199.7</v>
      </c>
      <c r="D59" s="304">
        <f t="shared" si="9"/>
        <v>156.80000000000001</v>
      </c>
      <c r="E59" s="304">
        <f t="shared" si="9"/>
        <v>139.5</v>
      </c>
      <c r="F59" s="304">
        <f t="shared" si="9"/>
        <v>135.30000000000001</v>
      </c>
      <c r="G59" s="304">
        <f t="shared" si="9"/>
        <v>221.8</v>
      </c>
      <c r="H59" s="304">
        <f t="shared" si="9"/>
        <v>159.20000000000002</v>
      </c>
      <c r="I59" s="304">
        <f t="shared" si="9"/>
        <v>142.89999999999998</v>
      </c>
      <c r="J59" s="304">
        <f t="shared" si="9"/>
        <v>161.74</v>
      </c>
      <c r="K59" s="304">
        <f t="shared" si="9"/>
        <v>162.30000000000001</v>
      </c>
      <c r="L59" s="304">
        <f t="shared" si="9"/>
        <v>211.6</v>
      </c>
      <c r="M59" s="304">
        <f t="shared" si="9"/>
        <v>284.09000000000003</v>
      </c>
      <c r="N59" s="304">
        <f t="shared" si="9"/>
        <v>250</v>
      </c>
      <c r="O59" s="304">
        <f t="shared" si="9"/>
        <v>189.60000000000002</v>
      </c>
      <c r="P59" s="304">
        <f t="shared" si="9"/>
        <v>167.6</v>
      </c>
      <c r="Q59" s="304">
        <f t="shared" si="9"/>
        <v>176.4</v>
      </c>
      <c r="R59" s="304">
        <f t="shared" si="9"/>
        <v>151.82</v>
      </c>
      <c r="S59" s="304">
        <f t="shared" si="9"/>
        <v>108</v>
      </c>
      <c r="T59" s="304">
        <f t="shared" si="9"/>
        <v>114</v>
      </c>
      <c r="U59" s="304">
        <f t="shared" si="9"/>
        <v>128</v>
      </c>
      <c r="V59" s="304">
        <f t="shared" si="9"/>
        <v>265</v>
      </c>
      <c r="W59" s="304">
        <f t="shared" si="9"/>
        <v>125.3</v>
      </c>
      <c r="X59" s="304">
        <f t="shared" si="9"/>
        <v>134</v>
      </c>
      <c r="Y59" s="304">
        <f t="shared" si="9"/>
        <v>178</v>
      </c>
      <c r="Z59" s="304">
        <f t="shared" si="9"/>
        <v>242.4</v>
      </c>
      <c r="AA59" s="304">
        <f t="shared" si="9"/>
        <v>258</v>
      </c>
      <c r="AB59" s="304">
        <f t="shared" si="9"/>
        <v>255</v>
      </c>
      <c r="AC59" s="304">
        <f t="shared" si="9"/>
        <v>260.89999999999998</v>
      </c>
      <c r="AD59" s="304">
        <f t="shared" si="9"/>
        <v>198</v>
      </c>
      <c r="AE59" s="304">
        <f t="shared" si="9"/>
        <v>142</v>
      </c>
      <c r="AF59" s="304">
        <f t="shared" si="9"/>
        <v>124.9</v>
      </c>
      <c r="AG59" s="74">
        <f>SUM(AG48:AG58)</f>
        <v>0</v>
      </c>
      <c r="AH59" s="52">
        <f t="shared" si="2"/>
        <v>284.09000000000003</v>
      </c>
      <c r="AI59" s="53">
        <f t="shared" si="3"/>
        <v>108</v>
      </c>
      <c r="AK59" s="54"/>
    </row>
    <row r="60" spans="1:37" x14ac:dyDescent="0.25">
      <c r="A60" s="55" t="s">
        <v>67</v>
      </c>
      <c r="B60" s="298">
        <v>0</v>
      </c>
      <c r="C60" s="298">
        <v>0</v>
      </c>
      <c r="D60" s="298">
        <v>0</v>
      </c>
      <c r="E60" s="298">
        <v>0</v>
      </c>
      <c r="F60" s="298">
        <v>0</v>
      </c>
      <c r="G60" s="298">
        <v>0</v>
      </c>
      <c r="H60" s="298">
        <v>0</v>
      </c>
      <c r="I60" s="298">
        <v>0</v>
      </c>
      <c r="J60" s="298">
        <v>0</v>
      </c>
      <c r="K60" s="298">
        <v>0</v>
      </c>
      <c r="L60" s="299">
        <v>0</v>
      </c>
      <c r="M60" s="299">
        <v>0</v>
      </c>
      <c r="N60" s="299">
        <v>0</v>
      </c>
      <c r="O60" s="299">
        <v>0</v>
      </c>
      <c r="P60" s="299">
        <v>0</v>
      </c>
      <c r="Q60" s="299">
        <v>0</v>
      </c>
      <c r="R60" s="299">
        <v>0</v>
      </c>
      <c r="S60" s="299">
        <v>0</v>
      </c>
      <c r="T60" s="299">
        <v>0</v>
      </c>
      <c r="U60" s="299">
        <v>0</v>
      </c>
      <c r="V60" s="299">
        <v>0</v>
      </c>
      <c r="W60" s="299">
        <v>0</v>
      </c>
      <c r="X60" s="299">
        <v>0</v>
      </c>
      <c r="Y60" s="299">
        <v>0</v>
      </c>
      <c r="Z60" s="299">
        <v>0</v>
      </c>
      <c r="AA60" s="298">
        <v>0</v>
      </c>
      <c r="AB60" s="298">
        <v>0</v>
      </c>
      <c r="AC60" s="298">
        <v>0</v>
      </c>
      <c r="AD60" s="298">
        <v>0</v>
      </c>
      <c r="AE60" s="298">
        <v>0</v>
      </c>
      <c r="AF60" s="298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297">
        <v>0</v>
      </c>
      <c r="C61" s="297">
        <v>0</v>
      </c>
      <c r="D61" s="297">
        <v>0</v>
      </c>
      <c r="E61" s="297">
        <v>0</v>
      </c>
      <c r="F61" s="297">
        <v>0</v>
      </c>
      <c r="G61" s="297">
        <v>0</v>
      </c>
      <c r="H61" s="297">
        <v>0</v>
      </c>
      <c r="I61" s="297">
        <v>0</v>
      </c>
      <c r="J61" s="297">
        <v>0</v>
      </c>
      <c r="K61" s="297">
        <v>0</v>
      </c>
      <c r="L61" s="299">
        <v>0</v>
      </c>
      <c r="M61" s="299">
        <v>0</v>
      </c>
      <c r="N61" s="299">
        <v>0</v>
      </c>
      <c r="O61" s="299">
        <v>0</v>
      </c>
      <c r="P61" s="299">
        <v>0</v>
      </c>
      <c r="Q61" s="299">
        <v>0</v>
      </c>
      <c r="R61" s="299">
        <v>0</v>
      </c>
      <c r="S61" s="299">
        <v>0</v>
      </c>
      <c r="T61" s="299">
        <v>0</v>
      </c>
      <c r="U61" s="299">
        <v>0</v>
      </c>
      <c r="V61" s="299">
        <v>0</v>
      </c>
      <c r="W61" s="299">
        <v>0</v>
      </c>
      <c r="X61" s="299">
        <v>0</v>
      </c>
      <c r="Y61" s="299">
        <v>0</v>
      </c>
      <c r="Z61" s="299">
        <v>0</v>
      </c>
      <c r="AA61" s="297">
        <v>0</v>
      </c>
      <c r="AB61" s="297">
        <v>0</v>
      </c>
      <c r="AC61" s="297">
        <v>0</v>
      </c>
      <c r="AD61" s="297">
        <v>0</v>
      </c>
      <c r="AE61" s="297">
        <v>0</v>
      </c>
      <c r="AF61" s="297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298">
        <v>0</v>
      </c>
      <c r="C62" s="298">
        <v>0</v>
      </c>
      <c r="D62" s="298">
        <v>0</v>
      </c>
      <c r="E62" s="298">
        <v>0</v>
      </c>
      <c r="F62" s="298">
        <v>0</v>
      </c>
      <c r="G62" s="298">
        <v>0</v>
      </c>
      <c r="H62" s="298">
        <v>0</v>
      </c>
      <c r="I62" s="298">
        <v>0</v>
      </c>
      <c r="J62" s="298">
        <v>0</v>
      </c>
      <c r="K62" s="298">
        <v>0</v>
      </c>
      <c r="L62" s="299">
        <v>0</v>
      </c>
      <c r="M62" s="299">
        <v>0</v>
      </c>
      <c r="N62" s="299">
        <v>0</v>
      </c>
      <c r="O62" s="299">
        <v>0</v>
      </c>
      <c r="P62" s="299">
        <v>0</v>
      </c>
      <c r="Q62" s="299">
        <v>0</v>
      </c>
      <c r="R62" s="299">
        <v>0</v>
      </c>
      <c r="S62" s="299">
        <v>0</v>
      </c>
      <c r="T62" s="299">
        <v>0</v>
      </c>
      <c r="U62" s="299">
        <v>0</v>
      </c>
      <c r="V62" s="299">
        <v>0</v>
      </c>
      <c r="W62" s="299">
        <v>0</v>
      </c>
      <c r="X62" s="299">
        <v>0</v>
      </c>
      <c r="Y62" s="299">
        <v>0</v>
      </c>
      <c r="Z62" s="299">
        <v>0</v>
      </c>
      <c r="AA62" s="299">
        <v>0</v>
      </c>
      <c r="AB62" s="299">
        <v>0</v>
      </c>
      <c r="AC62" s="299">
        <v>0</v>
      </c>
      <c r="AD62" s="299">
        <v>0</v>
      </c>
      <c r="AE62" s="299">
        <v>0</v>
      </c>
      <c r="AF62" s="299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304">
        <f>SUM(B60:B62)</f>
        <v>0</v>
      </c>
      <c r="C63" s="304">
        <f t="shared" ref="C63:AF63" si="10">SUM(C60:C62)</f>
        <v>0</v>
      </c>
      <c r="D63" s="304">
        <f t="shared" si="10"/>
        <v>0</v>
      </c>
      <c r="E63" s="304">
        <f t="shared" si="10"/>
        <v>0</v>
      </c>
      <c r="F63" s="304">
        <f t="shared" si="10"/>
        <v>0</v>
      </c>
      <c r="G63" s="304">
        <f t="shared" si="10"/>
        <v>0</v>
      </c>
      <c r="H63" s="304">
        <f t="shared" si="10"/>
        <v>0</v>
      </c>
      <c r="I63" s="304">
        <f t="shared" si="10"/>
        <v>0</v>
      </c>
      <c r="J63" s="304">
        <f t="shared" si="10"/>
        <v>0</v>
      </c>
      <c r="K63" s="304">
        <f t="shared" si="10"/>
        <v>0</v>
      </c>
      <c r="L63" s="304">
        <f t="shared" si="10"/>
        <v>0</v>
      </c>
      <c r="M63" s="304">
        <f t="shared" si="10"/>
        <v>0</v>
      </c>
      <c r="N63" s="304">
        <f t="shared" si="10"/>
        <v>0</v>
      </c>
      <c r="O63" s="304">
        <f t="shared" si="10"/>
        <v>0</v>
      </c>
      <c r="P63" s="304">
        <f t="shared" si="10"/>
        <v>0</v>
      </c>
      <c r="Q63" s="304">
        <f t="shared" si="10"/>
        <v>0</v>
      </c>
      <c r="R63" s="304">
        <f t="shared" si="10"/>
        <v>0</v>
      </c>
      <c r="S63" s="304">
        <f t="shared" si="10"/>
        <v>0</v>
      </c>
      <c r="T63" s="304">
        <f t="shared" si="10"/>
        <v>0</v>
      </c>
      <c r="U63" s="304">
        <f t="shared" si="10"/>
        <v>0</v>
      </c>
      <c r="V63" s="304">
        <f t="shared" si="10"/>
        <v>0</v>
      </c>
      <c r="W63" s="304">
        <f t="shared" si="10"/>
        <v>0</v>
      </c>
      <c r="X63" s="304">
        <f t="shared" si="10"/>
        <v>0</v>
      </c>
      <c r="Y63" s="304">
        <f t="shared" si="10"/>
        <v>0</v>
      </c>
      <c r="Z63" s="304">
        <f t="shared" si="10"/>
        <v>0</v>
      </c>
      <c r="AA63" s="304">
        <f t="shared" si="10"/>
        <v>0</v>
      </c>
      <c r="AB63" s="304">
        <f t="shared" si="10"/>
        <v>0</v>
      </c>
      <c r="AC63" s="304">
        <f t="shared" si="10"/>
        <v>0</v>
      </c>
      <c r="AD63" s="304">
        <f t="shared" si="10"/>
        <v>0</v>
      </c>
      <c r="AE63" s="304">
        <f t="shared" si="10"/>
        <v>0</v>
      </c>
      <c r="AF63" s="304">
        <f t="shared" si="10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1093.4900000000002</v>
      </c>
      <c r="C65" s="91">
        <f t="shared" ref="C65:AF65" si="11">C63+C59+C47+C43+C30+C64</f>
        <v>1088.79</v>
      </c>
      <c r="D65" s="91">
        <f t="shared" si="11"/>
        <v>1047.2900000000002</v>
      </c>
      <c r="E65" s="91">
        <f t="shared" si="11"/>
        <v>1030.28</v>
      </c>
      <c r="F65" s="91">
        <f t="shared" si="11"/>
        <v>992.69</v>
      </c>
      <c r="G65" s="91">
        <f t="shared" si="11"/>
        <v>1060.24</v>
      </c>
      <c r="H65" s="91">
        <f t="shared" si="11"/>
        <v>1015.2900000000002</v>
      </c>
      <c r="I65" s="91">
        <f t="shared" si="11"/>
        <v>1009.69</v>
      </c>
      <c r="J65" s="91">
        <f t="shared" si="11"/>
        <v>1048.6300000000001</v>
      </c>
      <c r="K65" s="91">
        <f t="shared" si="11"/>
        <v>1084.29</v>
      </c>
      <c r="L65" s="91">
        <f t="shared" si="11"/>
        <v>1091.04</v>
      </c>
      <c r="M65" s="91">
        <f t="shared" si="11"/>
        <v>1101.23</v>
      </c>
      <c r="N65" s="91">
        <f t="shared" si="11"/>
        <v>1095.94</v>
      </c>
      <c r="O65" s="91">
        <f t="shared" si="11"/>
        <v>1077.1400000000001</v>
      </c>
      <c r="P65" s="91">
        <f t="shared" si="11"/>
        <v>1058.94</v>
      </c>
      <c r="Q65" s="91">
        <f t="shared" si="11"/>
        <v>1019.34</v>
      </c>
      <c r="R65" s="91">
        <f t="shared" si="11"/>
        <v>1018.46</v>
      </c>
      <c r="S65" s="91">
        <f t="shared" si="11"/>
        <v>951.34000000000015</v>
      </c>
      <c r="T65" s="91">
        <f t="shared" si="11"/>
        <v>968.1400000000001</v>
      </c>
      <c r="U65" s="91">
        <f t="shared" si="11"/>
        <v>964.04000000000008</v>
      </c>
      <c r="V65" s="91">
        <f t="shared" si="11"/>
        <v>831.54</v>
      </c>
      <c r="W65" s="91">
        <f t="shared" si="11"/>
        <v>956.24000000000012</v>
      </c>
      <c r="X65" s="91">
        <f t="shared" si="11"/>
        <v>974.94</v>
      </c>
      <c r="Y65" s="91">
        <f t="shared" si="11"/>
        <v>1046.44</v>
      </c>
      <c r="Z65" s="91">
        <f t="shared" si="11"/>
        <v>1110.24</v>
      </c>
      <c r="AA65" s="91">
        <f t="shared" si="11"/>
        <v>1083.8399999999999</v>
      </c>
      <c r="AB65" s="91">
        <f t="shared" si="11"/>
        <v>1099.5400000000002</v>
      </c>
      <c r="AC65" s="91">
        <f t="shared" si="11"/>
        <v>1116.1400000000001</v>
      </c>
      <c r="AD65" s="91">
        <f t="shared" si="11"/>
        <v>1013.94</v>
      </c>
      <c r="AE65" s="91">
        <f t="shared" si="11"/>
        <v>991.34</v>
      </c>
      <c r="AF65" s="91">
        <f t="shared" si="11"/>
        <v>968.83999999999992</v>
      </c>
      <c r="AG65" s="74">
        <f>AG63+AG59+AG47+AG43+AG30+AG64</f>
        <v>1355.5100000000002</v>
      </c>
      <c r="AH65" s="52">
        <f t="shared" si="2"/>
        <v>1116.1400000000001</v>
      </c>
      <c r="AI65" s="53">
        <f t="shared" si="3"/>
        <v>831.54</v>
      </c>
    </row>
    <row r="66" spans="1:35" x14ac:dyDescent="0.25">
      <c r="A66" s="55" t="s">
        <v>73</v>
      </c>
      <c r="B66" s="298">
        <f t="shared" ref="B66:Q66" si="12">IF(B51&lt;0,B51*-1,0)</f>
        <v>0</v>
      </c>
      <c r="C66" s="298">
        <f t="shared" si="12"/>
        <v>0</v>
      </c>
      <c r="D66" s="298">
        <f t="shared" si="12"/>
        <v>0</v>
      </c>
      <c r="E66" s="298">
        <f t="shared" si="12"/>
        <v>0</v>
      </c>
      <c r="F66" s="298">
        <f t="shared" si="12"/>
        <v>0</v>
      </c>
      <c r="G66" s="298">
        <f t="shared" si="12"/>
        <v>0</v>
      </c>
      <c r="H66" s="298">
        <f t="shared" si="12"/>
        <v>0</v>
      </c>
      <c r="I66" s="298">
        <f t="shared" si="12"/>
        <v>0</v>
      </c>
      <c r="J66" s="298">
        <f t="shared" si="12"/>
        <v>0</v>
      </c>
      <c r="K66" s="298">
        <f t="shared" si="12"/>
        <v>0</v>
      </c>
      <c r="L66" s="298">
        <f t="shared" si="12"/>
        <v>0</v>
      </c>
      <c r="M66" s="298">
        <f t="shared" si="12"/>
        <v>0</v>
      </c>
      <c r="N66" s="298">
        <f t="shared" si="12"/>
        <v>0</v>
      </c>
      <c r="O66" s="298">
        <f t="shared" si="12"/>
        <v>0</v>
      </c>
      <c r="P66" s="298">
        <f t="shared" si="12"/>
        <v>0</v>
      </c>
      <c r="Q66" s="298">
        <f t="shared" si="12"/>
        <v>0</v>
      </c>
      <c r="R66" s="298">
        <f>IF(R51&lt;0,R51*-1,0)</f>
        <v>0</v>
      </c>
      <c r="S66" s="298">
        <f t="shared" ref="S66:AF66" si="13">IF(S51&lt;0,S51*-1,0)</f>
        <v>0</v>
      </c>
      <c r="T66" s="298">
        <f t="shared" si="13"/>
        <v>0</v>
      </c>
      <c r="U66" s="298">
        <f t="shared" si="13"/>
        <v>0</v>
      </c>
      <c r="V66" s="298">
        <f t="shared" si="13"/>
        <v>0</v>
      </c>
      <c r="W66" s="298">
        <f t="shared" si="13"/>
        <v>0</v>
      </c>
      <c r="X66" s="298">
        <f t="shared" si="13"/>
        <v>0</v>
      </c>
      <c r="Y66" s="298">
        <f t="shared" si="13"/>
        <v>0</v>
      </c>
      <c r="Z66" s="298">
        <f t="shared" si="13"/>
        <v>0</v>
      </c>
      <c r="AA66" s="298">
        <f t="shared" si="13"/>
        <v>0</v>
      </c>
      <c r="AB66" s="298">
        <f t="shared" si="13"/>
        <v>0</v>
      </c>
      <c r="AC66" s="298">
        <f t="shared" si="13"/>
        <v>0</v>
      </c>
      <c r="AD66" s="298">
        <f t="shared" si="13"/>
        <v>0</v>
      </c>
      <c r="AE66" s="298">
        <f t="shared" si="13"/>
        <v>0</v>
      </c>
      <c r="AF66" s="298">
        <f t="shared" si="13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298">
        <f t="shared" ref="B67:Q67" si="14">IF(B49&lt;0,B49*-1,0)</f>
        <v>0</v>
      </c>
      <c r="C67" s="298">
        <f t="shared" si="14"/>
        <v>0</v>
      </c>
      <c r="D67" s="298">
        <f t="shared" si="14"/>
        <v>0</v>
      </c>
      <c r="E67" s="298">
        <f t="shared" si="14"/>
        <v>0</v>
      </c>
      <c r="F67" s="298">
        <f t="shared" si="14"/>
        <v>0</v>
      </c>
      <c r="G67" s="298">
        <f t="shared" si="14"/>
        <v>0</v>
      </c>
      <c r="H67" s="298">
        <f t="shared" si="14"/>
        <v>0</v>
      </c>
      <c r="I67" s="298">
        <f t="shared" si="14"/>
        <v>0</v>
      </c>
      <c r="J67" s="298">
        <f t="shared" si="14"/>
        <v>0</v>
      </c>
      <c r="K67" s="298">
        <f t="shared" si="14"/>
        <v>0</v>
      </c>
      <c r="L67" s="298">
        <f t="shared" si="14"/>
        <v>0</v>
      </c>
      <c r="M67" s="298">
        <f t="shared" si="14"/>
        <v>0</v>
      </c>
      <c r="N67" s="298">
        <f t="shared" si="14"/>
        <v>0</v>
      </c>
      <c r="O67" s="298">
        <f t="shared" si="14"/>
        <v>0</v>
      </c>
      <c r="P67" s="298">
        <f t="shared" si="14"/>
        <v>0</v>
      </c>
      <c r="Q67" s="298">
        <f t="shared" si="14"/>
        <v>0</v>
      </c>
      <c r="R67" s="298">
        <f>IF(R49&lt;0,R49*-1,0)</f>
        <v>0</v>
      </c>
      <c r="S67" s="298">
        <f t="shared" ref="S67:AF67" si="15">IF(S49&lt;0,S49*-1,0)</f>
        <v>0</v>
      </c>
      <c r="T67" s="298">
        <f t="shared" si="15"/>
        <v>0</v>
      </c>
      <c r="U67" s="298">
        <f t="shared" si="15"/>
        <v>0</v>
      </c>
      <c r="V67" s="298">
        <f t="shared" si="15"/>
        <v>0</v>
      </c>
      <c r="W67" s="298">
        <f t="shared" si="15"/>
        <v>0</v>
      </c>
      <c r="X67" s="298">
        <f t="shared" si="15"/>
        <v>0</v>
      </c>
      <c r="Y67" s="298">
        <f t="shared" si="15"/>
        <v>0</v>
      </c>
      <c r="Z67" s="298">
        <f t="shared" si="15"/>
        <v>0</v>
      </c>
      <c r="AA67" s="298">
        <f t="shared" si="15"/>
        <v>0</v>
      </c>
      <c r="AB67" s="298">
        <f t="shared" si="15"/>
        <v>0</v>
      </c>
      <c r="AC67" s="298">
        <f t="shared" si="15"/>
        <v>0</v>
      </c>
      <c r="AD67" s="298">
        <f t="shared" si="15"/>
        <v>0</v>
      </c>
      <c r="AE67" s="298">
        <f t="shared" si="15"/>
        <v>0</v>
      </c>
      <c r="AF67" s="298">
        <f t="shared" si="15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298">
        <f t="shared" ref="B68:Q68" si="16">IF(B52&lt;0,B52*-1,0)</f>
        <v>0</v>
      </c>
      <c r="C68" s="298">
        <f t="shared" si="16"/>
        <v>0</v>
      </c>
      <c r="D68" s="298">
        <f t="shared" si="16"/>
        <v>0</v>
      </c>
      <c r="E68" s="298">
        <f t="shared" si="16"/>
        <v>0</v>
      </c>
      <c r="F68" s="298">
        <f t="shared" si="16"/>
        <v>0</v>
      </c>
      <c r="G68" s="298">
        <f t="shared" si="16"/>
        <v>0</v>
      </c>
      <c r="H68" s="298">
        <f t="shared" si="16"/>
        <v>0</v>
      </c>
      <c r="I68" s="298">
        <f t="shared" si="16"/>
        <v>0</v>
      </c>
      <c r="J68" s="298">
        <f t="shared" si="16"/>
        <v>0</v>
      </c>
      <c r="K68" s="298">
        <f t="shared" si="16"/>
        <v>0</v>
      </c>
      <c r="L68" s="298">
        <f t="shared" si="16"/>
        <v>0</v>
      </c>
      <c r="M68" s="298">
        <f t="shared" si="16"/>
        <v>0</v>
      </c>
      <c r="N68" s="298">
        <f t="shared" si="16"/>
        <v>0</v>
      </c>
      <c r="O68" s="298">
        <f t="shared" si="16"/>
        <v>0</v>
      </c>
      <c r="P68" s="298">
        <f t="shared" si="16"/>
        <v>0</v>
      </c>
      <c r="Q68" s="298">
        <f t="shared" si="16"/>
        <v>0</v>
      </c>
      <c r="R68" s="298">
        <f>IF(R52&lt;0,R52*-1,0)</f>
        <v>0</v>
      </c>
      <c r="S68" s="298">
        <f t="shared" ref="S68:AF68" si="17">IF(S52&lt;0,S52*-1,0)</f>
        <v>0</v>
      </c>
      <c r="T68" s="298">
        <f t="shared" si="17"/>
        <v>0</v>
      </c>
      <c r="U68" s="298">
        <f t="shared" si="17"/>
        <v>0</v>
      </c>
      <c r="V68" s="298">
        <f t="shared" si="17"/>
        <v>0</v>
      </c>
      <c r="W68" s="298">
        <f t="shared" si="17"/>
        <v>0</v>
      </c>
      <c r="X68" s="298">
        <f t="shared" si="17"/>
        <v>0</v>
      </c>
      <c r="Y68" s="298">
        <f t="shared" si="17"/>
        <v>0</v>
      </c>
      <c r="Z68" s="298">
        <f t="shared" si="17"/>
        <v>0</v>
      </c>
      <c r="AA68" s="298">
        <f t="shared" si="17"/>
        <v>0</v>
      </c>
      <c r="AB68" s="298">
        <f t="shared" si="17"/>
        <v>0</v>
      </c>
      <c r="AC68" s="298">
        <f t="shared" si="17"/>
        <v>0</v>
      </c>
      <c r="AD68" s="298">
        <f t="shared" si="17"/>
        <v>0</v>
      </c>
      <c r="AE68" s="298">
        <f t="shared" si="17"/>
        <v>0</v>
      </c>
      <c r="AF68" s="298">
        <f t="shared" si="17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298">
        <f>IF(B50&lt;0,B50*-1,0)</f>
        <v>0</v>
      </c>
      <c r="C69" s="298">
        <f t="shared" ref="C69:AF69" si="18">IF(C50&lt;0,C50*-1,0)</f>
        <v>0</v>
      </c>
      <c r="D69" s="298">
        <f t="shared" si="18"/>
        <v>0</v>
      </c>
      <c r="E69" s="298">
        <f t="shared" si="18"/>
        <v>0</v>
      </c>
      <c r="F69" s="298">
        <f t="shared" si="18"/>
        <v>0</v>
      </c>
      <c r="G69" s="298">
        <f t="shared" si="18"/>
        <v>0</v>
      </c>
      <c r="H69" s="298">
        <f t="shared" si="18"/>
        <v>0</v>
      </c>
      <c r="I69" s="298">
        <f t="shared" si="18"/>
        <v>0</v>
      </c>
      <c r="J69" s="298">
        <f t="shared" si="18"/>
        <v>0</v>
      </c>
      <c r="K69" s="298">
        <f t="shared" si="18"/>
        <v>0</v>
      </c>
      <c r="L69" s="298">
        <f t="shared" si="18"/>
        <v>0</v>
      </c>
      <c r="M69" s="298">
        <f t="shared" si="18"/>
        <v>0</v>
      </c>
      <c r="N69" s="298">
        <f t="shared" si="18"/>
        <v>0</v>
      </c>
      <c r="O69" s="298">
        <f t="shared" si="18"/>
        <v>0</v>
      </c>
      <c r="P69" s="298">
        <f t="shared" si="18"/>
        <v>0</v>
      </c>
      <c r="Q69" s="298">
        <f t="shared" si="18"/>
        <v>0</v>
      </c>
      <c r="R69" s="298">
        <f t="shared" si="18"/>
        <v>0</v>
      </c>
      <c r="S69" s="298">
        <f t="shared" si="18"/>
        <v>0</v>
      </c>
      <c r="T69" s="298">
        <f t="shared" si="18"/>
        <v>0</v>
      </c>
      <c r="U69" s="298">
        <f t="shared" si="18"/>
        <v>0</v>
      </c>
      <c r="V69" s="298">
        <f t="shared" si="18"/>
        <v>0</v>
      </c>
      <c r="W69" s="298">
        <f t="shared" si="18"/>
        <v>0</v>
      </c>
      <c r="X69" s="298">
        <f t="shared" si="18"/>
        <v>0</v>
      </c>
      <c r="Y69" s="298">
        <f t="shared" si="18"/>
        <v>0</v>
      </c>
      <c r="Z69" s="298">
        <f t="shared" si="18"/>
        <v>0</v>
      </c>
      <c r="AA69" s="298">
        <f t="shared" si="18"/>
        <v>0</v>
      </c>
      <c r="AB69" s="298">
        <f t="shared" si="18"/>
        <v>0</v>
      </c>
      <c r="AC69" s="298">
        <f t="shared" si="18"/>
        <v>0</v>
      </c>
      <c r="AD69" s="298">
        <f t="shared" si="18"/>
        <v>0</v>
      </c>
      <c r="AE69" s="298">
        <f t="shared" si="18"/>
        <v>0</v>
      </c>
      <c r="AF69" s="298">
        <f t="shared" si="18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4"/>
      <c r="S70" s="294"/>
      <c r="T70" s="294"/>
      <c r="U70" s="294"/>
      <c r="V70" s="294"/>
      <c r="W70" s="294"/>
      <c r="X70" s="294"/>
      <c r="Y70" s="294"/>
      <c r="Z70" s="294"/>
      <c r="AA70" s="299"/>
      <c r="AB70" s="299"/>
      <c r="AC70" s="299"/>
      <c r="AD70" s="299"/>
      <c r="AE70" s="299"/>
      <c r="AF70" s="299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304">
        <f>SUM(B66:B70)</f>
        <v>0</v>
      </c>
      <c r="C71" s="304">
        <f t="shared" ref="C71:AF71" si="19">SUM(C66:C70)</f>
        <v>0</v>
      </c>
      <c r="D71" s="304">
        <f t="shared" si="19"/>
        <v>0</v>
      </c>
      <c r="E71" s="304">
        <f t="shared" si="19"/>
        <v>0</v>
      </c>
      <c r="F71" s="304">
        <f t="shared" si="19"/>
        <v>0</v>
      </c>
      <c r="G71" s="304">
        <f t="shared" si="19"/>
        <v>0</v>
      </c>
      <c r="H71" s="304">
        <f t="shared" si="19"/>
        <v>0</v>
      </c>
      <c r="I71" s="304">
        <f t="shared" si="19"/>
        <v>0</v>
      </c>
      <c r="J71" s="304">
        <f t="shared" si="19"/>
        <v>0</v>
      </c>
      <c r="K71" s="304">
        <f t="shared" si="19"/>
        <v>0</v>
      </c>
      <c r="L71" s="304">
        <f t="shared" si="19"/>
        <v>0</v>
      </c>
      <c r="M71" s="304">
        <f t="shared" si="19"/>
        <v>0</v>
      </c>
      <c r="N71" s="304">
        <f t="shared" si="19"/>
        <v>0</v>
      </c>
      <c r="O71" s="304">
        <f t="shared" si="19"/>
        <v>0</v>
      </c>
      <c r="P71" s="304">
        <f t="shared" si="19"/>
        <v>0</v>
      </c>
      <c r="Q71" s="304">
        <f t="shared" si="19"/>
        <v>0</v>
      </c>
      <c r="R71" s="304">
        <f t="shared" si="19"/>
        <v>0</v>
      </c>
      <c r="S71" s="304">
        <f t="shared" si="19"/>
        <v>0</v>
      </c>
      <c r="T71" s="304">
        <f t="shared" si="19"/>
        <v>0</v>
      </c>
      <c r="U71" s="304">
        <f t="shared" si="19"/>
        <v>0</v>
      </c>
      <c r="V71" s="304">
        <f t="shared" si="19"/>
        <v>0</v>
      </c>
      <c r="W71" s="304">
        <f t="shared" si="19"/>
        <v>0</v>
      </c>
      <c r="X71" s="304">
        <f t="shared" si="19"/>
        <v>0</v>
      </c>
      <c r="Y71" s="304">
        <f t="shared" si="19"/>
        <v>0</v>
      </c>
      <c r="Z71" s="304">
        <f t="shared" si="19"/>
        <v>0</v>
      </c>
      <c r="AA71" s="304">
        <f t="shared" si="19"/>
        <v>0</v>
      </c>
      <c r="AB71" s="304">
        <f t="shared" si="19"/>
        <v>0</v>
      </c>
      <c r="AC71" s="304">
        <f t="shared" si="19"/>
        <v>0</v>
      </c>
      <c r="AD71" s="304">
        <f t="shared" si="19"/>
        <v>0</v>
      </c>
      <c r="AE71" s="304">
        <f t="shared" si="19"/>
        <v>0</v>
      </c>
      <c r="AF71" s="304">
        <f t="shared" si="19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>
        <v>50.04</v>
      </c>
      <c r="C72" s="94">
        <v>50.04</v>
      </c>
      <c r="D72" s="94">
        <v>49.969000000000001</v>
      </c>
      <c r="E72" s="94">
        <v>49.91</v>
      </c>
      <c r="F72" s="94">
        <v>49.948</v>
      </c>
      <c r="G72" s="94">
        <v>50.012</v>
      </c>
      <c r="H72" s="94">
        <v>49.948</v>
      </c>
      <c r="I72" s="94">
        <v>49.851999999999997</v>
      </c>
      <c r="J72" s="94">
        <v>49.936999999999998</v>
      </c>
      <c r="K72" s="94">
        <v>49.941000000000003</v>
      </c>
      <c r="L72" s="94">
        <v>49.98</v>
      </c>
      <c r="M72" s="94">
        <v>49.98</v>
      </c>
      <c r="N72" s="94">
        <v>50.04</v>
      </c>
      <c r="O72" s="94">
        <v>50.04</v>
      </c>
      <c r="P72" s="94">
        <v>50.02</v>
      </c>
      <c r="Q72" s="95">
        <v>50.01</v>
      </c>
      <c r="R72" s="94">
        <v>50.06</v>
      </c>
      <c r="S72" s="94">
        <v>50.052999999999997</v>
      </c>
      <c r="T72" s="94">
        <v>49.98</v>
      </c>
      <c r="U72" s="94">
        <v>49.954000000000001</v>
      </c>
      <c r="V72" s="94">
        <v>50.045999999999999</v>
      </c>
      <c r="W72" s="94">
        <v>50.045999999999999</v>
      </c>
      <c r="X72" s="94">
        <v>49.981999999999999</v>
      </c>
      <c r="Y72" s="94">
        <v>50.015000000000001</v>
      </c>
      <c r="Z72" s="94">
        <v>50.029000000000003</v>
      </c>
      <c r="AA72" s="94">
        <v>50.02</v>
      </c>
      <c r="AB72" s="94">
        <v>49.963000000000001</v>
      </c>
      <c r="AC72" s="94">
        <v>50.024000000000001</v>
      </c>
      <c r="AD72" s="94">
        <v>49.99</v>
      </c>
      <c r="AE72" s="94">
        <v>50.05</v>
      </c>
      <c r="AF72" s="96">
        <v>49.99</v>
      </c>
      <c r="AG72" s="97"/>
      <c r="AH72" s="52">
        <f t="shared" si="2"/>
        <v>50.06</v>
      </c>
      <c r="AI72" s="53">
        <f t="shared" si="3"/>
        <v>49.851999999999997</v>
      </c>
    </row>
    <row r="73" spans="1:35" x14ac:dyDescent="0.25">
      <c r="A73" s="98" t="s">
        <v>80</v>
      </c>
      <c r="B73" s="295">
        <v>123.4</v>
      </c>
      <c r="C73" s="295">
        <v>123.4</v>
      </c>
      <c r="D73" s="295">
        <v>124.2</v>
      </c>
      <c r="E73" s="295">
        <v>125.4</v>
      </c>
      <c r="F73" s="295">
        <v>126</v>
      </c>
      <c r="G73" s="295">
        <v>125.5</v>
      </c>
      <c r="H73" s="295">
        <v>125.6</v>
      </c>
      <c r="I73" s="295">
        <v>125</v>
      </c>
      <c r="J73" s="295">
        <v>125.5</v>
      </c>
      <c r="K73" s="295">
        <v>125</v>
      </c>
      <c r="L73" s="295">
        <v>126.3</v>
      </c>
      <c r="M73" s="295">
        <v>127.8</v>
      </c>
      <c r="N73" s="295">
        <v>126.3</v>
      </c>
      <c r="O73" s="295">
        <v>124</v>
      </c>
      <c r="P73" s="295">
        <v>125.1</v>
      </c>
      <c r="Q73" s="99">
        <v>123</v>
      </c>
      <c r="R73" s="99">
        <v>126.6</v>
      </c>
      <c r="S73" s="99">
        <v>126.6</v>
      </c>
      <c r="T73" s="99">
        <v>126.2</v>
      </c>
      <c r="U73" s="99">
        <v>126.2</v>
      </c>
      <c r="V73" s="99">
        <v>126.2</v>
      </c>
      <c r="W73" s="99">
        <v>127.1</v>
      </c>
      <c r="X73" s="99">
        <v>126.5</v>
      </c>
      <c r="Y73" s="99">
        <v>125.6</v>
      </c>
      <c r="Z73" s="99">
        <v>125.6</v>
      </c>
      <c r="AA73" s="295">
        <v>123.9</v>
      </c>
      <c r="AB73" s="295">
        <v>126</v>
      </c>
      <c r="AC73" s="295">
        <v>122.8</v>
      </c>
      <c r="AD73" s="295">
        <v>124.9</v>
      </c>
      <c r="AE73" s="295">
        <v>127</v>
      </c>
      <c r="AF73" s="100">
        <v>125.1</v>
      </c>
      <c r="AG73" s="101"/>
      <c r="AH73" s="52">
        <f t="shared" si="2"/>
        <v>127.8</v>
      </c>
      <c r="AI73" s="53">
        <f t="shared" si="3"/>
        <v>122.8</v>
      </c>
    </row>
    <row r="74" spans="1:35" x14ac:dyDescent="0.25">
      <c r="A74" s="98" t="s">
        <v>81</v>
      </c>
      <c r="B74" s="295">
        <v>127.3</v>
      </c>
      <c r="C74" s="295">
        <v>127.3</v>
      </c>
      <c r="D74" s="295">
        <v>128.1</v>
      </c>
      <c r="E74" s="295">
        <v>128.80000000000001</v>
      </c>
      <c r="F74" s="295">
        <v>129.1</v>
      </c>
      <c r="G74" s="295">
        <v>128.5</v>
      </c>
      <c r="H74" s="295">
        <v>128.19999999999999</v>
      </c>
      <c r="I74" s="295">
        <v>127.4</v>
      </c>
      <c r="J74" s="295">
        <v>127.9</v>
      </c>
      <c r="K74" s="295">
        <v>127.5</v>
      </c>
      <c r="L74" s="295">
        <v>128.5</v>
      </c>
      <c r="M74" s="295">
        <v>130</v>
      </c>
      <c r="N74" s="295">
        <v>128.4</v>
      </c>
      <c r="O74" s="295">
        <v>127.7</v>
      </c>
      <c r="P74" s="295">
        <v>128.1</v>
      </c>
      <c r="Q74" s="99">
        <v>126</v>
      </c>
      <c r="R74" s="99">
        <v>129.19999999999999</v>
      </c>
      <c r="S74" s="99">
        <v>129.19999999999999</v>
      </c>
      <c r="T74" s="99">
        <v>128.6</v>
      </c>
      <c r="U74" s="99">
        <v>128.6</v>
      </c>
      <c r="V74" s="99">
        <v>128.6</v>
      </c>
      <c r="W74" s="99">
        <v>129.6</v>
      </c>
      <c r="X74" s="99">
        <v>129.30000000000001</v>
      </c>
      <c r="Y74" s="99">
        <v>128.19999999999999</v>
      </c>
      <c r="Z74" s="99">
        <v>128.19999999999999</v>
      </c>
      <c r="AA74" s="295">
        <v>127.1</v>
      </c>
      <c r="AB74" s="295">
        <v>126.7</v>
      </c>
      <c r="AC74" s="295">
        <v>126.5</v>
      </c>
      <c r="AD74" s="295">
        <v>128.30000000000001</v>
      </c>
      <c r="AE74" s="295">
        <v>129.80000000000001</v>
      </c>
      <c r="AF74" s="100">
        <v>128.4</v>
      </c>
      <c r="AG74" s="101"/>
      <c r="AH74" s="52">
        <f t="shared" si="2"/>
        <v>130</v>
      </c>
      <c r="AI74" s="53">
        <f t="shared" si="3"/>
        <v>126</v>
      </c>
    </row>
    <row r="75" spans="1:35" x14ac:dyDescent="0.25">
      <c r="A75" s="98" t="s">
        <v>82</v>
      </c>
      <c r="B75" s="295">
        <v>128.69999999999999</v>
      </c>
      <c r="C75" s="295">
        <v>128.69999999999999</v>
      </c>
      <c r="D75" s="295">
        <v>126.8</v>
      </c>
      <c r="E75" s="295">
        <v>127.5</v>
      </c>
      <c r="F75" s="295">
        <v>129.19999999999999</v>
      </c>
      <c r="G75" s="295">
        <v>122.8</v>
      </c>
      <c r="H75" s="295">
        <v>130.1</v>
      </c>
      <c r="I75" s="295">
        <v>128.80000000000001</v>
      </c>
      <c r="J75" s="295">
        <v>130.4</v>
      </c>
      <c r="K75" s="295">
        <v>129.4</v>
      </c>
      <c r="L75" s="295">
        <v>129.1</v>
      </c>
      <c r="M75" s="295">
        <v>128.19999999999999</v>
      </c>
      <c r="N75" s="295">
        <v>127.9</v>
      </c>
      <c r="O75" s="295">
        <v>128.80000000000001</v>
      </c>
      <c r="P75" s="295">
        <v>130.4</v>
      </c>
      <c r="Q75" s="295">
        <v>130.6</v>
      </c>
      <c r="R75" s="295">
        <v>130.19999999999999</v>
      </c>
      <c r="S75" s="295">
        <v>130.19999999999999</v>
      </c>
      <c r="T75" s="99">
        <v>126.8</v>
      </c>
      <c r="U75" s="99">
        <v>126.8</v>
      </c>
      <c r="V75" s="99">
        <v>126.8</v>
      </c>
      <c r="W75" s="99">
        <v>128.80000000000001</v>
      </c>
      <c r="X75" s="99">
        <v>127.9</v>
      </c>
      <c r="Y75" s="99">
        <v>125.3</v>
      </c>
      <c r="Z75" s="99">
        <v>125.3</v>
      </c>
      <c r="AA75" s="295">
        <v>124.7</v>
      </c>
      <c r="AB75" s="295">
        <v>126</v>
      </c>
      <c r="AC75" s="295">
        <v>123.7</v>
      </c>
      <c r="AD75" s="295">
        <v>127.1</v>
      </c>
      <c r="AE75" s="295">
        <v>130.19999999999999</v>
      </c>
      <c r="AF75" s="100">
        <v>129.1</v>
      </c>
      <c r="AG75" s="101"/>
      <c r="AH75" s="52">
        <f t="shared" si="2"/>
        <v>130.6</v>
      </c>
      <c r="AI75" s="53">
        <f t="shared" si="3"/>
        <v>122.8</v>
      </c>
    </row>
    <row r="76" spans="1:35" x14ac:dyDescent="0.25">
      <c r="A76" s="102" t="s">
        <v>83</v>
      </c>
      <c r="B76" s="295">
        <v>133.80000000000001</v>
      </c>
      <c r="C76" s="295">
        <v>133.80000000000001</v>
      </c>
      <c r="D76" s="295">
        <v>131.19999999999999</v>
      </c>
      <c r="E76" s="295">
        <v>131.80000000000001</v>
      </c>
      <c r="F76" s="295">
        <v>133.1</v>
      </c>
      <c r="G76" s="295">
        <v>125.3</v>
      </c>
      <c r="H76" s="295">
        <v>133.6</v>
      </c>
      <c r="I76" s="295">
        <v>132.19999999999999</v>
      </c>
      <c r="J76" s="295">
        <v>133.30000000000001</v>
      </c>
      <c r="K76" s="295">
        <v>131.5</v>
      </c>
      <c r="L76" s="295">
        <v>131.1</v>
      </c>
      <c r="M76" s="295">
        <v>130.4</v>
      </c>
      <c r="N76" s="295">
        <v>131.6</v>
      </c>
      <c r="O76" s="295">
        <v>131.6</v>
      </c>
      <c r="P76" s="295">
        <v>131.4</v>
      </c>
      <c r="Q76" s="295">
        <v>132</v>
      </c>
      <c r="R76" s="295">
        <v>131.1</v>
      </c>
      <c r="S76" s="295">
        <v>131.1</v>
      </c>
      <c r="T76" s="99">
        <v>130.6</v>
      </c>
      <c r="U76" s="99">
        <v>130.6</v>
      </c>
      <c r="V76" s="99">
        <v>130.6</v>
      </c>
      <c r="W76" s="99">
        <v>132</v>
      </c>
      <c r="X76" s="99">
        <v>130.9</v>
      </c>
      <c r="Y76" s="99">
        <v>128.30000000000001</v>
      </c>
      <c r="Z76" s="99">
        <v>128.30000000000001</v>
      </c>
      <c r="AA76" s="295">
        <v>127.4</v>
      </c>
      <c r="AB76" s="295">
        <v>128.5</v>
      </c>
      <c r="AC76" s="295">
        <v>128.6</v>
      </c>
      <c r="AD76" s="295">
        <v>130.30000000000001</v>
      </c>
      <c r="AE76" s="295">
        <v>133.80000000000001</v>
      </c>
      <c r="AF76" s="100">
        <v>133</v>
      </c>
      <c r="AG76" s="101"/>
      <c r="AH76" s="52">
        <f t="shared" si="2"/>
        <v>133.80000000000001</v>
      </c>
      <c r="AI76" s="53">
        <f t="shared" si="3"/>
        <v>125.3</v>
      </c>
    </row>
    <row r="77" spans="1:35" x14ac:dyDescent="0.25">
      <c r="A77" s="102" t="s">
        <v>84</v>
      </c>
      <c r="B77" s="308">
        <v>133.4</v>
      </c>
      <c r="C77" s="308">
        <v>133.4</v>
      </c>
      <c r="D77" s="308">
        <v>134.80000000000001</v>
      </c>
      <c r="E77" s="308">
        <v>134</v>
      </c>
      <c r="F77" s="308">
        <v>134</v>
      </c>
      <c r="G77" s="308">
        <v>133.69999999999999</v>
      </c>
      <c r="H77" s="308">
        <v>133.5</v>
      </c>
      <c r="I77" s="308">
        <v>133.6</v>
      </c>
      <c r="J77" s="308">
        <v>133.6</v>
      </c>
      <c r="K77" s="308">
        <v>132.69999999999999</v>
      </c>
      <c r="L77" s="308">
        <v>133.9</v>
      </c>
      <c r="M77" s="308">
        <v>130.6</v>
      </c>
      <c r="N77" s="308">
        <v>129.5</v>
      </c>
      <c r="O77" s="308">
        <v>129.30000000000001</v>
      </c>
      <c r="P77" s="308">
        <v>134.80000000000001</v>
      </c>
      <c r="Q77" s="308">
        <v>134</v>
      </c>
      <c r="R77" s="308">
        <v>133.9</v>
      </c>
      <c r="S77" s="308">
        <v>133.9</v>
      </c>
      <c r="T77" s="99">
        <v>135.19999999999999</v>
      </c>
      <c r="U77" s="99">
        <v>135.19999999999999</v>
      </c>
      <c r="V77" s="99">
        <v>135.19999999999999</v>
      </c>
      <c r="W77" s="99">
        <v>133.19999999999999</v>
      </c>
      <c r="X77" s="99">
        <v>133.19999999999999</v>
      </c>
      <c r="Y77" s="99">
        <v>131.80000000000001</v>
      </c>
      <c r="Z77" s="99">
        <v>131.80000000000001</v>
      </c>
      <c r="AA77" s="308">
        <v>132.4</v>
      </c>
      <c r="AB77" s="308">
        <v>133.9</v>
      </c>
      <c r="AC77" s="308">
        <v>135.80000000000001</v>
      </c>
      <c r="AD77" s="308">
        <v>134.30000000000001</v>
      </c>
      <c r="AE77" s="308">
        <v>134.19999999999999</v>
      </c>
      <c r="AF77" s="104">
        <v>134.69999999999999</v>
      </c>
      <c r="AG77" s="105"/>
      <c r="AH77" s="52">
        <f t="shared" si="2"/>
        <v>135.80000000000001</v>
      </c>
      <c r="AI77" s="53">
        <f t="shared" si="3"/>
        <v>129.30000000000001</v>
      </c>
    </row>
    <row r="78" spans="1:35" x14ac:dyDescent="0.25">
      <c r="A78" s="98" t="s">
        <v>85</v>
      </c>
      <c r="B78" s="295">
        <v>132.4</v>
      </c>
      <c r="C78" s="295">
        <v>132.4</v>
      </c>
      <c r="D78" s="295">
        <v>135.69999999999999</v>
      </c>
      <c r="E78" s="295">
        <v>131.30000000000001</v>
      </c>
      <c r="F78" s="295">
        <v>131.4</v>
      </c>
      <c r="G78" s="295">
        <v>127.4</v>
      </c>
      <c r="H78" s="295">
        <v>125.9</v>
      </c>
      <c r="I78" s="295">
        <v>125.3</v>
      </c>
      <c r="J78" s="295">
        <v>124.9</v>
      </c>
      <c r="K78" s="295">
        <v>125.6</v>
      </c>
      <c r="L78" s="295">
        <v>125</v>
      </c>
      <c r="M78" s="295">
        <v>118</v>
      </c>
      <c r="N78" s="295">
        <v>129.80000000000001</v>
      </c>
      <c r="O78" s="295">
        <v>129.69999999999999</v>
      </c>
      <c r="P78" s="295">
        <v>136</v>
      </c>
      <c r="Q78" s="295">
        <v>133.6</v>
      </c>
      <c r="R78" s="295">
        <v>131.19999999999999</v>
      </c>
      <c r="S78" s="295">
        <v>131.19999999999999</v>
      </c>
      <c r="T78" s="99">
        <v>132.69999999999999</v>
      </c>
      <c r="U78" s="99">
        <v>132.69999999999999</v>
      </c>
      <c r="V78" s="99">
        <v>132.69999999999999</v>
      </c>
      <c r="W78" s="99">
        <v>135.30000000000001</v>
      </c>
      <c r="X78" s="99">
        <v>134.9</v>
      </c>
      <c r="Y78" s="99">
        <v>135.4</v>
      </c>
      <c r="Z78" s="99">
        <v>135.4</v>
      </c>
      <c r="AA78" s="295">
        <v>128.6</v>
      </c>
      <c r="AB78" s="295">
        <v>130.6</v>
      </c>
      <c r="AC78" s="295">
        <v>131.69999999999999</v>
      </c>
      <c r="AD78" s="295">
        <v>132.1</v>
      </c>
      <c r="AE78" s="295">
        <v>133</v>
      </c>
      <c r="AF78" s="100">
        <v>130.80000000000001</v>
      </c>
      <c r="AG78" s="101"/>
      <c r="AH78" s="52">
        <f>MAX(B78:AF78)</f>
        <v>136</v>
      </c>
      <c r="AI78" s="53">
        <f>MIN(B78:AF78)</f>
        <v>118</v>
      </c>
    </row>
    <row r="79" spans="1:35" ht="15.75" thickBot="1" x14ac:dyDescent="0.3">
      <c r="A79" s="98" t="s">
        <v>86</v>
      </c>
      <c r="B79" s="106">
        <v>65</v>
      </c>
      <c r="C79" s="106">
        <v>65</v>
      </c>
      <c r="D79" s="106">
        <v>65.400000000000006</v>
      </c>
      <c r="E79" s="106">
        <v>66</v>
      </c>
      <c r="F79" s="106">
        <v>66</v>
      </c>
      <c r="G79" s="106">
        <v>65.5</v>
      </c>
      <c r="H79" s="106">
        <v>65.2</v>
      </c>
      <c r="I79" s="106">
        <v>64.8</v>
      </c>
      <c r="J79" s="106">
        <v>65.2</v>
      </c>
      <c r="K79" s="106">
        <v>65.2</v>
      </c>
      <c r="L79" s="106">
        <v>65.5</v>
      </c>
      <c r="M79" s="106">
        <v>66.400000000000006</v>
      </c>
      <c r="N79" s="106">
        <v>65.599999999999994</v>
      </c>
      <c r="O79" s="106">
        <v>65.599999999999994</v>
      </c>
      <c r="P79" s="106">
        <v>65.8</v>
      </c>
      <c r="Q79" s="106">
        <v>64.7</v>
      </c>
      <c r="R79" s="106">
        <v>66</v>
      </c>
      <c r="S79" s="106">
        <v>66</v>
      </c>
      <c r="T79" s="106">
        <v>65.7</v>
      </c>
      <c r="U79" s="106">
        <v>65.7</v>
      </c>
      <c r="V79" s="106">
        <v>65.7</v>
      </c>
      <c r="W79" s="106">
        <v>66.400000000000006</v>
      </c>
      <c r="X79" s="106">
        <v>66.2</v>
      </c>
      <c r="Y79" s="106">
        <v>65.599999999999994</v>
      </c>
      <c r="Z79" s="106">
        <v>65.599999999999994</v>
      </c>
      <c r="AA79" s="106">
        <v>65.3</v>
      </c>
      <c r="AB79" s="106">
        <v>65.099999999999994</v>
      </c>
      <c r="AC79" s="106">
        <v>64.900000000000006</v>
      </c>
      <c r="AD79" s="106">
        <v>65.7</v>
      </c>
      <c r="AE79" s="106">
        <v>66.099999999999994</v>
      </c>
      <c r="AF79" s="107">
        <v>65.5</v>
      </c>
      <c r="AG79" s="108"/>
      <c r="AH79" s="52">
        <f>MAX(B79:AF79)</f>
        <v>66.400000000000006</v>
      </c>
      <c r="AI79" s="53">
        <f>MIN(B79:AF79)</f>
        <v>64.7</v>
      </c>
    </row>
    <row r="80" spans="1:35" x14ac:dyDescent="0.25">
      <c r="A80" s="109" t="s">
        <v>87</v>
      </c>
      <c r="B80" s="110">
        <f t="shared" ref="B80:AF80" si="20">SUMIF(B48:B57,"&gt;0")</f>
        <v>208.8</v>
      </c>
      <c r="C80" s="110">
        <f t="shared" si="20"/>
        <v>199.7</v>
      </c>
      <c r="D80" s="110">
        <f t="shared" si="20"/>
        <v>156.80000000000001</v>
      </c>
      <c r="E80" s="110">
        <f t="shared" si="20"/>
        <v>139.5</v>
      </c>
      <c r="F80" s="110">
        <f t="shared" si="20"/>
        <v>135.30000000000001</v>
      </c>
      <c r="G80" s="110">
        <f t="shared" si="20"/>
        <v>221.8</v>
      </c>
      <c r="H80" s="110">
        <f t="shared" si="20"/>
        <v>159.20000000000002</v>
      </c>
      <c r="I80" s="110">
        <f t="shared" si="20"/>
        <v>142.89999999999998</v>
      </c>
      <c r="J80" s="110">
        <f t="shared" si="20"/>
        <v>161.74</v>
      </c>
      <c r="K80" s="110">
        <f t="shared" si="20"/>
        <v>162.30000000000001</v>
      </c>
      <c r="L80" s="110">
        <f t="shared" si="20"/>
        <v>211.6</v>
      </c>
      <c r="M80" s="110">
        <f t="shared" si="20"/>
        <v>284.09000000000003</v>
      </c>
      <c r="N80" s="110">
        <f t="shared" si="20"/>
        <v>250</v>
      </c>
      <c r="O80" s="110">
        <f t="shared" si="20"/>
        <v>189.60000000000002</v>
      </c>
      <c r="P80" s="110">
        <f t="shared" si="20"/>
        <v>167.6</v>
      </c>
      <c r="Q80" s="110">
        <f t="shared" si="20"/>
        <v>176.4</v>
      </c>
      <c r="R80" s="110">
        <f t="shared" si="20"/>
        <v>151.82</v>
      </c>
      <c r="S80" s="110">
        <f t="shared" si="20"/>
        <v>108</v>
      </c>
      <c r="T80" s="110">
        <f t="shared" si="20"/>
        <v>114</v>
      </c>
      <c r="U80" s="110">
        <f t="shared" si="20"/>
        <v>128</v>
      </c>
      <c r="V80" s="110">
        <f t="shared" si="20"/>
        <v>265</v>
      </c>
      <c r="W80" s="110">
        <f t="shared" si="20"/>
        <v>125.3</v>
      </c>
      <c r="X80" s="110">
        <f t="shared" si="20"/>
        <v>134</v>
      </c>
      <c r="Y80" s="110">
        <f t="shared" si="20"/>
        <v>178</v>
      </c>
      <c r="Z80" s="110">
        <f t="shared" si="20"/>
        <v>242.4</v>
      </c>
      <c r="AA80" s="110">
        <f t="shared" si="20"/>
        <v>258</v>
      </c>
      <c r="AB80" s="110">
        <f t="shared" si="20"/>
        <v>255</v>
      </c>
      <c r="AC80" s="110">
        <f t="shared" si="20"/>
        <v>260.89999999999998</v>
      </c>
      <c r="AD80" s="110">
        <f t="shared" si="20"/>
        <v>198</v>
      </c>
      <c r="AE80" s="110">
        <f t="shared" si="20"/>
        <v>142</v>
      </c>
      <c r="AF80" s="110">
        <f t="shared" si="20"/>
        <v>124.9</v>
      </c>
      <c r="AG80" s="111"/>
      <c r="AH80" s="52">
        <f>MAX(B80:AF80)</f>
        <v>284.09000000000003</v>
      </c>
      <c r="AI80" s="53">
        <f>MIN(B80:AF80)</f>
        <v>108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106.02000000000001</v>
      </c>
      <c r="C82" s="115">
        <f t="shared" ref="C82:AF82" si="21">C11+C13+C17+C34+C36+C38+C40+C94+C108+C110+C121+C127+C130+C139+C143+C144+C147+C154+C159+C162+C163+C164+C172+C177+C83+C84+C85+C86+C99</f>
        <v>103.41999999999999</v>
      </c>
      <c r="D82" s="115">
        <f t="shared" si="21"/>
        <v>84.02</v>
      </c>
      <c r="E82" s="115">
        <f t="shared" si="21"/>
        <v>80.019999999999939</v>
      </c>
      <c r="F82" s="115">
        <f t="shared" si="21"/>
        <v>100.41999999999994</v>
      </c>
      <c r="G82" s="115">
        <f t="shared" si="21"/>
        <v>143.31999999999994</v>
      </c>
      <c r="H82" s="115">
        <f t="shared" si="21"/>
        <v>167.02000000000004</v>
      </c>
      <c r="I82" s="115">
        <f t="shared" si="21"/>
        <v>176.61999999999998</v>
      </c>
      <c r="J82" s="115">
        <f t="shared" si="21"/>
        <v>193.31999999999996</v>
      </c>
      <c r="K82" s="115">
        <f t="shared" si="21"/>
        <v>223.61999999999995</v>
      </c>
      <c r="L82" s="115">
        <f t="shared" si="21"/>
        <v>235.22</v>
      </c>
      <c r="M82" s="115">
        <f t="shared" si="21"/>
        <v>224.01999999999998</v>
      </c>
      <c r="N82" s="115">
        <f t="shared" si="21"/>
        <v>209.42000000000002</v>
      </c>
      <c r="O82" s="115">
        <f t="shared" si="21"/>
        <v>264.42</v>
      </c>
      <c r="P82" s="115">
        <f t="shared" si="21"/>
        <v>206.82</v>
      </c>
      <c r="Q82" s="115">
        <f t="shared" si="21"/>
        <v>243.11999999999998</v>
      </c>
      <c r="R82" s="115">
        <f t="shared" si="21"/>
        <v>203.72</v>
      </c>
      <c r="S82" s="115">
        <f t="shared" si="21"/>
        <v>184.51999999999995</v>
      </c>
      <c r="T82" s="115">
        <f t="shared" si="21"/>
        <v>185.31999999999996</v>
      </c>
      <c r="U82" s="115">
        <f t="shared" si="21"/>
        <v>202.81999999999996</v>
      </c>
      <c r="V82" s="115" t="e">
        <f t="shared" si="21"/>
        <v>#VALUE!</v>
      </c>
      <c r="W82" s="115">
        <f t="shared" si="21"/>
        <v>223.21999999999994</v>
      </c>
      <c r="X82" s="115">
        <f t="shared" si="21"/>
        <v>223.52</v>
      </c>
      <c r="Y82" s="115">
        <f t="shared" si="21"/>
        <v>242.71999999999994</v>
      </c>
      <c r="Z82" s="115">
        <f t="shared" si="21"/>
        <v>241.31999999999994</v>
      </c>
      <c r="AA82" s="115">
        <f t="shared" si="21"/>
        <v>206.42</v>
      </c>
      <c r="AB82" s="115">
        <f t="shared" si="21"/>
        <v>194.72</v>
      </c>
      <c r="AC82" s="115">
        <f t="shared" si="21"/>
        <v>178.81999999999996</v>
      </c>
      <c r="AD82" s="115">
        <f t="shared" si="21"/>
        <v>139.91999999999999</v>
      </c>
      <c r="AE82" s="115">
        <f t="shared" si="21"/>
        <v>118.92</v>
      </c>
      <c r="AF82" s="115">
        <f t="shared" si="21"/>
        <v>113.11999999999998</v>
      </c>
      <c r="AG82" s="116"/>
      <c r="AH82" s="52" t="e">
        <f>MAX(B82:AF82)</f>
        <v>#VALUE!</v>
      </c>
      <c r="AI82" s="53" t="e">
        <f>MIN(B82:AF82)</f>
        <v>#VALUE!</v>
      </c>
    </row>
    <row r="83" spans="1:37" x14ac:dyDescent="0.25">
      <c r="A83" s="117" t="s">
        <v>89</v>
      </c>
      <c r="B83" s="301">
        <v>64.900000000000006</v>
      </c>
      <c r="C83" s="301">
        <v>64.900000000000006</v>
      </c>
      <c r="D83" s="301">
        <v>66.900000000000006</v>
      </c>
      <c r="E83" s="301">
        <v>70.400000000000006</v>
      </c>
      <c r="F83" s="301">
        <v>67.099999999999994</v>
      </c>
      <c r="G83" s="301">
        <v>71.099999999999994</v>
      </c>
      <c r="H83" s="301">
        <v>73.2</v>
      </c>
      <c r="I83" s="301">
        <v>74</v>
      </c>
      <c r="J83" s="301">
        <v>73.3</v>
      </c>
      <c r="K83" s="301">
        <v>76.5</v>
      </c>
      <c r="L83" s="301">
        <v>57.7</v>
      </c>
      <c r="M83" s="301">
        <v>36.1</v>
      </c>
      <c r="N83" s="301">
        <v>73.2</v>
      </c>
      <c r="O83" s="301">
        <v>72.599999999999994</v>
      </c>
      <c r="P83" s="301">
        <v>74.7</v>
      </c>
      <c r="Q83" s="301">
        <v>74.900000000000006</v>
      </c>
      <c r="R83" s="301">
        <v>61.5</v>
      </c>
      <c r="S83" s="301">
        <v>54</v>
      </c>
      <c r="T83" s="301">
        <v>68</v>
      </c>
      <c r="U83" s="301">
        <v>66</v>
      </c>
      <c r="V83" s="301"/>
      <c r="W83" s="301">
        <v>53</v>
      </c>
      <c r="X83" s="301">
        <v>68.2</v>
      </c>
      <c r="Y83" s="301">
        <v>69</v>
      </c>
      <c r="Z83" s="301">
        <v>69.5</v>
      </c>
      <c r="AA83" s="302">
        <v>69.2</v>
      </c>
      <c r="AB83" s="302">
        <v>74.8</v>
      </c>
      <c r="AC83" s="302">
        <v>74.400000000000006</v>
      </c>
      <c r="AD83" s="302">
        <v>50.4</v>
      </c>
      <c r="AE83" s="302">
        <v>38.9</v>
      </c>
      <c r="AF83" s="119">
        <v>47</v>
      </c>
      <c r="AG83" s="120">
        <v>75</v>
      </c>
      <c r="AH83" s="52">
        <f>IF(ABS(MAX(B83:AF83))&gt;ABS(MIN(B83:AF83)),MAX(B83:AF83),MIN(B83:AF83))</f>
        <v>76.5</v>
      </c>
      <c r="AI83" s="121">
        <f>INDEX($B$9:$AF$9,1,MATCH(AH83,B83:AF83,0))</f>
        <v>0.3125</v>
      </c>
    </row>
    <row r="84" spans="1:37" x14ac:dyDescent="0.25">
      <c r="A84" s="122" t="s">
        <v>90</v>
      </c>
      <c r="B84" s="297">
        <v>-57</v>
      </c>
      <c r="C84" s="297">
        <v>-57</v>
      </c>
      <c r="D84" s="297">
        <v>-82.2</v>
      </c>
      <c r="E84" s="297">
        <v>-87</v>
      </c>
      <c r="F84" s="297">
        <v>-73.599999999999994</v>
      </c>
      <c r="G84" s="297">
        <v>-50</v>
      </c>
      <c r="H84" s="297">
        <v>-42</v>
      </c>
      <c r="I84" s="297">
        <v>-35.299999999999997</v>
      </c>
      <c r="J84" s="297">
        <v>-33.6</v>
      </c>
      <c r="K84" s="297">
        <v>-31.5</v>
      </c>
      <c r="L84" s="297">
        <f>-10.7</f>
        <v>-10.7</v>
      </c>
      <c r="M84" s="297">
        <f>6.9-1.6</f>
        <v>5.3000000000000007</v>
      </c>
      <c r="N84" s="297">
        <f>-28.5</f>
        <v>-28.5</v>
      </c>
      <c r="O84" s="297">
        <v>28.4</v>
      </c>
      <c r="P84" s="297">
        <v>-33.9</v>
      </c>
      <c r="Q84" s="297">
        <v>21</v>
      </c>
      <c r="R84" s="297">
        <v>-26</v>
      </c>
      <c r="S84" s="297">
        <v>-18.600000000000001</v>
      </c>
      <c r="T84" s="297">
        <v>-28</v>
      </c>
      <c r="U84" s="297">
        <v>-22</v>
      </c>
      <c r="V84" s="297"/>
      <c r="W84" s="297">
        <v>-9</v>
      </c>
      <c r="X84" s="297">
        <v>-15</v>
      </c>
      <c r="Y84" s="297">
        <v>-12</v>
      </c>
      <c r="Z84" s="297">
        <v>-4</v>
      </c>
      <c r="AA84" s="295">
        <v>-22</v>
      </c>
      <c r="AB84" s="295">
        <v>-29.6</v>
      </c>
      <c r="AC84" s="295">
        <v>-34.5</v>
      </c>
      <c r="AD84" s="295">
        <f>-11.7-17</f>
        <v>-28.7</v>
      </c>
      <c r="AE84" s="295">
        <f>-14.5-24.3</f>
        <v>-38.799999999999997</v>
      </c>
      <c r="AF84" s="123">
        <f>-22.9-32.7</f>
        <v>-55.6</v>
      </c>
      <c r="AG84" s="120">
        <v>240</v>
      </c>
      <c r="AH84" s="52">
        <f>IF(ABS(MAX(B84:AF84))&gt;ABS(MIN(B84:AF84)),MAX(B84:AF84),MIN(B84:AF84))</f>
        <v>-87</v>
      </c>
      <c r="AI84" s="121">
        <f>INDEX($B$9:$AF$9,1,MATCH(AH84,B84:AF84,0))</f>
        <v>0.16666666666666699</v>
      </c>
    </row>
    <row r="85" spans="1:37" x14ac:dyDescent="0.25">
      <c r="A85" s="122" t="s">
        <v>91</v>
      </c>
      <c r="B85" s="297">
        <v>3.4</v>
      </c>
      <c r="C85" s="297">
        <v>3.4</v>
      </c>
      <c r="D85" s="297">
        <v>8.1999999999999993</v>
      </c>
      <c r="E85" s="297">
        <v>5.5</v>
      </c>
      <c r="F85" s="297">
        <v>5.6</v>
      </c>
      <c r="G85" s="297">
        <v>8.5</v>
      </c>
      <c r="H85" s="297">
        <v>10.4</v>
      </c>
      <c r="I85" s="297">
        <v>15.1</v>
      </c>
      <c r="J85" s="297">
        <v>25.5</v>
      </c>
      <c r="K85" s="297">
        <v>31.9</v>
      </c>
      <c r="L85" s="297">
        <v>39.9</v>
      </c>
      <c r="M85" s="297">
        <v>38.4</v>
      </c>
      <c r="N85" s="297">
        <v>30.8</v>
      </c>
      <c r="O85" s="297">
        <v>30.1</v>
      </c>
      <c r="P85" s="297">
        <v>28.9</v>
      </c>
      <c r="Q85" s="297">
        <v>14.4</v>
      </c>
      <c r="R85" s="297">
        <v>30.1</v>
      </c>
      <c r="S85" s="297">
        <v>27.8</v>
      </c>
      <c r="T85" s="297">
        <v>25.4</v>
      </c>
      <c r="U85" s="297">
        <v>27</v>
      </c>
      <c r="V85" s="297"/>
      <c r="W85" s="297">
        <v>37</v>
      </c>
      <c r="X85" s="297">
        <v>25.6</v>
      </c>
      <c r="Y85" s="297">
        <v>35</v>
      </c>
      <c r="Z85" s="297">
        <v>26.7</v>
      </c>
      <c r="AA85" s="295">
        <v>17.600000000000001</v>
      </c>
      <c r="AB85" s="295">
        <v>13.1</v>
      </c>
      <c r="AC85" s="295">
        <v>10.1</v>
      </c>
      <c r="AD85" s="295">
        <v>12.5</v>
      </c>
      <c r="AE85" s="295">
        <v>21</v>
      </c>
      <c r="AF85" s="123">
        <v>22</v>
      </c>
      <c r="AG85" s="120">
        <v>60</v>
      </c>
      <c r="AH85" s="52">
        <f>IF(ABS(MAX(B85:AF85))&gt;ABS(MIN(B85:AF85)),MAX(B85:AF85),MIN(B85:AF85))</f>
        <v>39.9</v>
      </c>
      <c r="AI85" s="121">
        <f>INDEX($B$9:$AF$9,1,MATCH(AH85,B85:AF85,0))</f>
        <v>0.33333333333333331</v>
      </c>
    </row>
    <row r="86" spans="1:37" x14ac:dyDescent="0.25">
      <c r="A86" s="124" t="s">
        <v>92</v>
      </c>
      <c r="B86" s="299">
        <v>-112</v>
      </c>
      <c r="C86" s="299">
        <v>-112</v>
      </c>
      <c r="D86" s="299">
        <v>-113.3</v>
      </c>
      <c r="E86" s="299">
        <v>-112.3</v>
      </c>
      <c r="F86" s="299">
        <v>-104.2</v>
      </c>
      <c r="G86" s="299">
        <v>-92</v>
      </c>
      <c r="H86" s="299">
        <v>-80.3</v>
      </c>
      <c r="I86" s="299">
        <v>-79.400000000000006</v>
      </c>
      <c r="J86" s="299">
        <v>-75.5</v>
      </c>
      <c r="K86" s="299">
        <v>-59.4</v>
      </c>
      <c r="L86" s="299">
        <v>-57.5</v>
      </c>
      <c r="M86" s="299">
        <v>-63.9</v>
      </c>
      <c r="N86" s="299">
        <v>-72.599999999999994</v>
      </c>
      <c r="O86" s="299">
        <v>-73.7</v>
      </c>
      <c r="P86" s="299">
        <v>-65.900000000000006</v>
      </c>
      <c r="Q86" s="299">
        <v>-69</v>
      </c>
      <c r="R86" s="299">
        <v>-64.8</v>
      </c>
      <c r="S86" s="299">
        <v>-80</v>
      </c>
      <c r="T86" s="299">
        <v>-78.5</v>
      </c>
      <c r="U86" s="299">
        <v>-68</v>
      </c>
      <c r="V86" s="299"/>
      <c r="W86" s="299">
        <v>-58</v>
      </c>
      <c r="X86" s="299">
        <v>-56</v>
      </c>
      <c r="Y86" s="299">
        <v>-50</v>
      </c>
      <c r="Z86" s="299">
        <v>-51.6</v>
      </c>
      <c r="AA86" s="309">
        <v>-61.7</v>
      </c>
      <c r="AB86" s="309">
        <v>-67.5</v>
      </c>
      <c r="AC86" s="309">
        <v>-74.599999999999994</v>
      </c>
      <c r="AD86" s="309">
        <v>-92.9</v>
      </c>
      <c r="AE86" s="309">
        <v>-99.8</v>
      </c>
      <c r="AF86" s="126">
        <v>-98.9</v>
      </c>
      <c r="AG86" s="127">
        <v>120</v>
      </c>
      <c r="AH86" s="52">
        <f>IF(ABS(MAX(B86:AF86))&gt;ABS(MIN(B86:AF86)),MAX(B86:AF86),MIN(B86:AF86))</f>
        <v>-113.3</v>
      </c>
      <c r="AI86" s="121">
        <f>INDEX($B$9:$AF$9,1,MATCH(AH86,B86:AF86,0))</f>
        <v>0.125</v>
      </c>
    </row>
    <row r="87" spans="1:37" ht="15.75" thickBot="1" x14ac:dyDescent="0.3">
      <c r="A87" s="124" t="s">
        <v>93</v>
      </c>
      <c r="B87" s="299">
        <v>14.5</v>
      </c>
      <c r="C87" s="299">
        <v>14.5</v>
      </c>
      <c r="D87" s="299">
        <v>2.5</v>
      </c>
      <c r="E87" s="299">
        <v>3.1</v>
      </c>
      <c r="F87" s="299">
        <v>12</v>
      </c>
      <c r="G87" s="299">
        <v>4.2</v>
      </c>
      <c r="H87" s="299">
        <v>8.5</v>
      </c>
      <c r="I87" s="299">
        <v>7.6</v>
      </c>
      <c r="J87" s="299">
        <v>4.0999999999999996</v>
      </c>
      <c r="K87" s="299">
        <v>-11.5</v>
      </c>
      <c r="L87" s="299">
        <v>13.8</v>
      </c>
      <c r="M87" s="299">
        <v>53.7</v>
      </c>
      <c r="N87" s="299">
        <v>12.8</v>
      </c>
      <c r="O87" s="299">
        <v>13</v>
      </c>
      <c r="P87" s="299">
        <v>10.199999999999999</v>
      </c>
      <c r="Q87" s="299">
        <v>38.6</v>
      </c>
      <c r="R87" s="299">
        <v>14</v>
      </c>
      <c r="S87" s="299">
        <v>-12</v>
      </c>
      <c r="T87" s="299">
        <v>-4.5</v>
      </c>
      <c r="U87" s="299">
        <v>6.3</v>
      </c>
      <c r="V87" s="299"/>
      <c r="W87" s="299">
        <v>11</v>
      </c>
      <c r="X87" s="299">
        <v>12</v>
      </c>
      <c r="Y87" s="299">
        <v>17.3</v>
      </c>
      <c r="Z87" s="299">
        <v>27</v>
      </c>
      <c r="AA87" s="309">
        <v>49</v>
      </c>
      <c r="AB87" s="309">
        <v>40.200000000000003</v>
      </c>
      <c r="AC87" s="309">
        <v>41.1</v>
      </c>
      <c r="AD87" s="309">
        <v>41.4</v>
      </c>
      <c r="AE87" s="309">
        <v>24.1</v>
      </c>
      <c r="AF87" s="126">
        <v>-1.9</v>
      </c>
      <c r="AG87" s="127"/>
      <c r="AH87" s="52">
        <f>IF(ABS(MAX(B87:AF87))&gt;ABS(MIN(B87:AF87)),MAX(B87:AF87),MIN(B87:AF87))</f>
        <v>53.7</v>
      </c>
      <c r="AI87" s="121">
        <f>INDEX($B$9:$AF$9,1,MATCH(AH87,B87:AF87,0))</f>
        <v>0.375</v>
      </c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2">B89</f>
        <v>9.9</v>
      </c>
      <c r="D89" s="133">
        <f t="shared" si="22"/>
        <v>9.9</v>
      </c>
      <c r="E89" s="133">
        <f t="shared" si="22"/>
        <v>9.9</v>
      </c>
      <c r="F89" s="133">
        <f t="shared" si="22"/>
        <v>9.9</v>
      </c>
      <c r="G89" s="133">
        <f t="shared" si="22"/>
        <v>9.9</v>
      </c>
      <c r="H89" s="133">
        <f t="shared" si="22"/>
        <v>9.9</v>
      </c>
      <c r="I89" s="133">
        <f t="shared" si="22"/>
        <v>9.9</v>
      </c>
      <c r="J89" s="133">
        <f t="shared" si="22"/>
        <v>9.9</v>
      </c>
      <c r="K89" s="133">
        <f t="shared" si="22"/>
        <v>9.9</v>
      </c>
      <c r="L89" s="133">
        <f t="shared" si="22"/>
        <v>9.9</v>
      </c>
      <c r="M89" s="133">
        <f t="shared" si="22"/>
        <v>9.9</v>
      </c>
      <c r="N89" s="133">
        <f t="shared" si="22"/>
        <v>9.9</v>
      </c>
      <c r="O89" s="133">
        <f t="shared" si="22"/>
        <v>9.9</v>
      </c>
      <c r="P89" s="133">
        <f t="shared" si="22"/>
        <v>9.9</v>
      </c>
      <c r="Q89" s="133">
        <f t="shared" si="22"/>
        <v>9.9</v>
      </c>
      <c r="R89" s="133">
        <f t="shared" si="22"/>
        <v>9.9</v>
      </c>
      <c r="S89" s="133">
        <f t="shared" ref="S89:AF104" si="23">R89</f>
        <v>9.9</v>
      </c>
      <c r="T89" s="133">
        <f t="shared" si="23"/>
        <v>9.9</v>
      </c>
      <c r="U89" s="133">
        <f t="shared" si="23"/>
        <v>9.9</v>
      </c>
      <c r="V89" s="133">
        <f t="shared" si="23"/>
        <v>9.9</v>
      </c>
      <c r="W89" s="133">
        <f t="shared" si="23"/>
        <v>9.9</v>
      </c>
      <c r="X89" s="133">
        <f t="shared" si="23"/>
        <v>9.9</v>
      </c>
      <c r="Y89" s="133">
        <f t="shared" si="23"/>
        <v>9.9</v>
      </c>
      <c r="Z89" s="133">
        <f t="shared" si="23"/>
        <v>9.9</v>
      </c>
      <c r="AA89" s="133">
        <f t="shared" si="23"/>
        <v>9.9</v>
      </c>
      <c r="AB89" s="133">
        <f t="shared" si="23"/>
        <v>9.9</v>
      </c>
      <c r="AC89" s="133">
        <f t="shared" si="23"/>
        <v>9.9</v>
      </c>
      <c r="AD89" s="133">
        <f t="shared" si="23"/>
        <v>9.9</v>
      </c>
      <c r="AE89" s="133">
        <f t="shared" si="23"/>
        <v>9.9</v>
      </c>
      <c r="AF89" s="133">
        <f t="shared" si="23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2"/>
        <v>9.6</v>
      </c>
      <c r="D90" s="136">
        <f t="shared" si="22"/>
        <v>9.6</v>
      </c>
      <c r="E90" s="136">
        <f t="shared" si="22"/>
        <v>9.6</v>
      </c>
      <c r="F90" s="136">
        <f t="shared" si="22"/>
        <v>9.6</v>
      </c>
      <c r="G90" s="136">
        <f t="shared" si="22"/>
        <v>9.6</v>
      </c>
      <c r="H90" s="136">
        <f t="shared" si="22"/>
        <v>9.6</v>
      </c>
      <c r="I90" s="136">
        <f t="shared" si="22"/>
        <v>9.6</v>
      </c>
      <c r="J90" s="136">
        <f t="shared" si="22"/>
        <v>9.6</v>
      </c>
      <c r="K90" s="136">
        <f t="shared" si="22"/>
        <v>9.6</v>
      </c>
      <c r="L90" s="136">
        <f t="shared" si="22"/>
        <v>9.6</v>
      </c>
      <c r="M90" s="136">
        <f t="shared" si="22"/>
        <v>9.6</v>
      </c>
      <c r="N90" s="136">
        <f t="shared" si="22"/>
        <v>9.6</v>
      </c>
      <c r="O90" s="136">
        <f t="shared" si="22"/>
        <v>9.6</v>
      </c>
      <c r="P90" s="136">
        <f t="shared" si="22"/>
        <v>9.6</v>
      </c>
      <c r="Q90" s="136">
        <f t="shared" si="22"/>
        <v>9.6</v>
      </c>
      <c r="R90" s="136">
        <f t="shared" si="22"/>
        <v>9.6</v>
      </c>
      <c r="S90" s="136">
        <f t="shared" si="23"/>
        <v>9.6</v>
      </c>
      <c r="T90" s="136">
        <f t="shared" si="23"/>
        <v>9.6</v>
      </c>
      <c r="U90" s="136">
        <f t="shared" si="23"/>
        <v>9.6</v>
      </c>
      <c r="V90" s="136">
        <f t="shared" si="23"/>
        <v>9.6</v>
      </c>
      <c r="W90" s="136">
        <f t="shared" si="23"/>
        <v>9.6</v>
      </c>
      <c r="X90" s="136">
        <f t="shared" si="23"/>
        <v>9.6</v>
      </c>
      <c r="Y90" s="136">
        <f t="shared" si="23"/>
        <v>9.6</v>
      </c>
      <c r="Z90" s="136">
        <f t="shared" si="23"/>
        <v>9.6</v>
      </c>
      <c r="AA90" s="136">
        <f t="shared" si="23"/>
        <v>9.6</v>
      </c>
      <c r="AB90" s="136">
        <f t="shared" si="23"/>
        <v>9.6</v>
      </c>
      <c r="AC90" s="136">
        <f t="shared" si="23"/>
        <v>9.6</v>
      </c>
      <c r="AD90" s="136">
        <f t="shared" si="23"/>
        <v>9.6</v>
      </c>
      <c r="AE90" s="136">
        <f t="shared" si="23"/>
        <v>9.6</v>
      </c>
      <c r="AF90" s="136">
        <f t="shared" si="23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2"/>
        <v>9.98</v>
      </c>
      <c r="D91" s="136">
        <f t="shared" si="22"/>
        <v>9.98</v>
      </c>
      <c r="E91" s="136">
        <f t="shared" si="22"/>
        <v>9.98</v>
      </c>
      <c r="F91" s="136">
        <f t="shared" si="22"/>
        <v>9.98</v>
      </c>
      <c r="G91" s="136">
        <f t="shared" si="22"/>
        <v>9.98</v>
      </c>
      <c r="H91" s="136">
        <f t="shared" si="22"/>
        <v>9.98</v>
      </c>
      <c r="I91" s="136">
        <f t="shared" si="22"/>
        <v>9.98</v>
      </c>
      <c r="J91" s="136">
        <f t="shared" si="22"/>
        <v>9.98</v>
      </c>
      <c r="K91" s="136">
        <f t="shared" si="22"/>
        <v>9.98</v>
      </c>
      <c r="L91" s="136">
        <f t="shared" si="22"/>
        <v>9.98</v>
      </c>
      <c r="M91" s="136">
        <f t="shared" si="22"/>
        <v>9.98</v>
      </c>
      <c r="N91" s="136">
        <f t="shared" si="22"/>
        <v>9.98</v>
      </c>
      <c r="O91" s="136">
        <f t="shared" si="22"/>
        <v>9.98</v>
      </c>
      <c r="P91" s="136">
        <f t="shared" si="22"/>
        <v>9.98</v>
      </c>
      <c r="Q91" s="136">
        <f t="shared" si="22"/>
        <v>9.98</v>
      </c>
      <c r="R91" s="136">
        <f t="shared" si="22"/>
        <v>9.98</v>
      </c>
      <c r="S91" s="136">
        <f t="shared" si="23"/>
        <v>9.98</v>
      </c>
      <c r="T91" s="136">
        <f t="shared" si="23"/>
        <v>9.98</v>
      </c>
      <c r="U91" s="136">
        <f t="shared" si="23"/>
        <v>9.98</v>
      </c>
      <c r="V91" s="136">
        <f t="shared" si="23"/>
        <v>9.98</v>
      </c>
      <c r="W91" s="136">
        <f t="shared" si="23"/>
        <v>9.98</v>
      </c>
      <c r="X91" s="136">
        <f t="shared" si="23"/>
        <v>9.98</v>
      </c>
      <c r="Y91" s="136">
        <f t="shared" si="23"/>
        <v>9.98</v>
      </c>
      <c r="Z91" s="136">
        <f t="shared" si="23"/>
        <v>9.98</v>
      </c>
      <c r="AA91" s="136">
        <f t="shared" si="23"/>
        <v>9.98</v>
      </c>
      <c r="AB91" s="136">
        <f t="shared" si="23"/>
        <v>9.98</v>
      </c>
      <c r="AC91" s="136">
        <f t="shared" si="23"/>
        <v>9.98</v>
      </c>
      <c r="AD91" s="136">
        <f t="shared" si="23"/>
        <v>9.98</v>
      </c>
      <c r="AE91" s="136">
        <f t="shared" si="23"/>
        <v>9.98</v>
      </c>
      <c r="AF91" s="136">
        <f t="shared" si="23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2"/>
        <v>9.1</v>
      </c>
      <c r="D92" s="136">
        <f t="shared" si="22"/>
        <v>9.1</v>
      </c>
      <c r="E92" s="136">
        <f t="shared" si="22"/>
        <v>9.1</v>
      </c>
      <c r="F92" s="136">
        <f t="shared" si="22"/>
        <v>9.1</v>
      </c>
      <c r="G92" s="136">
        <f t="shared" si="22"/>
        <v>9.1</v>
      </c>
      <c r="H92" s="136">
        <f t="shared" si="22"/>
        <v>9.1</v>
      </c>
      <c r="I92" s="136">
        <f t="shared" si="22"/>
        <v>9.1</v>
      </c>
      <c r="J92" s="136">
        <f t="shared" si="22"/>
        <v>9.1</v>
      </c>
      <c r="K92" s="136">
        <f t="shared" si="22"/>
        <v>9.1</v>
      </c>
      <c r="L92" s="136">
        <f t="shared" si="22"/>
        <v>9.1</v>
      </c>
      <c r="M92" s="136">
        <f t="shared" si="22"/>
        <v>9.1</v>
      </c>
      <c r="N92" s="136">
        <f t="shared" si="22"/>
        <v>9.1</v>
      </c>
      <c r="O92" s="136">
        <f t="shared" si="22"/>
        <v>9.1</v>
      </c>
      <c r="P92" s="136">
        <f t="shared" si="22"/>
        <v>9.1</v>
      </c>
      <c r="Q92" s="136">
        <f t="shared" si="22"/>
        <v>9.1</v>
      </c>
      <c r="R92" s="136">
        <f t="shared" si="22"/>
        <v>9.1</v>
      </c>
      <c r="S92" s="136">
        <f t="shared" si="23"/>
        <v>9.1</v>
      </c>
      <c r="T92" s="136">
        <f t="shared" si="23"/>
        <v>9.1</v>
      </c>
      <c r="U92" s="136">
        <f t="shared" si="23"/>
        <v>9.1</v>
      </c>
      <c r="V92" s="136">
        <f t="shared" si="23"/>
        <v>9.1</v>
      </c>
      <c r="W92" s="136">
        <f t="shared" si="23"/>
        <v>9.1</v>
      </c>
      <c r="X92" s="136">
        <f t="shared" si="23"/>
        <v>9.1</v>
      </c>
      <c r="Y92" s="136">
        <f t="shared" si="23"/>
        <v>9.1</v>
      </c>
      <c r="Z92" s="136">
        <f t="shared" si="23"/>
        <v>9.1</v>
      </c>
      <c r="AA92" s="136">
        <f t="shared" si="23"/>
        <v>9.1</v>
      </c>
      <c r="AB92" s="136">
        <f t="shared" si="23"/>
        <v>9.1</v>
      </c>
      <c r="AC92" s="136">
        <f t="shared" si="23"/>
        <v>9.1</v>
      </c>
      <c r="AD92" s="136">
        <f t="shared" si="23"/>
        <v>9.1</v>
      </c>
      <c r="AE92" s="136">
        <f t="shared" si="23"/>
        <v>9.1</v>
      </c>
      <c r="AF92" s="136">
        <f t="shared" si="23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2"/>
        <v>9.18</v>
      </c>
      <c r="D93" s="136">
        <f t="shared" si="22"/>
        <v>9.18</v>
      </c>
      <c r="E93" s="136">
        <f t="shared" si="22"/>
        <v>9.18</v>
      </c>
      <c r="F93" s="136">
        <f t="shared" si="22"/>
        <v>9.18</v>
      </c>
      <c r="G93" s="136">
        <f t="shared" si="22"/>
        <v>9.18</v>
      </c>
      <c r="H93" s="136">
        <f t="shared" si="22"/>
        <v>9.18</v>
      </c>
      <c r="I93" s="136">
        <f t="shared" si="22"/>
        <v>9.18</v>
      </c>
      <c r="J93" s="136">
        <f t="shared" si="22"/>
        <v>9.18</v>
      </c>
      <c r="K93" s="136">
        <f t="shared" si="22"/>
        <v>9.18</v>
      </c>
      <c r="L93" s="136">
        <f t="shared" si="22"/>
        <v>9.18</v>
      </c>
      <c r="M93" s="136">
        <f t="shared" si="22"/>
        <v>9.18</v>
      </c>
      <c r="N93" s="136">
        <f t="shared" si="22"/>
        <v>9.18</v>
      </c>
      <c r="O93" s="136">
        <f t="shared" si="22"/>
        <v>9.18</v>
      </c>
      <c r="P93" s="136">
        <f t="shared" si="22"/>
        <v>9.18</v>
      </c>
      <c r="Q93" s="136">
        <f t="shared" si="22"/>
        <v>9.18</v>
      </c>
      <c r="R93" s="136">
        <f t="shared" si="22"/>
        <v>9.18</v>
      </c>
      <c r="S93" s="136">
        <f t="shared" si="23"/>
        <v>9.18</v>
      </c>
      <c r="T93" s="136">
        <f t="shared" si="23"/>
        <v>9.18</v>
      </c>
      <c r="U93" s="136">
        <f t="shared" si="23"/>
        <v>9.18</v>
      </c>
      <c r="V93" s="136">
        <f t="shared" si="23"/>
        <v>9.18</v>
      </c>
      <c r="W93" s="136">
        <f t="shared" si="23"/>
        <v>9.18</v>
      </c>
      <c r="X93" s="136">
        <f t="shared" si="23"/>
        <v>9.18</v>
      </c>
      <c r="Y93" s="136">
        <f t="shared" si="23"/>
        <v>9.18</v>
      </c>
      <c r="Z93" s="136">
        <f t="shared" si="23"/>
        <v>9.18</v>
      </c>
      <c r="AA93" s="136">
        <f t="shared" si="23"/>
        <v>9.18</v>
      </c>
      <c r="AB93" s="136">
        <f t="shared" si="23"/>
        <v>9.18</v>
      </c>
      <c r="AC93" s="136">
        <f t="shared" si="23"/>
        <v>9.18</v>
      </c>
      <c r="AD93" s="136">
        <f t="shared" si="23"/>
        <v>9.18</v>
      </c>
      <c r="AE93" s="136">
        <f t="shared" si="23"/>
        <v>9.18</v>
      </c>
      <c r="AF93" s="136">
        <f t="shared" si="23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2"/>
        <v>7</v>
      </c>
      <c r="D94" s="136">
        <f t="shared" si="22"/>
        <v>7</v>
      </c>
      <c r="E94" s="136">
        <f t="shared" si="22"/>
        <v>7</v>
      </c>
      <c r="F94" s="136">
        <f t="shared" si="22"/>
        <v>7</v>
      </c>
      <c r="G94" s="136">
        <f t="shared" si="22"/>
        <v>7</v>
      </c>
      <c r="H94" s="136">
        <f t="shared" si="22"/>
        <v>7</v>
      </c>
      <c r="I94" s="136">
        <f t="shared" si="22"/>
        <v>7</v>
      </c>
      <c r="J94" s="136">
        <f t="shared" si="22"/>
        <v>7</v>
      </c>
      <c r="K94" s="136">
        <f t="shared" si="22"/>
        <v>7</v>
      </c>
      <c r="L94" s="136">
        <f t="shared" si="22"/>
        <v>7</v>
      </c>
      <c r="M94" s="136">
        <f t="shared" si="22"/>
        <v>7</v>
      </c>
      <c r="N94" s="136">
        <f t="shared" si="22"/>
        <v>7</v>
      </c>
      <c r="O94" s="136">
        <f t="shared" si="22"/>
        <v>7</v>
      </c>
      <c r="P94" s="136">
        <f t="shared" si="22"/>
        <v>7</v>
      </c>
      <c r="Q94" s="136">
        <f t="shared" si="22"/>
        <v>7</v>
      </c>
      <c r="R94" s="136">
        <f t="shared" si="22"/>
        <v>7</v>
      </c>
      <c r="S94" s="136">
        <f t="shared" si="23"/>
        <v>7</v>
      </c>
      <c r="T94" s="136">
        <f t="shared" si="23"/>
        <v>7</v>
      </c>
      <c r="U94" s="136">
        <f t="shared" si="23"/>
        <v>7</v>
      </c>
      <c r="V94" s="136">
        <f t="shared" si="23"/>
        <v>7</v>
      </c>
      <c r="W94" s="136">
        <f t="shared" si="23"/>
        <v>7</v>
      </c>
      <c r="X94" s="136">
        <f t="shared" si="23"/>
        <v>7</v>
      </c>
      <c r="Y94" s="136">
        <f t="shared" si="23"/>
        <v>7</v>
      </c>
      <c r="Z94" s="136">
        <f t="shared" si="23"/>
        <v>7</v>
      </c>
      <c r="AA94" s="136">
        <f t="shared" si="23"/>
        <v>7</v>
      </c>
      <c r="AB94" s="136">
        <f t="shared" si="23"/>
        <v>7</v>
      </c>
      <c r="AC94" s="136">
        <f t="shared" si="23"/>
        <v>7</v>
      </c>
      <c r="AD94" s="136">
        <f t="shared" si="23"/>
        <v>7</v>
      </c>
      <c r="AE94" s="136">
        <f t="shared" si="23"/>
        <v>7</v>
      </c>
      <c r="AF94" s="136">
        <f t="shared" si="23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2"/>
        <v>2.25</v>
      </c>
      <c r="D95" s="136">
        <f t="shared" si="22"/>
        <v>2.25</v>
      </c>
      <c r="E95" s="136">
        <f t="shared" si="22"/>
        <v>2.25</v>
      </c>
      <c r="F95" s="136">
        <f t="shared" si="22"/>
        <v>2.25</v>
      </c>
      <c r="G95" s="136">
        <f t="shared" si="22"/>
        <v>2.25</v>
      </c>
      <c r="H95" s="136">
        <f t="shared" si="22"/>
        <v>2.25</v>
      </c>
      <c r="I95" s="136">
        <f t="shared" si="22"/>
        <v>2.25</v>
      </c>
      <c r="J95" s="136">
        <f t="shared" si="22"/>
        <v>2.25</v>
      </c>
      <c r="K95" s="136">
        <f t="shared" si="22"/>
        <v>2.25</v>
      </c>
      <c r="L95" s="136">
        <f t="shared" si="22"/>
        <v>2.25</v>
      </c>
      <c r="M95" s="136">
        <f t="shared" si="22"/>
        <v>2.25</v>
      </c>
      <c r="N95" s="136">
        <f t="shared" si="22"/>
        <v>2.25</v>
      </c>
      <c r="O95" s="136">
        <f t="shared" si="22"/>
        <v>2.25</v>
      </c>
      <c r="P95" s="136">
        <f t="shared" si="22"/>
        <v>2.25</v>
      </c>
      <c r="Q95" s="136">
        <f t="shared" si="22"/>
        <v>2.25</v>
      </c>
      <c r="R95" s="136">
        <f t="shared" si="22"/>
        <v>2.25</v>
      </c>
      <c r="S95" s="136">
        <f t="shared" si="23"/>
        <v>2.25</v>
      </c>
      <c r="T95" s="136">
        <f t="shared" si="23"/>
        <v>2.25</v>
      </c>
      <c r="U95" s="136">
        <f t="shared" si="23"/>
        <v>2.25</v>
      </c>
      <c r="V95" s="136">
        <f t="shared" si="23"/>
        <v>2.25</v>
      </c>
      <c r="W95" s="136">
        <f t="shared" si="23"/>
        <v>2.25</v>
      </c>
      <c r="X95" s="136">
        <f t="shared" si="23"/>
        <v>2.25</v>
      </c>
      <c r="Y95" s="136">
        <f t="shared" si="23"/>
        <v>2.25</v>
      </c>
      <c r="Z95" s="136">
        <f t="shared" si="23"/>
        <v>2.25</v>
      </c>
      <c r="AA95" s="136">
        <f t="shared" si="23"/>
        <v>2.25</v>
      </c>
      <c r="AB95" s="136">
        <f t="shared" si="23"/>
        <v>2.25</v>
      </c>
      <c r="AC95" s="136">
        <f t="shared" si="23"/>
        <v>2.25</v>
      </c>
      <c r="AD95" s="136">
        <f t="shared" si="23"/>
        <v>2.25</v>
      </c>
      <c r="AE95" s="136">
        <f t="shared" si="23"/>
        <v>2.25</v>
      </c>
      <c r="AF95" s="136">
        <f t="shared" si="23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2"/>
        <v>1.64</v>
      </c>
      <c r="D96" s="136">
        <f t="shared" si="22"/>
        <v>1.64</v>
      </c>
      <c r="E96" s="136">
        <f t="shared" si="22"/>
        <v>1.64</v>
      </c>
      <c r="F96" s="136">
        <f t="shared" si="22"/>
        <v>1.64</v>
      </c>
      <c r="G96" s="136">
        <f t="shared" si="22"/>
        <v>1.64</v>
      </c>
      <c r="H96" s="136">
        <f t="shared" si="22"/>
        <v>1.64</v>
      </c>
      <c r="I96" s="136">
        <f t="shared" si="22"/>
        <v>1.64</v>
      </c>
      <c r="J96" s="136">
        <f t="shared" si="22"/>
        <v>1.64</v>
      </c>
      <c r="K96" s="136">
        <f t="shared" si="22"/>
        <v>1.64</v>
      </c>
      <c r="L96" s="136">
        <f t="shared" si="22"/>
        <v>1.64</v>
      </c>
      <c r="M96" s="136">
        <f t="shared" si="22"/>
        <v>1.64</v>
      </c>
      <c r="N96" s="136">
        <f t="shared" si="22"/>
        <v>1.64</v>
      </c>
      <c r="O96" s="136">
        <f t="shared" si="22"/>
        <v>1.64</v>
      </c>
      <c r="P96" s="136">
        <f t="shared" si="22"/>
        <v>1.64</v>
      </c>
      <c r="Q96" s="136">
        <f t="shared" si="22"/>
        <v>1.64</v>
      </c>
      <c r="R96" s="136">
        <f t="shared" si="22"/>
        <v>1.64</v>
      </c>
      <c r="S96" s="136">
        <f t="shared" si="23"/>
        <v>1.64</v>
      </c>
      <c r="T96" s="136">
        <f t="shared" si="23"/>
        <v>1.64</v>
      </c>
      <c r="U96" s="136">
        <f t="shared" si="23"/>
        <v>1.64</v>
      </c>
      <c r="V96" s="136">
        <f t="shared" si="23"/>
        <v>1.64</v>
      </c>
      <c r="W96" s="136">
        <f t="shared" si="23"/>
        <v>1.64</v>
      </c>
      <c r="X96" s="136">
        <f t="shared" si="23"/>
        <v>1.64</v>
      </c>
      <c r="Y96" s="136">
        <f t="shared" si="23"/>
        <v>1.64</v>
      </c>
      <c r="Z96" s="136">
        <f t="shared" si="23"/>
        <v>1.64</v>
      </c>
      <c r="AA96" s="136">
        <f t="shared" si="23"/>
        <v>1.64</v>
      </c>
      <c r="AB96" s="136">
        <f t="shared" si="23"/>
        <v>1.64</v>
      </c>
      <c r="AC96" s="136">
        <f t="shared" si="23"/>
        <v>1.64</v>
      </c>
      <c r="AD96" s="136">
        <f t="shared" si="23"/>
        <v>1.64</v>
      </c>
      <c r="AE96" s="136">
        <f t="shared" si="23"/>
        <v>1.64</v>
      </c>
      <c r="AF96" s="136">
        <f t="shared" si="23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2"/>
        <v>1.62</v>
      </c>
      <c r="D97" s="136">
        <f t="shared" si="22"/>
        <v>1.62</v>
      </c>
      <c r="E97" s="136">
        <f t="shared" si="22"/>
        <v>1.62</v>
      </c>
      <c r="F97" s="136">
        <f t="shared" si="22"/>
        <v>1.62</v>
      </c>
      <c r="G97" s="136">
        <f t="shared" si="22"/>
        <v>1.62</v>
      </c>
      <c r="H97" s="136">
        <f t="shared" si="22"/>
        <v>1.62</v>
      </c>
      <c r="I97" s="136">
        <f t="shared" si="22"/>
        <v>1.62</v>
      </c>
      <c r="J97" s="136">
        <f t="shared" si="22"/>
        <v>1.62</v>
      </c>
      <c r="K97" s="136">
        <f t="shared" si="22"/>
        <v>1.62</v>
      </c>
      <c r="L97" s="136">
        <f t="shared" si="22"/>
        <v>1.62</v>
      </c>
      <c r="M97" s="136">
        <f t="shared" si="22"/>
        <v>1.62</v>
      </c>
      <c r="N97" s="136">
        <f t="shared" si="22"/>
        <v>1.62</v>
      </c>
      <c r="O97" s="136">
        <f t="shared" si="22"/>
        <v>1.62</v>
      </c>
      <c r="P97" s="136">
        <f t="shared" si="22"/>
        <v>1.62</v>
      </c>
      <c r="Q97" s="136">
        <f t="shared" si="22"/>
        <v>1.62</v>
      </c>
      <c r="R97" s="136">
        <f t="shared" si="22"/>
        <v>1.62</v>
      </c>
      <c r="S97" s="136">
        <f t="shared" si="23"/>
        <v>1.62</v>
      </c>
      <c r="T97" s="136">
        <f t="shared" si="23"/>
        <v>1.62</v>
      </c>
      <c r="U97" s="136">
        <f t="shared" si="23"/>
        <v>1.62</v>
      </c>
      <c r="V97" s="136">
        <f t="shared" si="23"/>
        <v>1.62</v>
      </c>
      <c r="W97" s="136">
        <f t="shared" si="23"/>
        <v>1.62</v>
      </c>
      <c r="X97" s="136">
        <f t="shared" si="23"/>
        <v>1.62</v>
      </c>
      <c r="Y97" s="136">
        <f t="shared" si="23"/>
        <v>1.62</v>
      </c>
      <c r="Z97" s="136">
        <f t="shared" si="23"/>
        <v>1.62</v>
      </c>
      <c r="AA97" s="136">
        <f t="shared" si="23"/>
        <v>1.62</v>
      </c>
      <c r="AB97" s="136">
        <f t="shared" si="23"/>
        <v>1.62</v>
      </c>
      <c r="AC97" s="136">
        <f t="shared" si="23"/>
        <v>1.62</v>
      </c>
      <c r="AD97" s="136">
        <f t="shared" si="23"/>
        <v>1.62</v>
      </c>
      <c r="AE97" s="136">
        <f t="shared" si="23"/>
        <v>1.62</v>
      </c>
      <c r="AF97" s="136">
        <f t="shared" si="23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2"/>
        <v>8.36</v>
      </c>
      <c r="D98" s="136">
        <f t="shared" si="22"/>
        <v>8.36</v>
      </c>
      <c r="E98" s="136">
        <f t="shared" si="22"/>
        <v>8.36</v>
      </c>
      <c r="F98" s="136">
        <f t="shared" si="22"/>
        <v>8.36</v>
      </c>
      <c r="G98" s="136">
        <f t="shared" si="22"/>
        <v>8.36</v>
      </c>
      <c r="H98" s="136">
        <f t="shared" si="22"/>
        <v>8.36</v>
      </c>
      <c r="I98" s="136">
        <f t="shared" si="22"/>
        <v>8.36</v>
      </c>
      <c r="J98" s="136">
        <f t="shared" si="22"/>
        <v>8.36</v>
      </c>
      <c r="K98" s="136">
        <f t="shared" si="22"/>
        <v>8.36</v>
      </c>
      <c r="L98" s="136">
        <f t="shared" si="22"/>
        <v>8.36</v>
      </c>
      <c r="M98" s="136">
        <f t="shared" si="22"/>
        <v>8.36</v>
      </c>
      <c r="N98" s="136">
        <f t="shared" si="22"/>
        <v>8.36</v>
      </c>
      <c r="O98" s="136">
        <f t="shared" si="22"/>
        <v>8.36</v>
      </c>
      <c r="P98" s="136">
        <f t="shared" si="22"/>
        <v>8.36</v>
      </c>
      <c r="Q98" s="136">
        <f t="shared" si="22"/>
        <v>8.36</v>
      </c>
      <c r="R98" s="136">
        <f t="shared" si="22"/>
        <v>8.36</v>
      </c>
      <c r="S98" s="136">
        <f t="shared" si="23"/>
        <v>8.36</v>
      </c>
      <c r="T98" s="136">
        <f t="shared" si="23"/>
        <v>8.36</v>
      </c>
      <c r="U98" s="136">
        <f t="shared" si="23"/>
        <v>8.36</v>
      </c>
      <c r="V98" s="136">
        <f t="shared" si="23"/>
        <v>8.36</v>
      </c>
      <c r="W98" s="136">
        <f t="shared" si="23"/>
        <v>8.36</v>
      </c>
      <c r="X98" s="136">
        <f t="shared" si="23"/>
        <v>8.36</v>
      </c>
      <c r="Y98" s="136">
        <f t="shared" si="23"/>
        <v>8.36</v>
      </c>
      <c r="Z98" s="136">
        <f t="shared" si="23"/>
        <v>8.36</v>
      </c>
      <c r="AA98" s="136">
        <f t="shared" si="23"/>
        <v>8.36</v>
      </c>
      <c r="AB98" s="136">
        <f t="shared" si="23"/>
        <v>8.36</v>
      </c>
      <c r="AC98" s="136">
        <f t="shared" si="23"/>
        <v>8.36</v>
      </c>
      <c r="AD98" s="136">
        <f t="shared" si="23"/>
        <v>8.36</v>
      </c>
      <c r="AE98" s="136">
        <f t="shared" si="23"/>
        <v>8.36</v>
      </c>
      <c r="AF98" s="136">
        <f t="shared" si="23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2"/>
        <v>8</v>
      </c>
      <c r="D99" s="136">
        <f t="shared" si="22"/>
        <v>8</v>
      </c>
      <c r="E99" s="136">
        <f t="shared" si="22"/>
        <v>8</v>
      </c>
      <c r="F99" s="136">
        <f t="shared" si="22"/>
        <v>8</v>
      </c>
      <c r="G99" s="136">
        <f t="shared" si="22"/>
        <v>8</v>
      </c>
      <c r="H99" s="136">
        <f t="shared" si="22"/>
        <v>8</v>
      </c>
      <c r="I99" s="136">
        <v>5.4</v>
      </c>
      <c r="J99" s="136">
        <f t="shared" si="22"/>
        <v>5.4</v>
      </c>
      <c r="K99" s="136">
        <f t="shared" si="22"/>
        <v>5.4</v>
      </c>
      <c r="L99" s="136">
        <f t="shared" si="22"/>
        <v>5.4</v>
      </c>
      <c r="M99" s="136">
        <f t="shared" si="22"/>
        <v>5.4</v>
      </c>
      <c r="N99" s="136">
        <f t="shared" si="22"/>
        <v>5.4</v>
      </c>
      <c r="O99" s="136">
        <f t="shared" si="22"/>
        <v>5.4</v>
      </c>
      <c r="P99" s="136">
        <f t="shared" si="22"/>
        <v>5.4</v>
      </c>
      <c r="Q99" s="136">
        <f t="shared" si="22"/>
        <v>5.4</v>
      </c>
      <c r="R99" s="136">
        <f t="shared" si="22"/>
        <v>5.4</v>
      </c>
      <c r="S99" s="136">
        <f t="shared" si="23"/>
        <v>5.4</v>
      </c>
      <c r="T99" s="136">
        <f t="shared" si="23"/>
        <v>5.4</v>
      </c>
      <c r="U99" s="136">
        <f t="shared" si="23"/>
        <v>5.4</v>
      </c>
      <c r="V99" s="136">
        <f t="shared" si="23"/>
        <v>5.4</v>
      </c>
      <c r="W99" s="136">
        <f t="shared" si="23"/>
        <v>5.4</v>
      </c>
      <c r="X99" s="136">
        <f t="shared" si="23"/>
        <v>5.4</v>
      </c>
      <c r="Y99" s="136">
        <f t="shared" si="23"/>
        <v>5.4</v>
      </c>
      <c r="Z99" s="136">
        <f t="shared" si="23"/>
        <v>5.4</v>
      </c>
      <c r="AA99" s="136">
        <f t="shared" si="23"/>
        <v>5.4</v>
      </c>
      <c r="AB99" s="136">
        <f t="shared" si="23"/>
        <v>5.4</v>
      </c>
      <c r="AC99" s="136">
        <f t="shared" si="23"/>
        <v>5.4</v>
      </c>
      <c r="AD99" s="136">
        <f t="shared" si="23"/>
        <v>5.4</v>
      </c>
      <c r="AE99" s="136">
        <f t="shared" si="23"/>
        <v>5.4</v>
      </c>
      <c r="AF99" s="136">
        <f t="shared" si="23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2"/>
        <v>6.57</v>
      </c>
      <c r="D100" s="136">
        <f t="shared" si="22"/>
        <v>6.57</v>
      </c>
      <c r="E100" s="136">
        <f t="shared" si="22"/>
        <v>6.57</v>
      </c>
      <c r="F100" s="136">
        <f t="shared" si="22"/>
        <v>6.57</v>
      </c>
      <c r="G100" s="136">
        <f t="shared" si="22"/>
        <v>6.57</v>
      </c>
      <c r="H100" s="136">
        <f t="shared" si="22"/>
        <v>6.57</v>
      </c>
      <c r="I100" s="136">
        <f t="shared" si="22"/>
        <v>6.57</v>
      </c>
      <c r="J100" s="136">
        <f t="shared" si="22"/>
        <v>6.57</v>
      </c>
      <c r="K100" s="136">
        <f t="shared" si="22"/>
        <v>6.57</v>
      </c>
      <c r="L100" s="136">
        <f t="shared" si="22"/>
        <v>6.57</v>
      </c>
      <c r="M100" s="136">
        <f t="shared" si="22"/>
        <v>6.57</v>
      </c>
      <c r="N100" s="136">
        <f t="shared" si="22"/>
        <v>6.57</v>
      </c>
      <c r="O100" s="136">
        <f t="shared" si="22"/>
        <v>6.57</v>
      </c>
      <c r="P100" s="136">
        <f t="shared" si="22"/>
        <v>6.57</v>
      </c>
      <c r="Q100" s="136">
        <f t="shared" si="22"/>
        <v>6.57</v>
      </c>
      <c r="R100" s="136">
        <f t="shared" si="22"/>
        <v>6.57</v>
      </c>
      <c r="S100" s="136">
        <f t="shared" si="23"/>
        <v>6.57</v>
      </c>
      <c r="T100" s="136">
        <f t="shared" si="23"/>
        <v>6.57</v>
      </c>
      <c r="U100" s="136">
        <f t="shared" si="23"/>
        <v>6.57</v>
      </c>
      <c r="V100" s="136">
        <f t="shared" si="23"/>
        <v>6.57</v>
      </c>
      <c r="W100" s="136">
        <f t="shared" si="23"/>
        <v>6.57</v>
      </c>
      <c r="X100" s="136">
        <f t="shared" si="23"/>
        <v>6.57</v>
      </c>
      <c r="Y100" s="136">
        <f t="shared" si="23"/>
        <v>6.57</v>
      </c>
      <c r="Z100" s="136">
        <f t="shared" si="23"/>
        <v>6.57</v>
      </c>
      <c r="AA100" s="136">
        <f t="shared" si="23"/>
        <v>6.57</v>
      </c>
      <c r="AB100" s="136">
        <f t="shared" si="23"/>
        <v>6.57</v>
      </c>
      <c r="AC100" s="136">
        <f t="shared" si="23"/>
        <v>6.57</v>
      </c>
      <c r="AD100" s="136">
        <f t="shared" si="23"/>
        <v>6.57</v>
      </c>
      <c r="AE100" s="136">
        <f t="shared" si="23"/>
        <v>6.57</v>
      </c>
      <c r="AF100" s="136">
        <f t="shared" si="23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2"/>
        <v>3.43</v>
      </c>
      <c r="D101" s="136">
        <f t="shared" si="22"/>
        <v>3.43</v>
      </c>
      <c r="E101" s="136">
        <f t="shared" si="22"/>
        <v>3.43</v>
      </c>
      <c r="F101" s="136">
        <f t="shared" si="22"/>
        <v>3.43</v>
      </c>
      <c r="G101" s="136">
        <f t="shared" si="22"/>
        <v>3.43</v>
      </c>
      <c r="H101" s="136">
        <f t="shared" si="22"/>
        <v>3.43</v>
      </c>
      <c r="I101" s="136">
        <f t="shared" si="22"/>
        <v>3.43</v>
      </c>
      <c r="J101" s="136">
        <f t="shared" si="22"/>
        <v>3.43</v>
      </c>
      <c r="K101" s="136">
        <f t="shared" si="22"/>
        <v>3.43</v>
      </c>
      <c r="L101" s="136">
        <f t="shared" si="22"/>
        <v>3.43</v>
      </c>
      <c r="M101" s="136">
        <f t="shared" si="22"/>
        <v>3.43</v>
      </c>
      <c r="N101" s="136">
        <f t="shared" si="22"/>
        <v>3.43</v>
      </c>
      <c r="O101" s="136">
        <f t="shared" si="22"/>
        <v>3.43</v>
      </c>
      <c r="P101" s="136">
        <f t="shared" si="22"/>
        <v>3.43</v>
      </c>
      <c r="Q101" s="136">
        <f t="shared" si="22"/>
        <v>3.43</v>
      </c>
      <c r="R101" s="136">
        <f t="shared" si="22"/>
        <v>3.43</v>
      </c>
      <c r="S101" s="136">
        <f t="shared" si="23"/>
        <v>3.43</v>
      </c>
      <c r="T101" s="136">
        <f t="shared" si="23"/>
        <v>3.43</v>
      </c>
      <c r="U101" s="136">
        <f t="shared" si="23"/>
        <v>3.43</v>
      </c>
      <c r="V101" s="136">
        <f t="shared" si="23"/>
        <v>3.43</v>
      </c>
      <c r="W101" s="136">
        <f t="shared" si="23"/>
        <v>3.43</v>
      </c>
      <c r="X101" s="136">
        <f t="shared" si="23"/>
        <v>3.43</v>
      </c>
      <c r="Y101" s="136">
        <f t="shared" si="23"/>
        <v>3.43</v>
      </c>
      <c r="Z101" s="136">
        <f t="shared" si="23"/>
        <v>3.43</v>
      </c>
      <c r="AA101" s="136">
        <f t="shared" si="23"/>
        <v>3.43</v>
      </c>
      <c r="AB101" s="136">
        <f t="shared" si="23"/>
        <v>3.43</v>
      </c>
      <c r="AC101" s="136">
        <f t="shared" si="23"/>
        <v>3.43</v>
      </c>
      <c r="AD101" s="136">
        <f t="shared" si="23"/>
        <v>3.43</v>
      </c>
      <c r="AE101" s="136">
        <f t="shared" si="23"/>
        <v>3.43</v>
      </c>
      <c r="AF101" s="136">
        <f t="shared" si="23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2"/>
        <v>8</v>
      </c>
      <c r="D102" s="136">
        <f t="shared" si="22"/>
        <v>8</v>
      </c>
      <c r="E102" s="136">
        <f t="shared" si="22"/>
        <v>8</v>
      </c>
      <c r="F102" s="136">
        <f t="shared" si="22"/>
        <v>8</v>
      </c>
      <c r="G102" s="136">
        <f t="shared" si="22"/>
        <v>8</v>
      </c>
      <c r="H102" s="136">
        <f t="shared" si="22"/>
        <v>8</v>
      </c>
      <c r="I102" s="136">
        <f t="shared" si="22"/>
        <v>8</v>
      </c>
      <c r="J102" s="136">
        <f t="shared" si="22"/>
        <v>8</v>
      </c>
      <c r="K102" s="136">
        <f t="shared" si="22"/>
        <v>8</v>
      </c>
      <c r="L102" s="136">
        <f t="shared" si="22"/>
        <v>8</v>
      </c>
      <c r="M102" s="136">
        <f t="shared" si="22"/>
        <v>8</v>
      </c>
      <c r="N102" s="136">
        <f t="shared" si="22"/>
        <v>8</v>
      </c>
      <c r="O102" s="136">
        <f t="shared" si="22"/>
        <v>8</v>
      </c>
      <c r="P102" s="136">
        <f t="shared" si="22"/>
        <v>8</v>
      </c>
      <c r="Q102" s="136">
        <f t="shared" si="22"/>
        <v>8</v>
      </c>
      <c r="R102" s="136">
        <f t="shared" si="22"/>
        <v>8</v>
      </c>
      <c r="S102" s="136">
        <f t="shared" si="23"/>
        <v>8</v>
      </c>
      <c r="T102" s="136">
        <f t="shared" si="23"/>
        <v>8</v>
      </c>
      <c r="U102" s="136">
        <f t="shared" si="23"/>
        <v>8</v>
      </c>
      <c r="V102" s="136">
        <f t="shared" si="23"/>
        <v>8</v>
      </c>
      <c r="W102" s="136">
        <f t="shared" si="23"/>
        <v>8</v>
      </c>
      <c r="X102" s="136">
        <f t="shared" si="23"/>
        <v>8</v>
      </c>
      <c r="Y102" s="136">
        <f t="shared" si="23"/>
        <v>8</v>
      </c>
      <c r="Z102" s="136">
        <f t="shared" si="23"/>
        <v>8</v>
      </c>
      <c r="AA102" s="136">
        <f t="shared" si="23"/>
        <v>8</v>
      </c>
      <c r="AB102" s="136">
        <f t="shared" si="23"/>
        <v>8</v>
      </c>
      <c r="AC102" s="136">
        <f t="shared" si="23"/>
        <v>8</v>
      </c>
      <c r="AD102" s="136">
        <f t="shared" si="23"/>
        <v>8</v>
      </c>
      <c r="AE102" s="136">
        <f t="shared" si="23"/>
        <v>8</v>
      </c>
      <c r="AF102" s="136">
        <f t="shared" si="23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2"/>
        <v>2.96</v>
      </c>
      <c r="D103" s="136">
        <f t="shared" si="22"/>
        <v>2.96</v>
      </c>
      <c r="E103" s="136">
        <f t="shared" si="22"/>
        <v>2.96</v>
      </c>
      <c r="F103" s="136">
        <f t="shared" si="22"/>
        <v>2.96</v>
      </c>
      <c r="G103" s="136">
        <f t="shared" si="22"/>
        <v>2.96</v>
      </c>
      <c r="H103" s="136">
        <f t="shared" si="22"/>
        <v>2.96</v>
      </c>
      <c r="I103" s="136">
        <f t="shared" si="22"/>
        <v>2.96</v>
      </c>
      <c r="J103" s="136">
        <f t="shared" si="22"/>
        <v>2.96</v>
      </c>
      <c r="K103" s="136">
        <f t="shared" si="22"/>
        <v>2.96</v>
      </c>
      <c r="L103" s="136">
        <f t="shared" si="22"/>
        <v>2.96</v>
      </c>
      <c r="M103" s="136">
        <f t="shared" si="22"/>
        <v>2.96</v>
      </c>
      <c r="N103" s="136">
        <f t="shared" si="22"/>
        <v>2.96</v>
      </c>
      <c r="O103" s="136">
        <f t="shared" si="22"/>
        <v>2.96</v>
      </c>
      <c r="P103" s="136">
        <f t="shared" si="22"/>
        <v>2.96</v>
      </c>
      <c r="Q103" s="136">
        <f t="shared" si="22"/>
        <v>2.96</v>
      </c>
      <c r="R103" s="136">
        <f t="shared" si="22"/>
        <v>2.96</v>
      </c>
      <c r="S103" s="136">
        <f t="shared" si="23"/>
        <v>2.96</v>
      </c>
      <c r="T103" s="136">
        <f t="shared" si="23"/>
        <v>2.96</v>
      </c>
      <c r="U103" s="136">
        <f t="shared" si="23"/>
        <v>2.96</v>
      </c>
      <c r="V103" s="136">
        <f t="shared" si="23"/>
        <v>2.96</v>
      </c>
      <c r="W103" s="136">
        <f t="shared" si="23"/>
        <v>2.96</v>
      </c>
      <c r="X103" s="136">
        <f t="shared" si="23"/>
        <v>2.96</v>
      </c>
      <c r="Y103" s="136">
        <f t="shared" si="23"/>
        <v>2.96</v>
      </c>
      <c r="Z103" s="136">
        <f t="shared" si="23"/>
        <v>2.96</v>
      </c>
      <c r="AA103" s="136">
        <f t="shared" si="23"/>
        <v>2.96</v>
      </c>
      <c r="AB103" s="136">
        <f t="shared" si="23"/>
        <v>2.96</v>
      </c>
      <c r="AC103" s="136">
        <f t="shared" si="23"/>
        <v>2.96</v>
      </c>
      <c r="AD103" s="136">
        <f t="shared" si="23"/>
        <v>2.96</v>
      </c>
      <c r="AE103" s="136">
        <f t="shared" si="23"/>
        <v>2.96</v>
      </c>
      <c r="AF103" s="136">
        <f t="shared" si="23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2"/>
        <v>7</v>
      </c>
      <c r="E104" s="136">
        <f t="shared" si="22"/>
        <v>7</v>
      </c>
      <c r="F104" s="136">
        <f t="shared" si="22"/>
        <v>7</v>
      </c>
      <c r="G104" s="136">
        <f t="shared" si="22"/>
        <v>7</v>
      </c>
      <c r="H104" s="136">
        <f t="shared" si="22"/>
        <v>7</v>
      </c>
      <c r="I104" s="136">
        <f t="shared" si="22"/>
        <v>7</v>
      </c>
      <c r="J104" s="136">
        <f t="shared" si="22"/>
        <v>7</v>
      </c>
      <c r="K104" s="136">
        <f t="shared" si="22"/>
        <v>7</v>
      </c>
      <c r="L104" s="136">
        <f t="shared" si="22"/>
        <v>7</v>
      </c>
      <c r="M104" s="136">
        <f t="shared" si="22"/>
        <v>7</v>
      </c>
      <c r="N104" s="136">
        <f t="shared" si="22"/>
        <v>7</v>
      </c>
      <c r="O104" s="136">
        <f t="shared" si="22"/>
        <v>7</v>
      </c>
      <c r="P104" s="136">
        <f t="shared" si="22"/>
        <v>7</v>
      </c>
      <c r="Q104" s="136">
        <f t="shared" si="22"/>
        <v>7</v>
      </c>
      <c r="R104" s="136">
        <f t="shared" si="22"/>
        <v>7</v>
      </c>
      <c r="S104" s="136">
        <f t="shared" si="23"/>
        <v>7</v>
      </c>
      <c r="T104" s="136">
        <f t="shared" si="23"/>
        <v>7</v>
      </c>
      <c r="U104" s="136">
        <f t="shared" si="23"/>
        <v>7</v>
      </c>
      <c r="V104" s="136">
        <f t="shared" si="23"/>
        <v>7</v>
      </c>
      <c r="W104" s="136">
        <f t="shared" si="23"/>
        <v>7</v>
      </c>
      <c r="X104" s="136">
        <f t="shared" si="23"/>
        <v>7</v>
      </c>
      <c r="Y104" s="136">
        <f t="shared" si="23"/>
        <v>7</v>
      </c>
      <c r="Z104" s="136">
        <f t="shared" si="23"/>
        <v>7</v>
      </c>
      <c r="AA104" s="136">
        <f t="shared" si="23"/>
        <v>7</v>
      </c>
      <c r="AB104" s="136">
        <f t="shared" si="23"/>
        <v>7</v>
      </c>
      <c r="AC104" s="136">
        <f t="shared" si="23"/>
        <v>7</v>
      </c>
      <c r="AD104" s="136">
        <f t="shared" si="23"/>
        <v>7</v>
      </c>
      <c r="AE104" s="136">
        <f t="shared" si="23"/>
        <v>7</v>
      </c>
      <c r="AF104" s="136">
        <f t="shared" si="23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4">B105</f>
        <v>3.47</v>
      </c>
      <c r="D105" s="136">
        <f t="shared" si="24"/>
        <v>3.47</v>
      </c>
      <c r="E105" s="136">
        <f t="shared" si="24"/>
        <v>3.47</v>
      </c>
      <c r="F105" s="136">
        <f t="shared" si="24"/>
        <v>3.47</v>
      </c>
      <c r="G105" s="136">
        <f t="shared" si="24"/>
        <v>3.47</v>
      </c>
      <c r="H105" s="136">
        <f t="shared" si="24"/>
        <v>3.47</v>
      </c>
      <c r="I105" s="136">
        <f t="shared" si="24"/>
        <v>3.47</v>
      </c>
      <c r="J105" s="136">
        <f t="shared" si="24"/>
        <v>3.47</v>
      </c>
      <c r="K105" s="136">
        <f t="shared" si="24"/>
        <v>3.47</v>
      </c>
      <c r="L105" s="136">
        <f t="shared" si="24"/>
        <v>3.47</v>
      </c>
      <c r="M105" s="136">
        <f t="shared" si="24"/>
        <v>3.47</v>
      </c>
      <c r="N105" s="136">
        <f t="shared" si="24"/>
        <v>3.47</v>
      </c>
      <c r="O105" s="136">
        <f t="shared" si="24"/>
        <v>3.47</v>
      </c>
      <c r="P105" s="136">
        <f t="shared" si="24"/>
        <v>3.47</v>
      </c>
      <c r="Q105" s="136">
        <f t="shared" si="24"/>
        <v>3.47</v>
      </c>
      <c r="R105" s="136">
        <f t="shared" si="24"/>
        <v>3.47</v>
      </c>
      <c r="S105" s="136">
        <f t="shared" ref="S105:AF123" si="25">R105</f>
        <v>3.47</v>
      </c>
      <c r="T105" s="136">
        <f t="shared" si="25"/>
        <v>3.47</v>
      </c>
      <c r="U105" s="136">
        <f t="shared" si="25"/>
        <v>3.47</v>
      </c>
      <c r="V105" s="136">
        <f t="shared" si="25"/>
        <v>3.47</v>
      </c>
      <c r="W105" s="136">
        <f t="shared" si="25"/>
        <v>3.47</v>
      </c>
      <c r="X105" s="136">
        <f t="shared" si="25"/>
        <v>3.47</v>
      </c>
      <c r="Y105" s="136">
        <f t="shared" si="25"/>
        <v>3.47</v>
      </c>
      <c r="Z105" s="136">
        <f t="shared" si="25"/>
        <v>3.47</v>
      </c>
      <c r="AA105" s="136">
        <f t="shared" si="25"/>
        <v>3.47</v>
      </c>
      <c r="AB105" s="136">
        <f t="shared" si="25"/>
        <v>3.47</v>
      </c>
      <c r="AC105" s="136">
        <f t="shared" si="25"/>
        <v>3.47</v>
      </c>
      <c r="AD105" s="136">
        <f t="shared" si="25"/>
        <v>3.47</v>
      </c>
      <c r="AE105" s="136">
        <f t="shared" si="25"/>
        <v>3.47</v>
      </c>
      <c r="AF105" s="136">
        <f t="shared" si="25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4"/>
        <v>2.1</v>
      </c>
      <c r="D106" s="136">
        <f t="shared" si="24"/>
        <v>2.1</v>
      </c>
      <c r="E106" s="136">
        <f t="shared" si="24"/>
        <v>2.1</v>
      </c>
      <c r="F106" s="136">
        <f t="shared" si="24"/>
        <v>2.1</v>
      </c>
      <c r="G106" s="136">
        <f t="shared" si="24"/>
        <v>2.1</v>
      </c>
      <c r="H106" s="136">
        <f t="shared" si="24"/>
        <v>2.1</v>
      </c>
      <c r="I106" s="136">
        <f t="shared" si="24"/>
        <v>2.1</v>
      </c>
      <c r="J106" s="136">
        <f t="shared" si="24"/>
        <v>2.1</v>
      </c>
      <c r="K106" s="136">
        <f t="shared" si="24"/>
        <v>2.1</v>
      </c>
      <c r="L106" s="136">
        <f t="shared" si="24"/>
        <v>2.1</v>
      </c>
      <c r="M106" s="136">
        <f t="shared" si="24"/>
        <v>2.1</v>
      </c>
      <c r="N106" s="136">
        <f t="shared" si="24"/>
        <v>2.1</v>
      </c>
      <c r="O106" s="136">
        <f t="shared" si="24"/>
        <v>2.1</v>
      </c>
      <c r="P106" s="136">
        <f t="shared" si="24"/>
        <v>2.1</v>
      </c>
      <c r="Q106" s="136">
        <f t="shared" si="24"/>
        <v>2.1</v>
      </c>
      <c r="R106" s="136">
        <f t="shared" si="24"/>
        <v>2.1</v>
      </c>
      <c r="S106" s="136">
        <f t="shared" si="25"/>
        <v>2.1</v>
      </c>
      <c r="T106" s="136">
        <f t="shared" si="25"/>
        <v>2.1</v>
      </c>
      <c r="U106" s="136">
        <f t="shared" si="25"/>
        <v>2.1</v>
      </c>
      <c r="V106" s="136">
        <f t="shared" si="25"/>
        <v>2.1</v>
      </c>
      <c r="W106" s="136">
        <f t="shared" si="25"/>
        <v>2.1</v>
      </c>
      <c r="X106" s="136">
        <f t="shared" si="25"/>
        <v>2.1</v>
      </c>
      <c r="Y106" s="136">
        <f t="shared" si="25"/>
        <v>2.1</v>
      </c>
      <c r="Z106" s="136">
        <f t="shared" si="25"/>
        <v>2.1</v>
      </c>
      <c r="AA106" s="136">
        <f t="shared" si="25"/>
        <v>2.1</v>
      </c>
      <c r="AB106" s="136">
        <f t="shared" si="25"/>
        <v>2.1</v>
      </c>
      <c r="AC106" s="136">
        <f t="shared" si="25"/>
        <v>2.1</v>
      </c>
      <c r="AD106" s="136">
        <f t="shared" si="25"/>
        <v>2.1</v>
      </c>
      <c r="AE106" s="136">
        <f t="shared" si="25"/>
        <v>2.1</v>
      </c>
      <c r="AF106" s="136">
        <f t="shared" si="25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4"/>
        <v>9.3000000000000007</v>
      </c>
      <c r="D107" s="136">
        <f t="shared" si="24"/>
        <v>9.3000000000000007</v>
      </c>
      <c r="E107" s="136">
        <f t="shared" si="24"/>
        <v>9.3000000000000007</v>
      </c>
      <c r="F107" s="136">
        <f t="shared" si="24"/>
        <v>9.3000000000000007</v>
      </c>
      <c r="G107" s="136">
        <f t="shared" si="24"/>
        <v>9.3000000000000007</v>
      </c>
      <c r="H107" s="136">
        <f t="shared" si="24"/>
        <v>9.3000000000000007</v>
      </c>
      <c r="I107" s="136">
        <f t="shared" si="24"/>
        <v>9.3000000000000007</v>
      </c>
      <c r="J107" s="136">
        <f t="shared" si="24"/>
        <v>9.3000000000000007</v>
      </c>
      <c r="K107" s="136">
        <f t="shared" si="24"/>
        <v>9.3000000000000007</v>
      </c>
      <c r="L107" s="136">
        <f t="shared" si="24"/>
        <v>9.3000000000000007</v>
      </c>
      <c r="M107" s="136">
        <f t="shared" si="24"/>
        <v>9.3000000000000007</v>
      </c>
      <c r="N107" s="136">
        <f t="shared" si="24"/>
        <v>9.3000000000000007</v>
      </c>
      <c r="O107" s="136">
        <f t="shared" si="24"/>
        <v>9.3000000000000007</v>
      </c>
      <c r="P107" s="136">
        <f t="shared" si="24"/>
        <v>9.3000000000000007</v>
      </c>
      <c r="Q107" s="136">
        <f t="shared" si="24"/>
        <v>9.3000000000000007</v>
      </c>
      <c r="R107" s="136">
        <f t="shared" si="24"/>
        <v>9.3000000000000007</v>
      </c>
      <c r="S107" s="136">
        <f t="shared" si="25"/>
        <v>9.3000000000000007</v>
      </c>
      <c r="T107" s="136">
        <f t="shared" si="25"/>
        <v>9.3000000000000007</v>
      </c>
      <c r="U107" s="136">
        <f t="shared" si="25"/>
        <v>9.3000000000000007</v>
      </c>
      <c r="V107" s="136">
        <f t="shared" si="25"/>
        <v>9.3000000000000007</v>
      </c>
      <c r="W107" s="136">
        <f t="shared" si="25"/>
        <v>9.3000000000000007</v>
      </c>
      <c r="X107" s="136">
        <f t="shared" si="25"/>
        <v>9.3000000000000007</v>
      </c>
      <c r="Y107" s="136">
        <f t="shared" si="25"/>
        <v>9.3000000000000007</v>
      </c>
      <c r="Z107" s="136">
        <f t="shared" si="25"/>
        <v>9.3000000000000007</v>
      </c>
      <c r="AA107" s="136">
        <f t="shared" si="25"/>
        <v>9.3000000000000007</v>
      </c>
      <c r="AB107" s="136">
        <f t="shared" si="25"/>
        <v>9.3000000000000007</v>
      </c>
      <c r="AC107" s="136">
        <f t="shared" si="25"/>
        <v>9.3000000000000007</v>
      </c>
      <c r="AD107" s="136">
        <f t="shared" si="25"/>
        <v>9.3000000000000007</v>
      </c>
      <c r="AE107" s="136">
        <f t="shared" si="25"/>
        <v>9.3000000000000007</v>
      </c>
      <c r="AF107" s="136">
        <f t="shared" si="25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4"/>
        <v>0</v>
      </c>
      <c r="D108" s="136">
        <f t="shared" si="24"/>
        <v>0</v>
      </c>
      <c r="E108" s="136">
        <f t="shared" si="24"/>
        <v>0</v>
      </c>
      <c r="F108" s="136">
        <f t="shared" si="24"/>
        <v>0</v>
      </c>
      <c r="G108" s="136">
        <f t="shared" si="24"/>
        <v>0</v>
      </c>
      <c r="H108" s="136">
        <f t="shared" si="24"/>
        <v>0</v>
      </c>
      <c r="I108" s="136">
        <f t="shared" si="24"/>
        <v>0</v>
      </c>
      <c r="J108" s="136">
        <f t="shared" si="24"/>
        <v>0</v>
      </c>
      <c r="K108" s="136">
        <f t="shared" si="24"/>
        <v>0</v>
      </c>
      <c r="L108" s="136">
        <f t="shared" si="24"/>
        <v>0</v>
      </c>
      <c r="M108" s="136">
        <f t="shared" si="24"/>
        <v>0</v>
      </c>
      <c r="N108" s="136">
        <f t="shared" si="24"/>
        <v>0</v>
      </c>
      <c r="O108" s="136">
        <f t="shared" si="24"/>
        <v>0</v>
      </c>
      <c r="P108" s="136">
        <f t="shared" si="24"/>
        <v>0</v>
      </c>
      <c r="Q108" s="136">
        <f t="shared" si="24"/>
        <v>0</v>
      </c>
      <c r="R108" s="136">
        <f t="shared" si="24"/>
        <v>0</v>
      </c>
      <c r="S108" s="136">
        <f t="shared" si="25"/>
        <v>0</v>
      </c>
      <c r="T108" s="136">
        <f t="shared" si="25"/>
        <v>0</v>
      </c>
      <c r="U108" s="136">
        <f t="shared" si="25"/>
        <v>0</v>
      </c>
      <c r="V108" s="136">
        <f t="shared" si="25"/>
        <v>0</v>
      </c>
      <c r="W108" s="136">
        <f t="shared" si="25"/>
        <v>0</v>
      </c>
      <c r="X108" s="136">
        <f t="shared" si="25"/>
        <v>0</v>
      </c>
      <c r="Y108" s="136">
        <f t="shared" si="25"/>
        <v>0</v>
      </c>
      <c r="Z108" s="136">
        <f t="shared" si="25"/>
        <v>0</v>
      </c>
      <c r="AA108" s="136">
        <f t="shared" si="25"/>
        <v>0</v>
      </c>
      <c r="AB108" s="136">
        <f t="shared" si="25"/>
        <v>0</v>
      </c>
      <c r="AC108" s="136">
        <f t="shared" si="25"/>
        <v>0</v>
      </c>
      <c r="AD108" s="136">
        <f t="shared" si="25"/>
        <v>0</v>
      </c>
      <c r="AE108" s="136">
        <f t="shared" si="25"/>
        <v>0</v>
      </c>
      <c r="AF108" s="136">
        <f t="shared" si="25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4"/>
        <v>0</v>
      </c>
      <c r="D109" s="136">
        <f t="shared" si="24"/>
        <v>0</v>
      </c>
      <c r="E109" s="136">
        <f t="shared" si="24"/>
        <v>0</v>
      </c>
      <c r="F109" s="136">
        <f t="shared" si="24"/>
        <v>0</v>
      </c>
      <c r="G109" s="136">
        <f t="shared" si="24"/>
        <v>0</v>
      </c>
      <c r="H109" s="136">
        <f t="shared" si="24"/>
        <v>0</v>
      </c>
      <c r="I109" s="136">
        <f t="shared" si="24"/>
        <v>0</v>
      </c>
      <c r="J109" s="136">
        <f t="shared" si="24"/>
        <v>0</v>
      </c>
      <c r="K109" s="136">
        <f t="shared" si="24"/>
        <v>0</v>
      </c>
      <c r="L109" s="136">
        <f t="shared" si="24"/>
        <v>0</v>
      </c>
      <c r="M109" s="136">
        <f t="shared" si="24"/>
        <v>0</v>
      </c>
      <c r="N109" s="136">
        <f t="shared" si="24"/>
        <v>0</v>
      </c>
      <c r="O109" s="136">
        <f t="shared" si="24"/>
        <v>0</v>
      </c>
      <c r="P109" s="136">
        <f t="shared" si="24"/>
        <v>0</v>
      </c>
      <c r="Q109" s="136">
        <f t="shared" si="24"/>
        <v>0</v>
      </c>
      <c r="R109" s="136">
        <f t="shared" si="24"/>
        <v>0</v>
      </c>
      <c r="S109" s="136">
        <f t="shared" si="25"/>
        <v>0</v>
      </c>
      <c r="T109" s="136">
        <f t="shared" si="25"/>
        <v>0</v>
      </c>
      <c r="U109" s="136">
        <f t="shared" si="25"/>
        <v>0</v>
      </c>
      <c r="V109" s="136">
        <f t="shared" si="25"/>
        <v>0</v>
      </c>
      <c r="W109" s="136">
        <f t="shared" si="25"/>
        <v>0</v>
      </c>
      <c r="X109" s="136">
        <f t="shared" si="25"/>
        <v>0</v>
      </c>
      <c r="Y109" s="136">
        <f t="shared" si="25"/>
        <v>0</v>
      </c>
      <c r="Z109" s="136">
        <f t="shared" si="25"/>
        <v>0</v>
      </c>
      <c r="AA109" s="136">
        <f t="shared" si="25"/>
        <v>0</v>
      </c>
      <c r="AB109" s="136">
        <f t="shared" si="25"/>
        <v>0</v>
      </c>
      <c r="AC109" s="136">
        <f t="shared" si="25"/>
        <v>0</v>
      </c>
      <c r="AD109" s="136">
        <f t="shared" si="25"/>
        <v>0</v>
      </c>
      <c r="AE109" s="136">
        <f t="shared" si="25"/>
        <v>0</v>
      </c>
      <c r="AF109" s="136">
        <f t="shared" si="25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4"/>
        <v>5</v>
      </c>
      <c r="D110" s="136">
        <f t="shared" si="24"/>
        <v>5</v>
      </c>
      <c r="E110" s="136">
        <f t="shared" si="24"/>
        <v>5</v>
      </c>
      <c r="F110" s="136">
        <f t="shared" si="24"/>
        <v>5</v>
      </c>
      <c r="G110" s="136">
        <f t="shared" si="24"/>
        <v>5</v>
      </c>
      <c r="H110" s="136">
        <f t="shared" si="24"/>
        <v>5</v>
      </c>
      <c r="I110" s="136">
        <f t="shared" si="24"/>
        <v>5</v>
      </c>
      <c r="J110" s="136">
        <f t="shared" si="24"/>
        <v>5</v>
      </c>
      <c r="K110" s="136">
        <f t="shared" si="24"/>
        <v>5</v>
      </c>
      <c r="L110" s="136">
        <f t="shared" si="24"/>
        <v>5</v>
      </c>
      <c r="M110" s="136">
        <f t="shared" si="24"/>
        <v>5</v>
      </c>
      <c r="N110" s="136">
        <f t="shared" si="24"/>
        <v>5</v>
      </c>
      <c r="O110" s="136">
        <f t="shared" si="24"/>
        <v>5</v>
      </c>
      <c r="P110" s="136">
        <f t="shared" si="24"/>
        <v>5</v>
      </c>
      <c r="Q110" s="136">
        <f t="shared" si="24"/>
        <v>5</v>
      </c>
      <c r="R110" s="136">
        <f t="shared" si="24"/>
        <v>5</v>
      </c>
      <c r="S110" s="136">
        <f t="shared" si="25"/>
        <v>5</v>
      </c>
      <c r="T110" s="136">
        <f t="shared" si="25"/>
        <v>5</v>
      </c>
      <c r="U110" s="136">
        <f t="shared" si="25"/>
        <v>5</v>
      </c>
      <c r="V110" s="136">
        <f t="shared" si="25"/>
        <v>5</v>
      </c>
      <c r="W110" s="136">
        <f t="shared" si="25"/>
        <v>5</v>
      </c>
      <c r="X110" s="136">
        <f t="shared" si="25"/>
        <v>5</v>
      </c>
      <c r="Y110" s="136">
        <f t="shared" si="25"/>
        <v>5</v>
      </c>
      <c r="Z110" s="136">
        <f t="shared" si="25"/>
        <v>5</v>
      </c>
      <c r="AA110" s="136">
        <f t="shared" si="25"/>
        <v>5</v>
      </c>
      <c r="AB110" s="136">
        <f t="shared" si="25"/>
        <v>5</v>
      </c>
      <c r="AC110" s="136">
        <f t="shared" si="25"/>
        <v>5</v>
      </c>
      <c r="AD110" s="136">
        <f t="shared" si="25"/>
        <v>5</v>
      </c>
      <c r="AE110" s="136">
        <f t="shared" si="25"/>
        <v>5</v>
      </c>
      <c r="AF110" s="136">
        <f t="shared" si="25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4"/>
        <v>1</v>
      </c>
      <c r="D111" s="136">
        <f t="shared" si="24"/>
        <v>1</v>
      </c>
      <c r="E111" s="136">
        <f t="shared" si="24"/>
        <v>1</v>
      </c>
      <c r="F111" s="136">
        <f t="shared" si="24"/>
        <v>1</v>
      </c>
      <c r="G111" s="136">
        <f t="shared" si="24"/>
        <v>1</v>
      </c>
      <c r="H111" s="136">
        <f t="shared" si="24"/>
        <v>1</v>
      </c>
      <c r="I111" s="136">
        <f t="shared" si="24"/>
        <v>1</v>
      </c>
      <c r="J111" s="136">
        <f t="shared" si="24"/>
        <v>1</v>
      </c>
      <c r="K111" s="136">
        <f t="shared" si="24"/>
        <v>1</v>
      </c>
      <c r="L111" s="136">
        <f t="shared" si="24"/>
        <v>1</v>
      </c>
      <c r="M111" s="136">
        <f t="shared" si="24"/>
        <v>1</v>
      </c>
      <c r="N111" s="136">
        <f t="shared" si="24"/>
        <v>1</v>
      </c>
      <c r="O111" s="136">
        <f t="shared" si="24"/>
        <v>1</v>
      </c>
      <c r="P111" s="136">
        <f t="shared" si="24"/>
        <v>1</v>
      </c>
      <c r="Q111" s="136">
        <f t="shared" si="24"/>
        <v>1</v>
      </c>
      <c r="R111" s="136">
        <f t="shared" si="24"/>
        <v>1</v>
      </c>
      <c r="S111" s="136">
        <f t="shared" si="25"/>
        <v>1</v>
      </c>
      <c r="T111" s="136">
        <f t="shared" si="25"/>
        <v>1</v>
      </c>
      <c r="U111" s="136">
        <f t="shared" si="25"/>
        <v>1</v>
      </c>
      <c r="V111" s="136">
        <f t="shared" si="25"/>
        <v>1</v>
      </c>
      <c r="W111" s="136">
        <f t="shared" si="25"/>
        <v>1</v>
      </c>
      <c r="X111" s="136">
        <f t="shared" si="25"/>
        <v>1</v>
      </c>
      <c r="Y111" s="136">
        <f t="shared" si="25"/>
        <v>1</v>
      </c>
      <c r="Z111" s="136">
        <f t="shared" si="25"/>
        <v>1</v>
      </c>
      <c r="AA111" s="136">
        <f t="shared" si="25"/>
        <v>1</v>
      </c>
      <c r="AB111" s="136">
        <f t="shared" si="25"/>
        <v>1</v>
      </c>
      <c r="AC111" s="136">
        <f t="shared" si="25"/>
        <v>1</v>
      </c>
      <c r="AD111" s="136">
        <f t="shared" si="25"/>
        <v>1</v>
      </c>
      <c r="AE111" s="136">
        <f t="shared" si="25"/>
        <v>1</v>
      </c>
      <c r="AF111" s="136">
        <f t="shared" si="25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4"/>
        <v>1.58</v>
      </c>
      <c r="D112" s="136">
        <f t="shared" si="24"/>
        <v>1.58</v>
      </c>
      <c r="E112" s="136">
        <f t="shared" si="24"/>
        <v>1.58</v>
      </c>
      <c r="F112" s="136">
        <f t="shared" si="24"/>
        <v>1.58</v>
      </c>
      <c r="G112" s="136">
        <f t="shared" si="24"/>
        <v>1.58</v>
      </c>
      <c r="H112" s="136">
        <f t="shared" si="24"/>
        <v>1.58</v>
      </c>
      <c r="I112" s="136">
        <f t="shared" si="24"/>
        <v>1.58</v>
      </c>
      <c r="J112" s="136">
        <f t="shared" si="24"/>
        <v>1.58</v>
      </c>
      <c r="K112" s="136">
        <f t="shared" si="24"/>
        <v>1.58</v>
      </c>
      <c r="L112" s="136">
        <f t="shared" si="24"/>
        <v>1.58</v>
      </c>
      <c r="M112" s="136">
        <f t="shared" si="24"/>
        <v>1.58</v>
      </c>
      <c r="N112" s="136">
        <f t="shared" si="24"/>
        <v>1.58</v>
      </c>
      <c r="O112" s="136">
        <f t="shared" si="24"/>
        <v>1.58</v>
      </c>
      <c r="P112" s="136">
        <f t="shared" si="24"/>
        <v>1.58</v>
      </c>
      <c r="Q112" s="136">
        <f t="shared" si="24"/>
        <v>1.58</v>
      </c>
      <c r="R112" s="136">
        <f t="shared" si="24"/>
        <v>1.58</v>
      </c>
      <c r="S112" s="136">
        <f t="shared" si="25"/>
        <v>1.58</v>
      </c>
      <c r="T112" s="136">
        <f t="shared" si="25"/>
        <v>1.58</v>
      </c>
      <c r="U112" s="136">
        <f t="shared" si="25"/>
        <v>1.58</v>
      </c>
      <c r="V112" s="136">
        <f t="shared" si="25"/>
        <v>1.58</v>
      </c>
      <c r="W112" s="136">
        <f t="shared" si="25"/>
        <v>1.58</v>
      </c>
      <c r="X112" s="136">
        <f t="shared" si="25"/>
        <v>1.58</v>
      </c>
      <c r="Y112" s="136">
        <f t="shared" si="25"/>
        <v>1.58</v>
      </c>
      <c r="Z112" s="136">
        <f t="shared" si="25"/>
        <v>1.58</v>
      </c>
      <c r="AA112" s="136">
        <f t="shared" si="25"/>
        <v>1.58</v>
      </c>
      <c r="AB112" s="136">
        <f t="shared" si="25"/>
        <v>1.58</v>
      </c>
      <c r="AC112" s="136">
        <f t="shared" si="25"/>
        <v>1.58</v>
      </c>
      <c r="AD112" s="136">
        <f t="shared" si="25"/>
        <v>1.58</v>
      </c>
      <c r="AE112" s="136">
        <f t="shared" si="25"/>
        <v>1.58</v>
      </c>
      <c r="AF112" s="136">
        <f t="shared" si="25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4"/>
        <v>1.46</v>
      </c>
      <c r="D113" s="136">
        <f t="shared" si="24"/>
        <v>1.46</v>
      </c>
      <c r="E113" s="136">
        <f t="shared" si="24"/>
        <v>1.46</v>
      </c>
      <c r="F113" s="136">
        <f t="shared" si="24"/>
        <v>1.46</v>
      </c>
      <c r="G113" s="136">
        <f t="shared" si="24"/>
        <v>1.46</v>
      </c>
      <c r="H113" s="136">
        <f t="shared" si="24"/>
        <v>1.46</v>
      </c>
      <c r="I113" s="136">
        <f t="shared" si="24"/>
        <v>1.46</v>
      </c>
      <c r="J113" s="136">
        <f t="shared" si="24"/>
        <v>1.46</v>
      </c>
      <c r="K113" s="136">
        <f t="shared" si="24"/>
        <v>1.46</v>
      </c>
      <c r="L113" s="136">
        <f t="shared" si="24"/>
        <v>1.46</v>
      </c>
      <c r="M113" s="136">
        <f t="shared" si="24"/>
        <v>1.46</v>
      </c>
      <c r="N113" s="136">
        <f t="shared" si="24"/>
        <v>1.46</v>
      </c>
      <c r="O113" s="136">
        <f t="shared" si="24"/>
        <v>1.46</v>
      </c>
      <c r="P113" s="136">
        <f t="shared" si="24"/>
        <v>1.46</v>
      </c>
      <c r="Q113" s="136">
        <f t="shared" si="24"/>
        <v>1.46</v>
      </c>
      <c r="R113" s="136">
        <f t="shared" si="24"/>
        <v>1.46</v>
      </c>
      <c r="S113" s="136">
        <f t="shared" si="25"/>
        <v>1.46</v>
      </c>
      <c r="T113" s="136">
        <f t="shared" si="25"/>
        <v>1.46</v>
      </c>
      <c r="U113" s="136">
        <f t="shared" si="25"/>
        <v>1.46</v>
      </c>
      <c r="V113" s="136">
        <f t="shared" si="25"/>
        <v>1.46</v>
      </c>
      <c r="W113" s="136">
        <f t="shared" si="25"/>
        <v>1.46</v>
      </c>
      <c r="X113" s="136">
        <f t="shared" si="25"/>
        <v>1.46</v>
      </c>
      <c r="Y113" s="136">
        <f t="shared" si="25"/>
        <v>1.46</v>
      </c>
      <c r="Z113" s="136">
        <f t="shared" si="25"/>
        <v>1.46</v>
      </c>
      <c r="AA113" s="136">
        <f t="shared" si="25"/>
        <v>1.46</v>
      </c>
      <c r="AB113" s="136">
        <f t="shared" si="25"/>
        <v>1.46</v>
      </c>
      <c r="AC113" s="136">
        <f t="shared" si="25"/>
        <v>1.46</v>
      </c>
      <c r="AD113" s="136">
        <f t="shared" si="25"/>
        <v>1.46</v>
      </c>
      <c r="AE113" s="136">
        <f t="shared" si="25"/>
        <v>1.46</v>
      </c>
      <c r="AF113" s="136">
        <f t="shared" si="25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4"/>
        <v>1.48</v>
      </c>
      <c r="D114" s="136">
        <f t="shared" si="24"/>
        <v>1.48</v>
      </c>
      <c r="E114" s="136">
        <f t="shared" si="24"/>
        <v>1.48</v>
      </c>
      <c r="F114" s="136">
        <f t="shared" si="24"/>
        <v>1.48</v>
      </c>
      <c r="G114" s="136">
        <f t="shared" si="24"/>
        <v>1.48</v>
      </c>
      <c r="H114" s="136">
        <f t="shared" si="24"/>
        <v>1.48</v>
      </c>
      <c r="I114" s="136">
        <f t="shared" si="24"/>
        <v>1.48</v>
      </c>
      <c r="J114" s="136">
        <f t="shared" si="24"/>
        <v>1.48</v>
      </c>
      <c r="K114" s="136">
        <f t="shared" si="24"/>
        <v>1.48</v>
      </c>
      <c r="L114" s="136">
        <f t="shared" si="24"/>
        <v>1.48</v>
      </c>
      <c r="M114" s="136">
        <f t="shared" si="24"/>
        <v>1.48</v>
      </c>
      <c r="N114" s="136">
        <f t="shared" si="24"/>
        <v>1.48</v>
      </c>
      <c r="O114" s="136">
        <f t="shared" si="24"/>
        <v>1.48</v>
      </c>
      <c r="P114" s="136">
        <f t="shared" si="24"/>
        <v>1.48</v>
      </c>
      <c r="Q114" s="136">
        <f t="shared" si="24"/>
        <v>1.48</v>
      </c>
      <c r="R114" s="136">
        <f t="shared" si="24"/>
        <v>1.48</v>
      </c>
      <c r="S114" s="136">
        <f t="shared" si="25"/>
        <v>1.48</v>
      </c>
      <c r="T114" s="136">
        <f t="shared" si="25"/>
        <v>1.48</v>
      </c>
      <c r="U114" s="136">
        <f t="shared" si="25"/>
        <v>1.48</v>
      </c>
      <c r="V114" s="136">
        <f t="shared" si="25"/>
        <v>1.48</v>
      </c>
      <c r="W114" s="136">
        <f t="shared" si="25"/>
        <v>1.48</v>
      </c>
      <c r="X114" s="136">
        <f t="shared" si="25"/>
        <v>1.48</v>
      </c>
      <c r="Y114" s="136">
        <f t="shared" si="25"/>
        <v>1.48</v>
      </c>
      <c r="Z114" s="136">
        <f t="shared" si="25"/>
        <v>1.48</v>
      </c>
      <c r="AA114" s="136">
        <f t="shared" si="25"/>
        <v>1.48</v>
      </c>
      <c r="AB114" s="136">
        <f t="shared" si="25"/>
        <v>1.48</v>
      </c>
      <c r="AC114" s="136">
        <f t="shared" si="25"/>
        <v>1.48</v>
      </c>
      <c r="AD114" s="136">
        <f t="shared" si="25"/>
        <v>1.48</v>
      </c>
      <c r="AE114" s="136">
        <f t="shared" si="25"/>
        <v>1.48</v>
      </c>
      <c r="AF114" s="136">
        <f t="shared" si="25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4"/>
        <v>2.2000000000000002</v>
      </c>
      <c r="D115" s="136">
        <f t="shared" si="24"/>
        <v>2.2000000000000002</v>
      </c>
      <c r="E115" s="136">
        <f t="shared" si="24"/>
        <v>2.2000000000000002</v>
      </c>
      <c r="F115" s="136">
        <f t="shared" si="24"/>
        <v>2.2000000000000002</v>
      </c>
      <c r="G115" s="136">
        <f t="shared" si="24"/>
        <v>2.2000000000000002</v>
      </c>
      <c r="H115" s="136">
        <f t="shared" si="24"/>
        <v>2.2000000000000002</v>
      </c>
      <c r="I115" s="136">
        <f t="shared" si="24"/>
        <v>2.2000000000000002</v>
      </c>
      <c r="J115" s="136">
        <f t="shared" si="24"/>
        <v>2.2000000000000002</v>
      </c>
      <c r="K115" s="136">
        <f t="shared" si="24"/>
        <v>2.2000000000000002</v>
      </c>
      <c r="L115" s="136">
        <f t="shared" si="24"/>
        <v>2.2000000000000002</v>
      </c>
      <c r="M115" s="136">
        <f t="shared" si="24"/>
        <v>2.2000000000000002</v>
      </c>
      <c r="N115" s="136">
        <f t="shared" si="24"/>
        <v>2.2000000000000002</v>
      </c>
      <c r="O115" s="136">
        <f t="shared" si="24"/>
        <v>2.2000000000000002</v>
      </c>
      <c r="P115" s="136">
        <f t="shared" si="24"/>
        <v>2.2000000000000002</v>
      </c>
      <c r="Q115" s="136">
        <f t="shared" si="24"/>
        <v>2.2000000000000002</v>
      </c>
      <c r="R115" s="136">
        <f t="shared" si="24"/>
        <v>2.2000000000000002</v>
      </c>
      <c r="S115" s="136">
        <f t="shared" si="25"/>
        <v>2.2000000000000002</v>
      </c>
      <c r="T115" s="136">
        <f t="shared" si="25"/>
        <v>2.2000000000000002</v>
      </c>
      <c r="U115" s="136">
        <f t="shared" si="25"/>
        <v>2.2000000000000002</v>
      </c>
      <c r="V115" s="136">
        <f t="shared" si="25"/>
        <v>2.2000000000000002</v>
      </c>
      <c r="W115" s="136">
        <f t="shared" si="25"/>
        <v>2.2000000000000002</v>
      </c>
      <c r="X115" s="136">
        <f t="shared" si="25"/>
        <v>2.2000000000000002</v>
      </c>
      <c r="Y115" s="136">
        <f t="shared" si="25"/>
        <v>2.2000000000000002</v>
      </c>
      <c r="Z115" s="136">
        <f t="shared" si="25"/>
        <v>2.2000000000000002</v>
      </c>
      <c r="AA115" s="136">
        <f t="shared" si="25"/>
        <v>2.2000000000000002</v>
      </c>
      <c r="AB115" s="136">
        <f t="shared" si="25"/>
        <v>2.2000000000000002</v>
      </c>
      <c r="AC115" s="136">
        <f t="shared" si="25"/>
        <v>2.2000000000000002</v>
      </c>
      <c r="AD115" s="136">
        <f t="shared" si="25"/>
        <v>2.2000000000000002</v>
      </c>
      <c r="AE115" s="136">
        <f t="shared" si="25"/>
        <v>2.2000000000000002</v>
      </c>
      <c r="AF115" s="136">
        <f t="shared" si="25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4"/>
        <v>2</v>
      </c>
      <c r="D116" s="136">
        <f t="shared" si="24"/>
        <v>2</v>
      </c>
      <c r="E116" s="136">
        <f t="shared" si="24"/>
        <v>2</v>
      </c>
      <c r="F116" s="136">
        <f t="shared" si="24"/>
        <v>2</v>
      </c>
      <c r="G116" s="136">
        <f t="shared" si="24"/>
        <v>2</v>
      </c>
      <c r="H116" s="136">
        <f t="shared" si="24"/>
        <v>2</v>
      </c>
      <c r="I116" s="136">
        <f t="shared" si="24"/>
        <v>2</v>
      </c>
      <c r="J116" s="136">
        <f t="shared" si="24"/>
        <v>2</v>
      </c>
      <c r="K116" s="136">
        <f t="shared" si="24"/>
        <v>2</v>
      </c>
      <c r="L116" s="136">
        <f t="shared" si="24"/>
        <v>2</v>
      </c>
      <c r="M116" s="136">
        <f t="shared" si="24"/>
        <v>2</v>
      </c>
      <c r="N116" s="136">
        <f t="shared" si="24"/>
        <v>2</v>
      </c>
      <c r="O116" s="136">
        <f t="shared" si="24"/>
        <v>2</v>
      </c>
      <c r="P116" s="136">
        <f t="shared" si="24"/>
        <v>2</v>
      </c>
      <c r="Q116" s="136">
        <f t="shared" si="24"/>
        <v>2</v>
      </c>
      <c r="R116" s="136">
        <f t="shared" si="24"/>
        <v>2</v>
      </c>
      <c r="S116" s="136">
        <f t="shared" si="25"/>
        <v>2</v>
      </c>
      <c r="T116" s="136">
        <f t="shared" si="25"/>
        <v>2</v>
      </c>
      <c r="U116" s="136">
        <f t="shared" si="25"/>
        <v>2</v>
      </c>
      <c r="V116" s="136">
        <f t="shared" si="25"/>
        <v>2</v>
      </c>
      <c r="W116" s="136">
        <f t="shared" si="25"/>
        <v>2</v>
      </c>
      <c r="X116" s="136">
        <f t="shared" si="25"/>
        <v>2</v>
      </c>
      <c r="Y116" s="136">
        <f t="shared" si="25"/>
        <v>2</v>
      </c>
      <c r="Z116" s="136">
        <f t="shared" si="25"/>
        <v>2</v>
      </c>
      <c r="AA116" s="136">
        <f t="shared" si="25"/>
        <v>2</v>
      </c>
      <c r="AB116" s="136">
        <f t="shared" si="25"/>
        <v>2</v>
      </c>
      <c r="AC116" s="136">
        <f t="shared" si="25"/>
        <v>2</v>
      </c>
      <c r="AD116" s="136">
        <f t="shared" si="25"/>
        <v>2</v>
      </c>
      <c r="AE116" s="136">
        <f t="shared" si="25"/>
        <v>2</v>
      </c>
      <c r="AF116" s="136">
        <f t="shared" si="25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4"/>
        <v>1.25</v>
      </c>
      <c r="D117" s="136">
        <f t="shared" si="24"/>
        <v>1.25</v>
      </c>
      <c r="E117" s="136">
        <f t="shared" si="24"/>
        <v>1.25</v>
      </c>
      <c r="F117" s="136">
        <f t="shared" si="24"/>
        <v>1.25</v>
      </c>
      <c r="G117" s="136">
        <f t="shared" si="24"/>
        <v>1.25</v>
      </c>
      <c r="H117" s="136">
        <f t="shared" si="24"/>
        <v>1.25</v>
      </c>
      <c r="I117" s="136">
        <f t="shared" si="24"/>
        <v>1.25</v>
      </c>
      <c r="J117" s="136">
        <f t="shared" si="24"/>
        <v>1.25</v>
      </c>
      <c r="K117" s="136">
        <f t="shared" si="24"/>
        <v>1.25</v>
      </c>
      <c r="L117" s="136">
        <f t="shared" si="24"/>
        <v>1.25</v>
      </c>
      <c r="M117" s="136">
        <f t="shared" si="24"/>
        <v>1.25</v>
      </c>
      <c r="N117" s="136">
        <f t="shared" si="24"/>
        <v>1.25</v>
      </c>
      <c r="O117" s="136">
        <f t="shared" si="24"/>
        <v>1.25</v>
      </c>
      <c r="P117" s="136">
        <f t="shared" si="24"/>
        <v>1.25</v>
      </c>
      <c r="Q117" s="136">
        <f t="shared" si="24"/>
        <v>1.25</v>
      </c>
      <c r="R117" s="136">
        <f t="shared" si="24"/>
        <v>1.25</v>
      </c>
      <c r="S117" s="136">
        <f t="shared" si="25"/>
        <v>1.25</v>
      </c>
      <c r="T117" s="136">
        <f t="shared" si="25"/>
        <v>1.25</v>
      </c>
      <c r="U117" s="136">
        <f t="shared" si="25"/>
        <v>1.25</v>
      </c>
      <c r="V117" s="136">
        <f t="shared" si="25"/>
        <v>1.25</v>
      </c>
      <c r="W117" s="136">
        <f t="shared" si="25"/>
        <v>1.25</v>
      </c>
      <c r="X117" s="136">
        <f t="shared" si="25"/>
        <v>1.25</v>
      </c>
      <c r="Y117" s="136">
        <f t="shared" si="25"/>
        <v>1.25</v>
      </c>
      <c r="Z117" s="136">
        <f t="shared" si="25"/>
        <v>1.25</v>
      </c>
      <c r="AA117" s="136">
        <f t="shared" si="25"/>
        <v>1.25</v>
      </c>
      <c r="AB117" s="136">
        <f t="shared" si="25"/>
        <v>1.25</v>
      </c>
      <c r="AC117" s="136">
        <f t="shared" si="25"/>
        <v>1.25</v>
      </c>
      <c r="AD117" s="136">
        <f t="shared" si="25"/>
        <v>1.25</v>
      </c>
      <c r="AE117" s="136">
        <f t="shared" si="25"/>
        <v>1.25</v>
      </c>
      <c r="AF117" s="136">
        <f t="shared" si="25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4"/>
        <v>1.1499999999999999</v>
      </c>
      <c r="D118" s="136">
        <f t="shared" si="24"/>
        <v>1.1499999999999999</v>
      </c>
      <c r="E118" s="136">
        <f t="shared" si="24"/>
        <v>1.1499999999999999</v>
      </c>
      <c r="F118" s="136">
        <f t="shared" si="24"/>
        <v>1.1499999999999999</v>
      </c>
      <c r="G118" s="136">
        <f t="shared" si="24"/>
        <v>1.1499999999999999</v>
      </c>
      <c r="H118" s="136">
        <f t="shared" si="24"/>
        <v>1.1499999999999999</v>
      </c>
      <c r="I118" s="136">
        <f t="shared" si="24"/>
        <v>1.1499999999999999</v>
      </c>
      <c r="J118" s="136">
        <f t="shared" si="24"/>
        <v>1.1499999999999999</v>
      </c>
      <c r="K118" s="136">
        <f t="shared" si="24"/>
        <v>1.1499999999999999</v>
      </c>
      <c r="L118" s="136">
        <f t="shared" si="24"/>
        <v>1.1499999999999999</v>
      </c>
      <c r="M118" s="136">
        <f t="shared" si="24"/>
        <v>1.1499999999999999</v>
      </c>
      <c r="N118" s="136">
        <f t="shared" si="24"/>
        <v>1.1499999999999999</v>
      </c>
      <c r="O118" s="136">
        <f t="shared" si="24"/>
        <v>1.1499999999999999</v>
      </c>
      <c r="P118" s="136">
        <f t="shared" si="24"/>
        <v>1.1499999999999999</v>
      </c>
      <c r="Q118" s="136">
        <f t="shared" si="24"/>
        <v>1.1499999999999999</v>
      </c>
      <c r="R118" s="136">
        <f t="shared" si="24"/>
        <v>1.1499999999999999</v>
      </c>
      <c r="S118" s="136">
        <f t="shared" si="25"/>
        <v>1.1499999999999999</v>
      </c>
      <c r="T118" s="136">
        <f t="shared" si="25"/>
        <v>1.1499999999999999</v>
      </c>
      <c r="U118" s="136">
        <f t="shared" si="25"/>
        <v>1.1499999999999999</v>
      </c>
      <c r="V118" s="136">
        <f t="shared" si="25"/>
        <v>1.1499999999999999</v>
      </c>
      <c r="W118" s="136">
        <f t="shared" si="25"/>
        <v>1.1499999999999999</v>
      </c>
      <c r="X118" s="136">
        <f t="shared" si="25"/>
        <v>1.1499999999999999</v>
      </c>
      <c r="Y118" s="136">
        <f t="shared" si="25"/>
        <v>1.1499999999999999</v>
      </c>
      <c r="Z118" s="136">
        <f t="shared" si="25"/>
        <v>1.1499999999999999</v>
      </c>
      <c r="AA118" s="136">
        <f t="shared" si="25"/>
        <v>1.1499999999999999</v>
      </c>
      <c r="AB118" s="136">
        <f t="shared" si="25"/>
        <v>1.1499999999999999</v>
      </c>
      <c r="AC118" s="136">
        <f t="shared" si="25"/>
        <v>1.1499999999999999</v>
      </c>
      <c r="AD118" s="136">
        <f t="shared" si="25"/>
        <v>1.1499999999999999</v>
      </c>
      <c r="AE118" s="136">
        <f t="shared" si="25"/>
        <v>1.1499999999999999</v>
      </c>
      <c r="AF118" s="136">
        <f t="shared" si="25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4"/>
        <v>2.133</v>
      </c>
      <c r="D119" s="136">
        <f t="shared" si="24"/>
        <v>2.133</v>
      </c>
      <c r="E119" s="136">
        <f t="shared" si="24"/>
        <v>2.133</v>
      </c>
      <c r="F119" s="136">
        <f t="shared" si="24"/>
        <v>2.133</v>
      </c>
      <c r="G119" s="136">
        <f t="shared" si="24"/>
        <v>2.133</v>
      </c>
      <c r="H119" s="136">
        <f t="shared" si="24"/>
        <v>2.133</v>
      </c>
      <c r="I119" s="136">
        <f t="shared" si="24"/>
        <v>2.133</v>
      </c>
      <c r="J119" s="136">
        <f t="shared" si="24"/>
        <v>2.133</v>
      </c>
      <c r="K119" s="136">
        <f t="shared" si="24"/>
        <v>2.133</v>
      </c>
      <c r="L119" s="136">
        <f t="shared" si="24"/>
        <v>2.133</v>
      </c>
      <c r="M119" s="136">
        <f t="shared" si="24"/>
        <v>2.133</v>
      </c>
      <c r="N119" s="136">
        <f t="shared" si="24"/>
        <v>2.133</v>
      </c>
      <c r="O119" s="136">
        <f t="shared" si="24"/>
        <v>2.133</v>
      </c>
      <c r="P119" s="136">
        <f t="shared" si="24"/>
        <v>2.133</v>
      </c>
      <c r="Q119" s="136">
        <f t="shared" si="24"/>
        <v>2.133</v>
      </c>
      <c r="R119" s="136">
        <f t="shared" si="24"/>
        <v>2.133</v>
      </c>
      <c r="S119" s="136">
        <f t="shared" si="25"/>
        <v>2.133</v>
      </c>
      <c r="T119" s="136">
        <f t="shared" si="25"/>
        <v>2.133</v>
      </c>
      <c r="U119" s="136">
        <f t="shared" si="25"/>
        <v>2.133</v>
      </c>
      <c r="V119" s="136">
        <f t="shared" si="25"/>
        <v>2.133</v>
      </c>
      <c r="W119" s="136">
        <f t="shared" si="25"/>
        <v>2.133</v>
      </c>
      <c r="X119" s="136">
        <f t="shared" si="25"/>
        <v>2.133</v>
      </c>
      <c r="Y119" s="136">
        <f t="shared" si="25"/>
        <v>2.133</v>
      </c>
      <c r="Z119" s="136">
        <f t="shared" si="25"/>
        <v>2.133</v>
      </c>
      <c r="AA119" s="136">
        <f t="shared" si="25"/>
        <v>2.133</v>
      </c>
      <c r="AB119" s="136">
        <f t="shared" si="25"/>
        <v>2.133</v>
      </c>
      <c r="AC119" s="136">
        <f t="shared" si="25"/>
        <v>2.133</v>
      </c>
      <c r="AD119" s="136">
        <f t="shared" si="25"/>
        <v>2.133</v>
      </c>
      <c r="AE119" s="136">
        <f t="shared" si="25"/>
        <v>2.133</v>
      </c>
      <c r="AF119" s="136">
        <f t="shared" si="25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4"/>
        <v>2.09</v>
      </c>
      <c r="D120" s="136">
        <f t="shared" si="24"/>
        <v>2.09</v>
      </c>
      <c r="E120" s="136">
        <f t="shared" si="24"/>
        <v>2.09</v>
      </c>
      <c r="F120" s="136">
        <f t="shared" si="24"/>
        <v>2.09</v>
      </c>
      <c r="G120" s="136">
        <f t="shared" si="24"/>
        <v>2.09</v>
      </c>
      <c r="H120" s="136">
        <f t="shared" si="24"/>
        <v>2.09</v>
      </c>
      <c r="I120" s="136">
        <f t="shared" si="24"/>
        <v>2.09</v>
      </c>
      <c r="J120" s="136">
        <f t="shared" si="24"/>
        <v>2.09</v>
      </c>
      <c r="K120" s="136">
        <f t="shared" si="24"/>
        <v>2.09</v>
      </c>
      <c r="L120" s="136">
        <f t="shared" si="24"/>
        <v>2.09</v>
      </c>
      <c r="M120" s="136">
        <f t="shared" si="24"/>
        <v>2.09</v>
      </c>
      <c r="N120" s="136">
        <f t="shared" si="24"/>
        <v>2.09</v>
      </c>
      <c r="O120" s="136">
        <f t="shared" si="24"/>
        <v>2.09</v>
      </c>
      <c r="P120" s="136">
        <f t="shared" si="24"/>
        <v>2.09</v>
      </c>
      <c r="Q120" s="136">
        <f t="shared" si="24"/>
        <v>2.09</v>
      </c>
      <c r="R120" s="136">
        <f t="shared" ref="R120:W170" si="26">Q120</f>
        <v>2.09</v>
      </c>
      <c r="S120" s="136">
        <f t="shared" si="25"/>
        <v>2.09</v>
      </c>
      <c r="T120" s="136">
        <f t="shared" si="25"/>
        <v>2.09</v>
      </c>
      <c r="U120" s="136">
        <f t="shared" si="25"/>
        <v>2.09</v>
      </c>
      <c r="V120" s="136">
        <f t="shared" si="25"/>
        <v>2.09</v>
      </c>
      <c r="W120" s="136">
        <f t="shared" si="25"/>
        <v>2.09</v>
      </c>
      <c r="X120" s="136">
        <f t="shared" si="25"/>
        <v>2.09</v>
      </c>
      <c r="Y120" s="136">
        <f t="shared" si="25"/>
        <v>2.09</v>
      </c>
      <c r="Z120" s="136">
        <f t="shared" si="25"/>
        <v>2.09</v>
      </c>
      <c r="AA120" s="136">
        <f t="shared" si="25"/>
        <v>2.09</v>
      </c>
      <c r="AB120" s="136">
        <f t="shared" si="25"/>
        <v>2.09</v>
      </c>
      <c r="AC120" s="136">
        <f t="shared" si="25"/>
        <v>2.09</v>
      </c>
      <c r="AD120" s="136">
        <f t="shared" si="25"/>
        <v>2.09</v>
      </c>
      <c r="AE120" s="136">
        <f t="shared" si="25"/>
        <v>2.09</v>
      </c>
      <c r="AF120" s="136">
        <f t="shared" si="25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7">B121</f>
        <v>1.1399999999999999</v>
      </c>
      <c r="D121" s="136">
        <f t="shared" si="27"/>
        <v>1.1399999999999999</v>
      </c>
      <c r="E121" s="136">
        <f t="shared" si="27"/>
        <v>1.1399999999999999</v>
      </c>
      <c r="F121" s="136">
        <f t="shared" si="27"/>
        <v>1.1399999999999999</v>
      </c>
      <c r="G121" s="136">
        <f t="shared" si="27"/>
        <v>1.1399999999999999</v>
      </c>
      <c r="H121" s="136">
        <f t="shared" si="27"/>
        <v>1.1399999999999999</v>
      </c>
      <c r="I121" s="136">
        <f t="shared" si="27"/>
        <v>1.1399999999999999</v>
      </c>
      <c r="J121" s="136">
        <f t="shared" si="27"/>
        <v>1.1399999999999999</v>
      </c>
      <c r="K121" s="136">
        <f t="shared" si="27"/>
        <v>1.1399999999999999</v>
      </c>
      <c r="L121" s="136">
        <f t="shared" si="27"/>
        <v>1.1399999999999999</v>
      </c>
      <c r="M121" s="136">
        <f t="shared" si="27"/>
        <v>1.1399999999999999</v>
      </c>
      <c r="N121" s="136">
        <f t="shared" si="27"/>
        <v>1.1399999999999999</v>
      </c>
      <c r="O121" s="136">
        <f t="shared" si="27"/>
        <v>1.1399999999999999</v>
      </c>
      <c r="P121" s="136">
        <f t="shared" si="27"/>
        <v>1.1399999999999999</v>
      </c>
      <c r="Q121" s="136">
        <f t="shared" si="27"/>
        <v>1.1399999999999999</v>
      </c>
      <c r="R121" s="136">
        <f t="shared" si="26"/>
        <v>1.1399999999999999</v>
      </c>
      <c r="S121" s="136">
        <f t="shared" si="25"/>
        <v>1.1399999999999999</v>
      </c>
      <c r="T121" s="136">
        <f t="shared" si="25"/>
        <v>1.1399999999999999</v>
      </c>
      <c r="U121" s="136">
        <f t="shared" si="25"/>
        <v>1.1399999999999999</v>
      </c>
      <c r="V121" s="136">
        <f t="shared" si="25"/>
        <v>1.1399999999999999</v>
      </c>
      <c r="W121" s="136">
        <f t="shared" si="25"/>
        <v>1.1399999999999999</v>
      </c>
      <c r="X121" s="136">
        <f t="shared" si="25"/>
        <v>1.1399999999999999</v>
      </c>
      <c r="Y121" s="136">
        <f t="shared" si="25"/>
        <v>1.1399999999999999</v>
      </c>
      <c r="Z121" s="136">
        <f t="shared" si="25"/>
        <v>1.1399999999999999</v>
      </c>
      <c r="AA121" s="136">
        <f t="shared" si="25"/>
        <v>1.1399999999999999</v>
      </c>
      <c r="AB121" s="136">
        <f t="shared" si="25"/>
        <v>1.1399999999999999</v>
      </c>
      <c r="AC121" s="136">
        <f t="shared" si="25"/>
        <v>1.1399999999999999</v>
      </c>
      <c r="AD121" s="136">
        <f t="shared" si="25"/>
        <v>1.1399999999999999</v>
      </c>
      <c r="AE121" s="136">
        <f t="shared" si="25"/>
        <v>1.1399999999999999</v>
      </c>
      <c r="AF121" s="136">
        <f t="shared" si="25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7"/>
        <v>0.82</v>
      </c>
      <c r="D122" s="136">
        <f t="shared" si="27"/>
        <v>0.82</v>
      </c>
      <c r="E122" s="136">
        <f t="shared" si="27"/>
        <v>0.82</v>
      </c>
      <c r="F122" s="136">
        <f t="shared" si="27"/>
        <v>0.82</v>
      </c>
      <c r="G122" s="136">
        <f t="shared" si="27"/>
        <v>0.82</v>
      </c>
      <c r="H122" s="136">
        <f t="shared" si="27"/>
        <v>0.82</v>
      </c>
      <c r="I122" s="136">
        <f t="shared" si="27"/>
        <v>0.82</v>
      </c>
      <c r="J122" s="136">
        <f t="shared" si="27"/>
        <v>0.82</v>
      </c>
      <c r="K122" s="136">
        <f t="shared" si="27"/>
        <v>0.82</v>
      </c>
      <c r="L122" s="136">
        <f t="shared" si="27"/>
        <v>0.82</v>
      </c>
      <c r="M122" s="136">
        <f t="shared" si="27"/>
        <v>0.82</v>
      </c>
      <c r="N122" s="136">
        <f t="shared" si="27"/>
        <v>0.82</v>
      </c>
      <c r="O122" s="136">
        <f t="shared" si="27"/>
        <v>0.82</v>
      </c>
      <c r="P122" s="136">
        <f t="shared" si="27"/>
        <v>0.82</v>
      </c>
      <c r="Q122" s="136">
        <f t="shared" si="27"/>
        <v>0.82</v>
      </c>
      <c r="R122" s="136">
        <f t="shared" si="26"/>
        <v>0.82</v>
      </c>
      <c r="S122" s="136">
        <f t="shared" si="25"/>
        <v>0.82</v>
      </c>
      <c r="T122" s="136">
        <f t="shared" si="25"/>
        <v>0.82</v>
      </c>
      <c r="U122" s="136">
        <f t="shared" si="25"/>
        <v>0.82</v>
      </c>
      <c r="V122" s="136">
        <f t="shared" si="25"/>
        <v>0.82</v>
      </c>
      <c r="W122" s="136">
        <f t="shared" si="25"/>
        <v>0.82</v>
      </c>
      <c r="X122" s="136">
        <f t="shared" si="25"/>
        <v>0.82</v>
      </c>
      <c r="Y122" s="136">
        <f t="shared" si="25"/>
        <v>0.82</v>
      </c>
      <c r="Z122" s="136">
        <f t="shared" si="25"/>
        <v>0.82</v>
      </c>
      <c r="AA122" s="136">
        <f t="shared" si="25"/>
        <v>0.82</v>
      </c>
      <c r="AB122" s="136">
        <f t="shared" si="25"/>
        <v>0.82</v>
      </c>
      <c r="AC122" s="136">
        <f t="shared" si="25"/>
        <v>0.82</v>
      </c>
      <c r="AD122" s="136">
        <f t="shared" si="25"/>
        <v>0.82</v>
      </c>
      <c r="AE122" s="136">
        <f t="shared" si="25"/>
        <v>0.82</v>
      </c>
      <c r="AF122" s="136">
        <f t="shared" si="25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7"/>
        <v>2</v>
      </c>
      <c r="D123" s="136">
        <f t="shared" si="27"/>
        <v>2</v>
      </c>
      <c r="E123" s="136">
        <f t="shared" si="27"/>
        <v>2</v>
      </c>
      <c r="F123" s="136">
        <f t="shared" si="27"/>
        <v>2</v>
      </c>
      <c r="G123" s="136">
        <f t="shared" si="27"/>
        <v>2</v>
      </c>
      <c r="H123" s="136">
        <f t="shared" si="27"/>
        <v>2</v>
      </c>
      <c r="I123" s="136">
        <f t="shared" si="27"/>
        <v>2</v>
      </c>
      <c r="J123" s="136">
        <f t="shared" si="27"/>
        <v>2</v>
      </c>
      <c r="K123" s="136">
        <f t="shared" si="27"/>
        <v>2</v>
      </c>
      <c r="L123" s="136">
        <f t="shared" si="27"/>
        <v>2</v>
      </c>
      <c r="M123" s="136">
        <f t="shared" si="27"/>
        <v>2</v>
      </c>
      <c r="N123" s="136">
        <f t="shared" si="27"/>
        <v>2</v>
      </c>
      <c r="O123" s="136">
        <f t="shared" si="27"/>
        <v>2</v>
      </c>
      <c r="P123" s="136">
        <f t="shared" si="27"/>
        <v>2</v>
      </c>
      <c r="Q123" s="136">
        <f t="shared" si="27"/>
        <v>2</v>
      </c>
      <c r="R123" s="136">
        <f t="shared" si="26"/>
        <v>2</v>
      </c>
      <c r="S123" s="136">
        <f t="shared" si="25"/>
        <v>2</v>
      </c>
      <c r="T123" s="136">
        <f t="shared" si="25"/>
        <v>2</v>
      </c>
      <c r="U123" s="136">
        <f t="shared" si="25"/>
        <v>2</v>
      </c>
      <c r="V123" s="136">
        <f t="shared" ref="V123:AF146" si="28">U123</f>
        <v>2</v>
      </c>
      <c r="W123" s="136">
        <f t="shared" si="28"/>
        <v>2</v>
      </c>
      <c r="X123" s="136">
        <f t="shared" si="28"/>
        <v>2</v>
      </c>
      <c r="Y123" s="136">
        <f t="shared" si="28"/>
        <v>2</v>
      </c>
      <c r="Z123" s="136">
        <f t="shared" si="28"/>
        <v>2</v>
      </c>
      <c r="AA123" s="136">
        <f t="shared" si="28"/>
        <v>2</v>
      </c>
      <c r="AB123" s="136">
        <f t="shared" si="28"/>
        <v>2</v>
      </c>
      <c r="AC123" s="136">
        <f t="shared" si="28"/>
        <v>2</v>
      </c>
      <c r="AD123" s="136">
        <f t="shared" si="28"/>
        <v>2</v>
      </c>
      <c r="AE123" s="136">
        <f t="shared" si="28"/>
        <v>2</v>
      </c>
      <c r="AF123" s="136">
        <f t="shared" si="28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7"/>
        <v>5.61</v>
      </c>
      <c r="D124" s="136">
        <f t="shared" si="27"/>
        <v>5.61</v>
      </c>
      <c r="E124" s="136">
        <f t="shared" si="27"/>
        <v>5.61</v>
      </c>
      <c r="F124" s="136">
        <f t="shared" si="27"/>
        <v>5.61</v>
      </c>
      <c r="G124" s="136">
        <f t="shared" si="27"/>
        <v>5.61</v>
      </c>
      <c r="H124" s="136">
        <f t="shared" si="27"/>
        <v>5.61</v>
      </c>
      <c r="I124" s="136">
        <f t="shared" si="27"/>
        <v>5.61</v>
      </c>
      <c r="J124" s="136">
        <f t="shared" si="27"/>
        <v>5.61</v>
      </c>
      <c r="K124" s="136">
        <f t="shared" si="27"/>
        <v>5.61</v>
      </c>
      <c r="L124" s="136">
        <f t="shared" si="27"/>
        <v>5.61</v>
      </c>
      <c r="M124" s="136">
        <f t="shared" si="27"/>
        <v>5.61</v>
      </c>
      <c r="N124" s="136">
        <f t="shared" si="27"/>
        <v>5.61</v>
      </c>
      <c r="O124" s="136">
        <f t="shared" si="27"/>
        <v>5.61</v>
      </c>
      <c r="P124" s="136">
        <f t="shared" si="27"/>
        <v>5.61</v>
      </c>
      <c r="Q124" s="136">
        <f t="shared" si="27"/>
        <v>5.61</v>
      </c>
      <c r="R124" s="136">
        <f t="shared" si="26"/>
        <v>5.61</v>
      </c>
      <c r="S124" s="136">
        <f t="shared" si="26"/>
        <v>5.61</v>
      </c>
      <c r="T124" s="136">
        <f t="shared" si="26"/>
        <v>5.61</v>
      </c>
      <c r="U124" s="136">
        <f t="shared" si="26"/>
        <v>5.61</v>
      </c>
      <c r="V124" s="136">
        <f t="shared" si="28"/>
        <v>5.61</v>
      </c>
      <c r="W124" s="136">
        <f t="shared" si="28"/>
        <v>5.61</v>
      </c>
      <c r="X124" s="136">
        <f t="shared" si="28"/>
        <v>5.61</v>
      </c>
      <c r="Y124" s="136">
        <f t="shared" si="28"/>
        <v>5.61</v>
      </c>
      <c r="Z124" s="136">
        <f t="shared" si="28"/>
        <v>5.61</v>
      </c>
      <c r="AA124" s="136">
        <f t="shared" si="28"/>
        <v>5.61</v>
      </c>
      <c r="AB124" s="136">
        <f t="shared" si="28"/>
        <v>5.61</v>
      </c>
      <c r="AC124" s="136">
        <f t="shared" si="28"/>
        <v>5.61</v>
      </c>
      <c r="AD124" s="136">
        <f t="shared" si="28"/>
        <v>5.61</v>
      </c>
      <c r="AE124" s="136">
        <f t="shared" si="28"/>
        <v>5.61</v>
      </c>
      <c r="AF124" s="136">
        <f t="shared" si="28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7"/>
        <v>1.25</v>
      </c>
      <c r="D125" s="136">
        <f t="shared" si="27"/>
        <v>1.25</v>
      </c>
      <c r="E125" s="136">
        <f t="shared" si="27"/>
        <v>1.25</v>
      </c>
      <c r="F125" s="136">
        <f t="shared" si="27"/>
        <v>1.25</v>
      </c>
      <c r="G125" s="136">
        <f t="shared" si="27"/>
        <v>1.25</v>
      </c>
      <c r="H125" s="136">
        <f t="shared" si="27"/>
        <v>1.25</v>
      </c>
      <c r="I125" s="136">
        <f t="shared" si="27"/>
        <v>1.25</v>
      </c>
      <c r="J125" s="136">
        <f t="shared" si="27"/>
        <v>1.25</v>
      </c>
      <c r="K125" s="136">
        <f t="shared" si="27"/>
        <v>1.25</v>
      </c>
      <c r="L125" s="136">
        <f t="shared" si="27"/>
        <v>1.25</v>
      </c>
      <c r="M125" s="136">
        <f t="shared" si="27"/>
        <v>1.25</v>
      </c>
      <c r="N125" s="136">
        <f t="shared" si="27"/>
        <v>1.25</v>
      </c>
      <c r="O125" s="136">
        <f t="shared" si="27"/>
        <v>1.25</v>
      </c>
      <c r="P125" s="136">
        <f t="shared" si="27"/>
        <v>1.25</v>
      </c>
      <c r="Q125" s="136">
        <f t="shared" si="27"/>
        <v>1.25</v>
      </c>
      <c r="R125" s="136">
        <f t="shared" si="26"/>
        <v>1.25</v>
      </c>
      <c r="S125" s="136">
        <f t="shared" si="26"/>
        <v>1.25</v>
      </c>
      <c r="T125" s="136">
        <f t="shared" si="26"/>
        <v>1.25</v>
      </c>
      <c r="U125" s="136">
        <f t="shared" si="26"/>
        <v>1.25</v>
      </c>
      <c r="V125" s="136">
        <f t="shared" si="28"/>
        <v>1.25</v>
      </c>
      <c r="W125" s="136">
        <f t="shared" si="28"/>
        <v>1.25</v>
      </c>
      <c r="X125" s="136">
        <f t="shared" si="28"/>
        <v>1.25</v>
      </c>
      <c r="Y125" s="136">
        <f t="shared" si="28"/>
        <v>1.25</v>
      </c>
      <c r="Z125" s="136">
        <f t="shared" si="28"/>
        <v>1.25</v>
      </c>
      <c r="AA125" s="136">
        <f t="shared" si="28"/>
        <v>1.25</v>
      </c>
      <c r="AB125" s="136">
        <f t="shared" si="28"/>
        <v>1.25</v>
      </c>
      <c r="AC125" s="136">
        <f t="shared" si="28"/>
        <v>1.25</v>
      </c>
      <c r="AD125" s="136">
        <f t="shared" si="28"/>
        <v>1.25</v>
      </c>
      <c r="AE125" s="136">
        <f t="shared" si="28"/>
        <v>1.25</v>
      </c>
      <c r="AF125" s="136">
        <f t="shared" si="28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7"/>
        <v>1.25</v>
      </c>
      <c r="D126" s="136">
        <f t="shared" si="27"/>
        <v>1.25</v>
      </c>
      <c r="E126" s="136">
        <f t="shared" si="27"/>
        <v>1.25</v>
      </c>
      <c r="F126" s="136">
        <f t="shared" si="27"/>
        <v>1.25</v>
      </c>
      <c r="G126" s="136">
        <f t="shared" si="27"/>
        <v>1.25</v>
      </c>
      <c r="H126" s="136">
        <f t="shared" si="27"/>
        <v>1.25</v>
      </c>
      <c r="I126" s="136">
        <f t="shared" si="27"/>
        <v>1.25</v>
      </c>
      <c r="J126" s="136">
        <f t="shared" si="27"/>
        <v>1.25</v>
      </c>
      <c r="K126" s="136">
        <f t="shared" si="27"/>
        <v>1.25</v>
      </c>
      <c r="L126" s="136">
        <f t="shared" si="27"/>
        <v>1.25</v>
      </c>
      <c r="M126" s="136">
        <f t="shared" si="27"/>
        <v>1.25</v>
      </c>
      <c r="N126" s="136">
        <f t="shared" si="27"/>
        <v>1.25</v>
      </c>
      <c r="O126" s="136">
        <f t="shared" si="27"/>
        <v>1.25</v>
      </c>
      <c r="P126" s="136">
        <f t="shared" si="27"/>
        <v>1.25</v>
      </c>
      <c r="Q126" s="136">
        <f t="shared" si="27"/>
        <v>1.25</v>
      </c>
      <c r="R126" s="136">
        <f t="shared" si="26"/>
        <v>1.25</v>
      </c>
      <c r="S126" s="136">
        <f t="shared" si="26"/>
        <v>1.25</v>
      </c>
      <c r="T126" s="136">
        <f t="shared" si="26"/>
        <v>1.25</v>
      </c>
      <c r="U126" s="136">
        <f t="shared" si="26"/>
        <v>1.25</v>
      </c>
      <c r="V126" s="136">
        <f t="shared" si="28"/>
        <v>1.25</v>
      </c>
      <c r="W126" s="136">
        <f t="shared" si="28"/>
        <v>1.25</v>
      </c>
      <c r="X126" s="136">
        <f t="shared" si="28"/>
        <v>1.25</v>
      </c>
      <c r="Y126" s="136">
        <f t="shared" si="28"/>
        <v>1.25</v>
      </c>
      <c r="Z126" s="136">
        <f t="shared" si="28"/>
        <v>1.25</v>
      </c>
      <c r="AA126" s="136">
        <f t="shared" si="28"/>
        <v>1.25</v>
      </c>
      <c r="AB126" s="136">
        <f t="shared" si="28"/>
        <v>1.25</v>
      </c>
      <c r="AC126" s="136">
        <f t="shared" si="28"/>
        <v>1.25</v>
      </c>
      <c r="AD126" s="136">
        <f t="shared" si="28"/>
        <v>1.25</v>
      </c>
      <c r="AE126" s="136">
        <f t="shared" si="28"/>
        <v>1.25</v>
      </c>
      <c r="AF126" s="136">
        <f t="shared" si="28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7"/>
        <v>1.46</v>
      </c>
      <c r="D127" s="136">
        <f t="shared" si="27"/>
        <v>1.46</v>
      </c>
      <c r="E127" s="136">
        <f t="shared" si="27"/>
        <v>1.46</v>
      </c>
      <c r="F127" s="136">
        <f t="shared" si="27"/>
        <v>1.46</v>
      </c>
      <c r="G127" s="136">
        <f t="shared" si="27"/>
        <v>1.46</v>
      </c>
      <c r="H127" s="136">
        <f t="shared" si="27"/>
        <v>1.46</v>
      </c>
      <c r="I127" s="136">
        <f t="shared" si="27"/>
        <v>1.46</v>
      </c>
      <c r="J127" s="136">
        <f t="shared" si="27"/>
        <v>1.46</v>
      </c>
      <c r="K127" s="136">
        <f t="shared" si="27"/>
        <v>1.46</v>
      </c>
      <c r="L127" s="136">
        <f t="shared" si="27"/>
        <v>1.46</v>
      </c>
      <c r="M127" s="136">
        <f t="shared" si="27"/>
        <v>1.46</v>
      </c>
      <c r="N127" s="136">
        <f t="shared" si="27"/>
        <v>1.46</v>
      </c>
      <c r="O127" s="136">
        <f t="shared" si="27"/>
        <v>1.46</v>
      </c>
      <c r="P127" s="136">
        <f t="shared" si="27"/>
        <v>1.46</v>
      </c>
      <c r="Q127" s="136">
        <f t="shared" si="27"/>
        <v>1.46</v>
      </c>
      <c r="R127" s="136">
        <f t="shared" si="26"/>
        <v>1.46</v>
      </c>
      <c r="S127" s="136">
        <f t="shared" si="26"/>
        <v>1.46</v>
      </c>
      <c r="T127" s="136">
        <f t="shared" si="26"/>
        <v>1.46</v>
      </c>
      <c r="U127" s="136">
        <f t="shared" si="26"/>
        <v>1.46</v>
      </c>
      <c r="V127" s="136">
        <f t="shared" si="28"/>
        <v>1.46</v>
      </c>
      <c r="W127" s="136">
        <f t="shared" si="28"/>
        <v>1.46</v>
      </c>
      <c r="X127" s="136">
        <f t="shared" si="28"/>
        <v>1.46</v>
      </c>
      <c r="Y127" s="136">
        <f t="shared" si="28"/>
        <v>1.46</v>
      </c>
      <c r="Z127" s="136">
        <f t="shared" si="28"/>
        <v>1.46</v>
      </c>
      <c r="AA127" s="136">
        <f t="shared" si="28"/>
        <v>1.46</v>
      </c>
      <c r="AB127" s="136">
        <f t="shared" si="28"/>
        <v>1.46</v>
      </c>
      <c r="AC127" s="136">
        <f t="shared" si="28"/>
        <v>1.46</v>
      </c>
      <c r="AD127" s="136">
        <f t="shared" si="28"/>
        <v>1.46</v>
      </c>
      <c r="AE127" s="136">
        <f t="shared" si="28"/>
        <v>1.46</v>
      </c>
      <c r="AF127" s="136">
        <f t="shared" si="28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7"/>
        <v>3</v>
      </c>
      <c r="D128" s="136">
        <f t="shared" si="27"/>
        <v>3</v>
      </c>
      <c r="E128" s="136">
        <f t="shared" si="27"/>
        <v>3</v>
      </c>
      <c r="F128" s="136">
        <f t="shared" si="27"/>
        <v>3</v>
      </c>
      <c r="G128" s="136">
        <f t="shared" si="27"/>
        <v>3</v>
      </c>
      <c r="H128" s="136">
        <f t="shared" si="27"/>
        <v>3</v>
      </c>
      <c r="I128" s="136">
        <f t="shared" si="27"/>
        <v>3</v>
      </c>
      <c r="J128" s="136">
        <f t="shared" si="27"/>
        <v>3</v>
      </c>
      <c r="K128" s="136">
        <f t="shared" si="27"/>
        <v>3</v>
      </c>
      <c r="L128" s="136">
        <f t="shared" si="27"/>
        <v>3</v>
      </c>
      <c r="M128" s="136">
        <f t="shared" si="27"/>
        <v>3</v>
      </c>
      <c r="N128" s="136">
        <f t="shared" si="27"/>
        <v>3</v>
      </c>
      <c r="O128" s="136">
        <f t="shared" si="27"/>
        <v>3</v>
      </c>
      <c r="P128" s="136">
        <f t="shared" si="27"/>
        <v>3</v>
      </c>
      <c r="Q128" s="136">
        <f t="shared" si="27"/>
        <v>3</v>
      </c>
      <c r="R128" s="136">
        <f t="shared" si="26"/>
        <v>3</v>
      </c>
      <c r="S128" s="136">
        <f t="shared" si="26"/>
        <v>3</v>
      </c>
      <c r="T128" s="136">
        <f t="shared" si="26"/>
        <v>3</v>
      </c>
      <c r="U128" s="136">
        <f t="shared" si="26"/>
        <v>3</v>
      </c>
      <c r="V128" s="136">
        <f t="shared" si="28"/>
        <v>3</v>
      </c>
      <c r="W128" s="136">
        <f t="shared" si="28"/>
        <v>3</v>
      </c>
      <c r="X128" s="136">
        <f t="shared" si="28"/>
        <v>3</v>
      </c>
      <c r="Y128" s="136">
        <f t="shared" si="28"/>
        <v>3</v>
      </c>
      <c r="Z128" s="136">
        <f t="shared" si="28"/>
        <v>3</v>
      </c>
      <c r="AA128" s="136">
        <f t="shared" si="28"/>
        <v>3</v>
      </c>
      <c r="AB128" s="136">
        <f t="shared" si="28"/>
        <v>3</v>
      </c>
      <c r="AC128" s="136">
        <f t="shared" si="28"/>
        <v>3</v>
      </c>
      <c r="AD128" s="136">
        <f t="shared" si="28"/>
        <v>3</v>
      </c>
      <c r="AE128" s="136">
        <f t="shared" si="28"/>
        <v>3</v>
      </c>
      <c r="AF128" s="136">
        <f t="shared" si="28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7"/>
        <v>3.3</v>
      </c>
      <c r="D129" s="136">
        <f t="shared" si="27"/>
        <v>3.3</v>
      </c>
      <c r="E129" s="136">
        <f t="shared" si="27"/>
        <v>3.3</v>
      </c>
      <c r="F129" s="136">
        <f t="shared" si="27"/>
        <v>3.3</v>
      </c>
      <c r="G129" s="136">
        <f t="shared" si="27"/>
        <v>3.3</v>
      </c>
      <c r="H129" s="136">
        <f t="shared" si="27"/>
        <v>3.3</v>
      </c>
      <c r="I129" s="136">
        <f t="shared" si="27"/>
        <v>3.3</v>
      </c>
      <c r="J129" s="136">
        <f t="shared" si="27"/>
        <v>3.3</v>
      </c>
      <c r="K129" s="136">
        <f t="shared" si="27"/>
        <v>3.3</v>
      </c>
      <c r="L129" s="136">
        <f t="shared" si="27"/>
        <v>3.3</v>
      </c>
      <c r="M129" s="136">
        <f t="shared" si="27"/>
        <v>3.3</v>
      </c>
      <c r="N129" s="136">
        <f t="shared" si="27"/>
        <v>3.3</v>
      </c>
      <c r="O129" s="136">
        <f t="shared" si="27"/>
        <v>3.3</v>
      </c>
      <c r="P129" s="136">
        <f t="shared" si="27"/>
        <v>3.3</v>
      </c>
      <c r="Q129" s="136">
        <f t="shared" si="27"/>
        <v>3.3</v>
      </c>
      <c r="R129" s="136">
        <f t="shared" si="26"/>
        <v>3.3</v>
      </c>
      <c r="S129" s="136">
        <f t="shared" si="26"/>
        <v>3.3</v>
      </c>
      <c r="T129" s="136">
        <f t="shared" si="26"/>
        <v>3.3</v>
      </c>
      <c r="U129" s="136">
        <f t="shared" si="26"/>
        <v>3.3</v>
      </c>
      <c r="V129" s="136">
        <f t="shared" si="28"/>
        <v>3.3</v>
      </c>
      <c r="W129" s="136">
        <f t="shared" si="28"/>
        <v>3.3</v>
      </c>
      <c r="X129" s="136">
        <f t="shared" si="28"/>
        <v>3.3</v>
      </c>
      <c r="Y129" s="136">
        <f t="shared" si="28"/>
        <v>3.3</v>
      </c>
      <c r="Z129" s="136">
        <f t="shared" si="28"/>
        <v>3.3</v>
      </c>
      <c r="AA129" s="136">
        <f t="shared" si="28"/>
        <v>3.3</v>
      </c>
      <c r="AB129" s="136">
        <f t="shared" si="28"/>
        <v>3.3</v>
      </c>
      <c r="AC129" s="136">
        <f t="shared" si="28"/>
        <v>3.3</v>
      </c>
      <c r="AD129" s="136">
        <f t="shared" si="28"/>
        <v>3.3</v>
      </c>
      <c r="AE129" s="136">
        <f t="shared" si="28"/>
        <v>3.3</v>
      </c>
      <c r="AF129" s="136">
        <f t="shared" si="28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7"/>
        <v>1.76</v>
      </c>
      <c r="D130" s="136">
        <f t="shared" si="27"/>
        <v>1.76</v>
      </c>
      <c r="E130" s="136">
        <f t="shared" si="27"/>
        <v>1.76</v>
      </c>
      <c r="F130" s="136">
        <f t="shared" si="27"/>
        <v>1.76</v>
      </c>
      <c r="G130" s="136">
        <f t="shared" si="27"/>
        <v>1.76</v>
      </c>
      <c r="H130" s="136">
        <f t="shared" si="27"/>
        <v>1.76</v>
      </c>
      <c r="I130" s="136">
        <f t="shared" si="27"/>
        <v>1.76</v>
      </c>
      <c r="J130" s="136">
        <f t="shared" si="27"/>
        <v>1.76</v>
      </c>
      <c r="K130" s="136">
        <f t="shared" si="27"/>
        <v>1.76</v>
      </c>
      <c r="L130" s="136">
        <f t="shared" si="27"/>
        <v>1.76</v>
      </c>
      <c r="M130" s="136">
        <f t="shared" si="27"/>
        <v>1.76</v>
      </c>
      <c r="N130" s="136">
        <f t="shared" si="27"/>
        <v>1.76</v>
      </c>
      <c r="O130" s="136">
        <f t="shared" si="27"/>
        <v>1.76</v>
      </c>
      <c r="P130" s="136">
        <f t="shared" si="27"/>
        <v>1.76</v>
      </c>
      <c r="Q130" s="136">
        <f t="shared" si="27"/>
        <v>1.76</v>
      </c>
      <c r="R130" s="136">
        <f t="shared" si="26"/>
        <v>1.76</v>
      </c>
      <c r="S130" s="136">
        <f t="shared" si="26"/>
        <v>1.76</v>
      </c>
      <c r="T130" s="136">
        <f t="shared" si="26"/>
        <v>1.76</v>
      </c>
      <c r="U130" s="136">
        <f t="shared" si="26"/>
        <v>1.76</v>
      </c>
      <c r="V130" s="136">
        <f t="shared" si="28"/>
        <v>1.76</v>
      </c>
      <c r="W130" s="136">
        <f t="shared" si="28"/>
        <v>1.76</v>
      </c>
      <c r="X130" s="136">
        <f t="shared" si="28"/>
        <v>1.76</v>
      </c>
      <c r="Y130" s="136">
        <f t="shared" si="28"/>
        <v>1.76</v>
      </c>
      <c r="Z130" s="136">
        <f t="shared" si="28"/>
        <v>1.76</v>
      </c>
      <c r="AA130" s="136">
        <f t="shared" si="28"/>
        <v>1.76</v>
      </c>
      <c r="AB130" s="136">
        <f t="shared" si="28"/>
        <v>1.76</v>
      </c>
      <c r="AC130" s="136">
        <f t="shared" si="28"/>
        <v>1.76</v>
      </c>
      <c r="AD130" s="136">
        <f t="shared" si="28"/>
        <v>1.76</v>
      </c>
      <c r="AE130" s="136">
        <f t="shared" si="28"/>
        <v>1.76</v>
      </c>
      <c r="AF130" s="136">
        <f t="shared" si="28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7"/>
        <v>0</v>
      </c>
      <c r="D131" s="136">
        <f t="shared" si="27"/>
        <v>0</v>
      </c>
      <c r="E131" s="136">
        <f t="shared" si="27"/>
        <v>0</v>
      </c>
      <c r="F131" s="136">
        <f t="shared" si="27"/>
        <v>0</v>
      </c>
      <c r="G131" s="136">
        <f t="shared" si="27"/>
        <v>0</v>
      </c>
      <c r="H131" s="136">
        <f t="shared" si="27"/>
        <v>0</v>
      </c>
      <c r="I131" s="136">
        <f t="shared" si="27"/>
        <v>0</v>
      </c>
      <c r="J131" s="136">
        <f t="shared" si="27"/>
        <v>0</v>
      </c>
      <c r="K131" s="136">
        <f t="shared" si="27"/>
        <v>0</v>
      </c>
      <c r="L131" s="136">
        <f t="shared" si="27"/>
        <v>0</v>
      </c>
      <c r="M131" s="136">
        <f t="shared" si="27"/>
        <v>0</v>
      </c>
      <c r="N131" s="136">
        <f t="shared" si="27"/>
        <v>0</v>
      </c>
      <c r="O131" s="136">
        <f t="shared" si="27"/>
        <v>0</v>
      </c>
      <c r="P131" s="136">
        <f t="shared" si="27"/>
        <v>0</v>
      </c>
      <c r="Q131" s="136">
        <f t="shared" si="27"/>
        <v>0</v>
      </c>
      <c r="R131" s="136">
        <f t="shared" si="26"/>
        <v>0</v>
      </c>
      <c r="S131" s="136">
        <f t="shared" si="26"/>
        <v>0</v>
      </c>
      <c r="T131" s="136">
        <f t="shared" si="26"/>
        <v>0</v>
      </c>
      <c r="U131" s="136">
        <f t="shared" si="26"/>
        <v>0</v>
      </c>
      <c r="V131" s="136">
        <f t="shared" si="28"/>
        <v>0</v>
      </c>
      <c r="W131" s="136">
        <f t="shared" si="28"/>
        <v>0</v>
      </c>
      <c r="X131" s="136">
        <f t="shared" si="28"/>
        <v>0</v>
      </c>
      <c r="Y131" s="136">
        <f t="shared" si="28"/>
        <v>0</v>
      </c>
      <c r="Z131" s="136">
        <f t="shared" si="28"/>
        <v>0</v>
      </c>
      <c r="AA131" s="136">
        <f t="shared" si="28"/>
        <v>0</v>
      </c>
      <c r="AB131" s="136">
        <f t="shared" si="28"/>
        <v>0</v>
      </c>
      <c r="AC131" s="136">
        <f t="shared" si="28"/>
        <v>0</v>
      </c>
      <c r="AD131" s="136">
        <f t="shared" si="28"/>
        <v>0</v>
      </c>
      <c r="AE131" s="136">
        <f t="shared" si="28"/>
        <v>0</v>
      </c>
      <c r="AF131" s="136">
        <f t="shared" si="28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7"/>
        <v>0.1</v>
      </c>
      <c r="D132" s="136">
        <f t="shared" si="27"/>
        <v>0.1</v>
      </c>
      <c r="E132" s="136">
        <f t="shared" si="27"/>
        <v>0.1</v>
      </c>
      <c r="F132" s="136">
        <f t="shared" si="27"/>
        <v>0.1</v>
      </c>
      <c r="G132" s="136">
        <f t="shared" si="27"/>
        <v>0.1</v>
      </c>
      <c r="H132" s="136">
        <f t="shared" si="27"/>
        <v>0.1</v>
      </c>
      <c r="I132" s="136">
        <f t="shared" si="27"/>
        <v>0.1</v>
      </c>
      <c r="J132" s="136">
        <f t="shared" si="27"/>
        <v>0.1</v>
      </c>
      <c r="K132" s="136">
        <f t="shared" si="27"/>
        <v>0.1</v>
      </c>
      <c r="L132" s="136">
        <f t="shared" si="27"/>
        <v>0.1</v>
      </c>
      <c r="M132" s="136">
        <f t="shared" si="27"/>
        <v>0.1</v>
      </c>
      <c r="N132" s="136">
        <f t="shared" si="27"/>
        <v>0.1</v>
      </c>
      <c r="O132" s="136">
        <f t="shared" si="27"/>
        <v>0.1</v>
      </c>
      <c r="P132" s="136">
        <f t="shared" si="27"/>
        <v>0.1</v>
      </c>
      <c r="Q132" s="136">
        <f t="shared" si="27"/>
        <v>0.1</v>
      </c>
      <c r="R132" s="136">
        <f t="shared" si="26"/>
        <v>0.1</v>
      </c>
      <c r="S132" s="136">
        <f t="shared" si="26"/>
        <v>0.1</v>
      </c>
      <c r="T132" s="136">
        <f t="shared" si="26"/>
        <v>0.1</v>
      </c>
      <c r="U132" s="136">
        <f t="shared" si="26"/>
        <v>0.1</v>
      </c>
      <c r="V132" s="136">
        <f t="shared" si="28"/>
        <v>0.1</v>
      </c>
      <c r="W132" s="136">
        <f t="shared" si="28"/>
        <v>0.1</v>
      </c>
      <c r="X132" s="136">
        <f t="shared" si="28"/>
        <v>0.1</v>
      </c>
      <c r="Y132" s="136">
        <f t="shared" si="28"/>
        <v>0.1</v>
      </c>
      <c r="Z132" s="136">
        <f t="shared" si="28"/>
        <v>0.1</v>
      </c>
      <c r="AA132" s="136">
        <f t="shared" si="28"/>
        <v>0.1</v>
      </c>
      <c r="AB132" s="136">
        <f t="shared" si="28"/>
        <v>0.1</v>
      </c>
      <c r="AC132" s="136">
        <f t="shared" si="28"/>
        <v>0.1</v>
      </c>
      <c r="AD132" s="136">
        <f t="shared" si="28"/>
        <v>0.1</v>
      </c>
      <c r="AE132" s="136">
        <f t="shared" si="28"/>
        <v>0.1</v>
      </c>
      <c r="AF132" s="136">
        <f t="shared" si="28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7"/>
        <v>2.0499999999999998</v>
      </c>
      <c r="D133" s="136">
        <f t="shared" si="27"/>
        <v>2.0499999999999998</v>
      </c>
      <c r="E133" s="136">
        <f t="shared" si="27"/>
        <v>2.0499999999999998</v>
      </c>
      <c r="F133" s="136">
        <f t="shared" si="27"/>
        <v>2.0499999999999998</v>
      </c>
      <c r="G133" s="136">
        <f t="shared" si="27"/>
        <v>2.0499999999999998</v>
      </c>
      <c r="H133" s="136">
        <f t="shared" si="27"/>
        <v>2.0499999999999998</v>
      </c>
      <c r="I133" s="136">
        <f t="shared" si="27"/>
        <v>2.0499999999999998</v>
      </c>
      <c r="J133" s="136">
        <f t="shared" si="27"/>
        <v>2.0499999999999998</v>
      </c>
      <c r="K133" s="136">
        <f t="shared" si="27"/>
        <v>2.0499999999999998</v>
      </c>
      <c r="L133" s="136">
        <f t="shared" si="27"/>
        <v>2.0499999999999998</v>
      </c>
      <c r="M133" s="136">
        <f t="shared" si="27"/>
        <v>2.0499999999999998</v>
      </c>
      <c r="N133" s="136">
        <f t="shared" si="27"/>
        <v>2.0499999999999998</v>
      </c>
      <c r="O133" s="136">
        <f t="shared" si="27"/>
        <v>2.0499999999999998</v>
      </c>
      <c r="P133" s="136">
        <f t="shared" si="27"/>
        <v>2.0499999999999998</v>
      </c>
      <c r="Q133" s="136">
        <f t="shared" si="27"/>
        <v>2.0499999999999998</v>
      </c>
      <c r="R133" s="136">
        <f t="shared" si="26"/>
        <v>2.0499999999999998</v>
      </c>
      <c r="S133" s="136">
        <f t="shared" si="26"/>
        <v>2.0499999999999998</v>
      </c>
      <c r="T133" s="136">
        <f t="shared" si="26"/>
        <v>2.0499999999999998</v>
      </c>
      <c r="U133" s="136">
        <f t="shared" si="26"/>
        <v>2.0499999999999998</v>
      </c>
      <c r="V133" s="136">
        <f t="shared" si="28"/>
        <v>2.0499999999999998</v>
      </c>
      <c r="W133" s="136">
        <f t="shared" si="28"/>
        <v>2.0499999999999998</v>
      </c>
      <c r="X133" s="136">
        <f t="shared" si="28"/>
        <v>2.0499999999999998</v>
      </c>
      <c r="Y133" s="136">
        <f t="shared" si="28"/>
        <v>2.0499999999999998</v>
      </c>
      <c r="Z133" s="136">
        <f t="shared" si="28"/>
        <v>2.0499999999999998</v>
      </c>
      <c r="AA133" s="136">
        <f t="shared" si="28"/>
        <v>2.0499999999999998</v>
      </c>
      <c r="AB133" s="136">
        <f t="shared" si="28"/>
        <v>2.0499999999999998</v>
      </c>
      <c r="AC133" s="136">
        <f t="shared" si="28"/>
        <v>2.0499999999999998</v>
      </c>
      <c r="AD133" s="136">
        <f t="shared" si="28"/>
        <v>2.0499999999999998</v>
      </c>
      <c r="AE133" s="136">
        <f t="shared" si="28"/>
        <v>2.0499999999999998</v>
      </c>
      <c r="AF133" s="136">
        <f t="shared" si="28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7"/>
        <v>2.15</v>
      </c>
      <c r="D134" s="136">
        <f t="shared" si="27"/>
        <v>2.15</v>
      </c>
      <c r="E134" s="136">
        <f t="shared" si="27"/>
        <v>2.15</v>
      </c>
      <c r="F134" s="136">
        <f t="shared" si="27"/>
        <v>2.15</v>
      </c>
      <c r="G134" s="136">
        <f t="shared" si="27"/>
        <v>2.15</v>
      </c>
      <c r="H134" s="136">
        <f t="shared" si="27"/>
        <v>2.15</v>
      </c>
      <c r="I134" s="136">
        <f t="shared" si="27"/>
        <v>2.15</v>
      </c>
      <c r="J134" s="136">
        <f t="shared" si="27"/>
        <v>2.15</v>
      </c>
      <c r="K134" s="136">
        <f t="shared" si="27"/>
        <v>2.15</v>
      </c>
      <c r="L134" s="136">
        <f t="shared" si="27"/>
        <v>2.15</v>
      </c>
      <c r="M134" s="136">
        <f t="shared" si="27"/>
        <v>2.15</v>
      </c>
      <c r="N134" s="136">
        <f t="shared" si="27"/>
        <v>2.15</v>
      </c>
      <c r="O134" s="136">
        <f t="shared" si="27"/>
        <v>2.15</v>
      </c>
      <c r="P134" s="136">
        <f t="shared" si="27"/>
        <v>2.15</v>
      </c>
      <c r="Q134" s="136">
        <f t="shared" si="27"/>
        <v>2.15</v>
      </c>
      <c r="R134" s="136">
        <f t="shared" si="26"/>
        <v>2.15</v>
      </c>
      <c r="S134" s="136">
        <f t="shared" si="26"/>
        <v>2.15</v>
      </c>
      <c r="T134" s="136">
        <f t="shared" si="26"/>
        <v>2.15</v>
      </c>
      <c r="U134" s="136">
        <f t="shared" si="26"/>
        <v>2.15</v>
      </c>
      <c r="V134" s="136">
        <f t="shared" si="28"/>
        <v>2.15</v>
      </c>
      <c r="W134" s="136">
        <f t="shared" si="28"/>
        <v>2.15</v>
      </c>
      <c r="X134" s="136">
        <f t="shared" si="28"/>
        <v>2.15</v>
      </c>
      <c r="Y134" s="136">
        <f t="shared" si="28"/>
        <v>2.15</v>
      </c>
      <c r="Z134" s="136">
        <f t="shared" si="28"/>
        <v>2.15</v>
      </c>
      <c r="AA134" s="136">
        <f t="shared" si="28"/>
        <v>2.15</v>
      </c>
      <c r="AB134" s="136">
        <f t="shared" si="28"/>
        <v>2.15</v>
      </c>
      <c r="AC134" s="136">
        <f t="shared" si="28"/>
        <v>2.15</v>
      </c>
      <c r="AD134" s="136">
        <f t="shared" si="28"/>
        <v>2.15</v>
      </c>
      <c r="AE134" s="136">
        <f t="shared" si="28"/>
        <v>2.15</v>
      </c>
      <c r="AF134" s="136">
        <f t="shared" si="28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7"/>
        <v>2.7</v>
      </c>
      <c r="D135" s="136">
        <f t="shared" si="27"/>
        <v>2.7</v>
      </c>
      <c r="E135" s="136">
        <f t="shared" si="27"/>
        <v>2.7</v>
      </c>
      <c r="F135" s="136">
        <f t="shared" si="27"/>
        <v>2.7</v>
      </c>
      <c r="G135" s="136">
        <f t="shared" si="27"/>
        <v>2.7</v>
      </c>
      <c r="H135" s="136">
        <f t="shared" si="27"/>
        <v>2.7</v>
      </c>
      <c r="I135" s="136">
        <f t="shared" si="27"/>
        <v>2.7</v>
      </c>
      <c r="J135" s="136">
        <f t="shared" si="27"/>
        <v>2.7</v>
      </c>
      <c r="K135" s="136">
        <f t="shared" si="27"/>
        <v>2.7</v>
      </c>
      <c r="L135" s="136">
        <f t="shared" si="27"/>
        <v>2.7</v>
      </c>
      <c r="M135" s="136">
        <f t="shared" si="27"/>
        <v>2.7</v>
      </c>
      <c r="N135" s="136">
        <f t="shared" si="27"/>
        <v>2.7</v>
      </c>
      <c r="O135" s="136">
        <f t="shared" si="27"/>
        <v>2.7</v>
      </c>
      <c r="P135" s="136">
        <f t="shared" si="27"/>
        <v>2.7</v>
      </c>
      <c r="Q135" s="136">
        <f t="shared" si="27"/>
        <v>2.7</v>
      </c>
      <c r="R135" s="136">
        <f t="shared" si="26"/>
        <v>2.7</v>
      </c>
      <c r="S135" s="136">
        <f t="shared" si="26"/>
        <v>2.7</v>
      </c>
      <c r="T135" s="136">
        <f t="shared" si="26"/>
        <v>2.7</v>
      </c>
      <c r="U135" s="136">
        <f t="shared" si="26"/>
        <v>2.7</v>
      </c>
      <c r="V135" s="136">
        <f t="shared" si="28"/>
        <v>2.7</v>
      </c>
      <c r="W135" s="136">
        <f t="shared" si="28"/>
        <v>2.7</v>
      </c>
      <c r="X135" s="136">
        <f t="shared" si="28"/>
        <v>2.7</v>
      </c>
      <c r="Y135" s="136">
        <f t="shared" si="28"/>
        <v>2.7</v>
      </c>
      <c r="Z135" s="136">
        <f t="shared" si="28"/>
        <v>2.7</v>
      </c>
      <c r="AA135" s="136">
        <f t="shared" si="28"/>
        <v>2.7</v>
      </c>
      <c r="AB135" s="136">
        <f t="shared" si="28"/>
        <v>2.7</v>
      </c>
      <c r="AC135" s="136">
        <f t="shared" si="28"/>
        <v>2.7</v>
      </c>
      <c r="AD135" s="136">
        <f t="shared" si="28"/>
        <v>2.7</v>
      </c>
      <c r="AE135" s="136">
        <f t="shared" si="28"/>
        <v>2.7</v>
      </c>
      <c r="AF135" s="136">
        <f t="shared" si="28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7"/>
        <v>0.9</v>
      </c>
      <c r="D136" s="136">
        <f t="shared" si="27"/>
        <v>0.9</v>
      </c>
      <c r="E136" s="136">
        <f t="shared" si="27"/>
        <v>0.9</v>
      </c>
      <c r="F136" s="136">
        <f t="shared" si="27"/>
        <v>0.9</v>
      </c>
      <c r="G136" s="136">
        <f t="shared" si="27"/>
        <v>0.9</v>
      </c>
      <c r="H136" s="136">
        <f t="shared" si="27"/>
        <v>0.9</v>
      </c>
      <c r="I136" s="136">
        <f t="shared" si="27"/>
        <v>0.9</v>
      </c>
      <c r="J136" s="136">
        <f t="shared" si="27"/>
        <v>0.9</v>
      </c>
      <c r="K136" s="136">
        <f t="shared" si="27"/>
        <v>0.9</v>
      </c>
      <c r="L136" s="136">
        <f t="shared" si="27"/>
        <v>0.9</v>
      </c>
      <c r="M136" s="136">
        <f t="shared" si="27"/>
        <v>0.9</v>
      </c>
      <c r="N136" s="136">
        <f t="shared" si="27"/>
        <v>0.9</v>
      </c>
      <c r="O136" s="136">
        <f t="shared" si="27"/>
        <v>0.9</v>
      </c>
      <c r="P136" s="136">
        <f t="shared" si="27"/>
        <v>0.9</v>
      </c>
      <c r="Q136" s="136">
        <f t="shared" si="27"/>
        <v>0.9</v>
      </c>
      <c r="R136" s="136">
        <f t="shared" si="26"/>
        <v>0.9</v>
      </c>
      <c r="S136" s="136">
        <f t="shared" si="26"/>
        <v>0.9</v>
      </c>
      <c r="T136" s="136">
        <f t="shared" si="26"/>
        <v>0.9</v>
      </c>
      <c r="U136" s="136">
        <f t="shared" si="26"/>
        <v>0.9</v>
      </c>
      <c r="V136" s="136">
        <f t="shared" si="28"/>
        <v>0.9</v>
      </c>
      <c r="W136" s="136">
        <f t="shared" si="28"/>
        <v>0.9</v>
      </c>
      <c r="X136" s="136">
        <f t="shared" si="28"/>
        <v>0.9</v>
      </c>
      <c r="Y136" s="136">
        <f t="shared" si="28"/>
        <v>0.9</v>
      </c>
      <c r="Z136" s="136">
        <f t="shared" si="28"/>
        <v>0.9</v>
      </c>
      <c r="AA136" s="136">
        <f t="shared" si="28"/>
        <v>0.9</v>
      </c>
      <c r="AB136" s="136">
        <f t="shared" si="28"/>
        <v>0.9</v>
      </c>
      <c r="AC136" s="136">
        <f t="shared" si="28"/>
        <v>0.9</v>
      </c>
      <c r="AD136" s="136">
        <f t="shared" si="28"/>
        <v>0.9</v>
      </c>
      <c r="AE136" s="136">
        <f t="shared" si="28"/>
        <v>0.9</v>
      </c>
      <c r="AF136" s="136">
        <f t="shared" si="28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7"/>
        <v>1.08</v>
      </c>
      <c r="D137" s="136">
        <f t="shared" si="27"/>
        <v>1.08</v>
      </c>
      <c r="E137" s="136">
        <f t="shared" si="27"/>
        <v>1.08</v>
      </c>
      <c r="F137" s="136">
        <f t="shared" si="27"/>
        <v>1.08</v>
      </c>
      <c r="G137" s="136">
        <f t="shared" si="27"/>
        <v>1.08</v>
      </c>
      <c r="H137" s="136">
        <f t="shared" si="27"/>
        <v>1.08</v>
      </c>
      <c r="I137" s="136">
        <f t="shared" si="27"/>
        <v>1.08</v>
      </c>
      <c r="J137" s="136">
        <f t="shared" si="27"/>
        <v>1.08</v>
      </c>
      <c r="K137" s="136">
        <f t="shared" si="27"/>
        <v>1.08</v>
      </c>
      <c r="L137" s="136">
        <f t="shared" si="27"/>
        <v>1.08</v>
      </c>
      <c r="M137" s="136">
        <f t="shared" si="27"/>
        <v>1.08</v>
      </c>
      <c r="N137" s="136">
        <f t="shared" si="27"/>
        <v>1.08</v>
      </c>
      <c r="O137" s="136">
        <f t="shared" si="27"/>
        <v>1.08</v>
      </c>
      <c r="P137" s="136">
        <f t="shared" si="27"/>
        <v>1.08</v>
      </c>
      <c r="Q137" s="136">
        <f t="shared" si="27"/>
        <v>1.08</v>
      </c>
      <c r="R137" s="136">
        <f t="shared" si="26"/>
        <v>1.08</v>
      </c>
      <c r="S137" s="136">
        <f t="shared" si="26"/>
        <v>1.08</v>
      </c>
      <c r="T137" s="136">
        <f t="shared" si="26"/>
        <v>1.08</v>
      </c>
      <c r="U137" s="136">
        <f t="shared" si="26"/>
        <v>1.08</v>
      </c>
      <c r="V137" s="136">
        <f t="shared" si="28"/>
        <v>1.08</v>
      </c>
      <c r="W137" s="136">
        <f t="shared" si="28"/>
        <v>1.08</v>
      </c>
      <c r="X137" s="136">
        <f t="shared" si="28"/>
        <v>1.08</v>
      </c>
      <c r="Y137" s="136">
        <f t="shared" si="28"/>
        <v>1.08</v>
      </c>
      <c r="Z137" s="136">
        <f t="shared" si="28"/>
        <v>1.08</v>
      </c>
      <c r="AA137" s="136">
        <f t="shared" si="28"/>
        <v>1.08</v>
      </c>
      <c r="AB137" s="136">
        <f t="shared" si="28"/>
        <v>1.08</v>
      </c>
      <c r="AC137" s="136">
        <f t="shared" si="28"/>
        <v>1.08</v>
      </c>
      <c r="AD137" s="136">
        <f t="shared" si="28"/>
        <v>1.08</v>
      </c>
      <c r="AE137" s="136">
        <f t="shared" si="28"/>
        <v>1.08</v>
      </c>
      <c r="AF137" s="136">
        <f t="shared" si="28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9">B138</f>
        <v>2.37</v>
      </c>
      <c r="D138" s="136">
        <f t="shared" si="29"/>
        <v>2.37</v>
      </c>
      <c r="E138" s="136">
        <f t="shared" si="29"/>
        <v>2.37</v>
      </c>
      <c r="F138" s="136">
        <f t="shared" si="29"/>
        <v>2.37</v>
      </c>
      <c r="G138" s="136">
        <f t="shared" si="29"/>
        <v>2.37</v>
      </c>
      <c r="H138" s="136">
        <f t="shared" si="29"/>
        <v>2.37</v>
      </c>
      <c r="I138" s="136">
        <f t="shared" si="29"/>
        <v>2.37</v>
      </c>
      <c r="J138" s="136">
        <f t="shared" si="29"/>
        <v>2.37</v>
      </c>
      <c r="K138" s="136">
        <f t="shared" si="29"/>
        <v>2.37</v>
      </c>
      <c r="L138" s="136">
        <f t="shared" si="29"/>
        <v>2.37</v>
      </c>
      <c r="M138" s="136">
        <f t="shared" si="29"/>
        <v>2.37</v>
      </c>
      <c r="N138" s="136">
        <f t="shared" si="29"/>
        <v>2.37</v>
      </c>
      <c r="O138" s="136">
        <f t="shared" si="29"/>
        <v>2.37</v>
      </c>
      <c r="P138" s="136">
        <f t="shared" si="29"/>
        <v>2.37</v>
      </c>
      <c r="Q138" s="136">
        <f t="shared" si="29"/>
        <v>2.37</v>
      </c>
      <c r="R138" s="136">
        <f t="shared" si="26"/>
        <v>2.37</v>
      </c>
      <c r="S138" s="136">
        <f t="shared" si="26"/>
        <v>2.37</v>
      </c>
      <c r="T138" s="136">
        <f t="shared" si="26"/>
        <v>2.37</v>
      </c>
      <c r="U138" s="136">
        <f t="shared" si="26"/>
        <v>2.37</v>
      </c>
      <c r="V138" s="136">
        <f t="shared" si="28"/>
        <v>2.37</v>
      </c>
      <c r="W138" s="136">
        <f t="shared" si="28"/>
        <v>2.37</v>
      </c>
      <c r="X138" s="136">
        <f t="shared" si="28"/>
        <v>2.37</v>
      </c>
      <c r="Y138" s="136">
        <f t="shared" si="28"/>
        <v>2.37</v>
      </c>
      <c r="Z138" s="136">
        <f t="shared" si="28"/>
        <v>2.37</v>
      </c>
      <c r="AA138" s="136">
        <f t="shared" si="28"/>
        <v>2.37</v>
      </c>
      <c r="AB138" s="136">
        <f t="shared" si="28"/>
        <v>2.37</v>
      </c>
      <c r="AC138" s="136">
        <f t="shared" si="28"/>
        <v>2.37</v>
      </c>
      <c r="AD138" s="136">
        <f t="shared" si="28"/>
        <v>2.37</v>
      </c>
      <c r="AE138" s="136">
        <f t="shared" si="28"/>
        <v>2.37</v>
      </c>
      <c r="AF138" s="136">
        <f t="shared" si="28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9"/>
        <v>1.81</v>
      </c>
      <c r="D139" s="136">
        <f t="shared" si="29"/>
        <v>1.81</v>
      </c>
      <c r="E139" s="136">
        <f t="shared" si="29"/>
        <v>1.81</v>
      </c>
      <c r="F139" s="136">
        <f t="shared" si="29"/>
        <v>1.81</v>
      </c>
      <c r="G139" s="136">
        <f t="shared" si="29"/>
        <v>1.81</v>
      </c>
      <c r="H139" s="136">
        <f t="shared" si="29"/>
        <v>1.81</v>
      </c>
      <c r="I139" s="136">
        <f t="shared" si="29"/>
        <v>1.81</v>
      </c>
      <c r="J139" s="136">
        <f t="shared" si="29"/>
        <v>1.81</v>
      </c>
      <c r="K139" s="136">
        <f t="shared" si="29"/>
        <v>1.81</v>
      </c>
      <c r="L139" s="136">
        <f t="shared" si="29"/>
        <v>1.81</v>
      </c>
      <c r="M139" s="136">
        <f t="shared" si="29"/>
        <v>1.81</v>
      </c>
      <c r="N139" s="136">
        <f t="shared" si="29"/>
        <v>1.81</v>
      </c>
      <c r="O139" s="136">
        <f t="shared" si="29"/>
        <v>1.81</v>
      </c>
      <c r="P139" s="136">
        <f t="shared" si="29"/>
        <v>1.81</v>
      </c>
      <c r="Q139" s="136">
        <f t="shared" si="29"/>
        <v>1.81</v>
      </c>
      <c r="R139" s="136">
        <f t="shared" si="26"/>
        <v>1.81</v>
      </c>
      <c r="S139" s="136">
        <f t="shared" si="26"/>
        <v>1.81</v>
      </c>
      <c r="T139" s="136">
        <f t="shared" si="26"/>
        <v>1.81</v>
      </c>
      <c r="U139" s="136">
        <f t="shared" si="26"/>
        <v>1.81</v>
      </c>
      <c r="V139" s="136">
        <f t="shared" si="28"/>
        <v>1.81</v>
      </c>
      <c r="W139" s="136">
        <f t="shared" si="28"/>
        <v>1.81</v>
      </c>
      <c r="X139" s="136">
        <f t="shared" si="28"/>
        <v>1.81</v>
      </c>
      <c r="Y139" s="136">
        <f t="shared" si="28"/>
        <v>1.81</v>
      </c>
      <c r="Z139" s="136">
        <f t="shared" si="28"/>
        <v>1.81</v>
      </c>
      <c r="AA139" s="136">
        <f t="shared" si="28"/>
        <v>1.81</v>
      </c>
      <c r="AB139" s="136">
        <f t="shared" si="28"/>
        <v>1.81</v>
      </c>
      <c r="AC139" s="136">
        <f t="shared" si="28"/>
        <v>1.81</v>
      </c>
      <c r="AD139" s="136">
        <f t="shared" si="28"/>
        <v>1.81</v>
      </c>
      <c r="AE139" s="136">
        <f t="shared" si="28"/>
        <v>1.81</v>
      </c>
      <c r="AF139" s="136">
        <f t="shared" si="28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9"/>
        <v>1.0900000000000001</v>
      </c>
      <c r="D140" s="136">
        <f t="shared" si="29"/>
        <v>1.0900000000000001</v>
      </c>
      <c r="E140" s="136">
        <f t="shared" si="29"/>
        <v>1.0900000000000001</v>
      </c>
      <c r="F140" s="136">
        <f t="shared" si="29"/>
        <v>1.0900000000000001</v>
      </c>
      <c r="G140" s="136">
        <f t="shared" si="29"/>
        <v>1.0900000000000001</v>
      </c>
      <c r="H140" s="136">
        <f t="shared" si="29"/>
        <v>1.0900000000000001</v>
      </c>
      <c r="I140" s="136">
        <f t="shared" si="29"/>
        <v>1.0900000000000001</v>
      </c>
      <c r="J140" s="136">
        <f t="shared" si="29"/>
        <v>1.0900000000000001</v>
      </c>
      <c r="K140" s="136">
        <f t="shared" si="29"/>
        <v>1.0900000000000001</v>
      </c>
      <c r="L140" s="136">
        <f t="shared" si="29"/>
        <v>1.0900000000000001</v>
      </c>
      <c r="M140" s="136">
        <f t="shared" si="29"/>
        <v>1.0900000000000001</v>
      </c>
      <c r="N140" s="136">
        <f t="shared" si="29"/>
        <v>1.0900000000000001</v>
      </c>
      <c r="O140" s="136">
        <f t="shared" si="29"/>
        <v>1.0900000000000001</v>
      </c>
      <c r="P140" s="136">
        <f t="shared" si="29"/>
        <v>1.0900000000000001</v>
      </c>
      <c r="Q140" s="136">
        <f t="shared" si="29"/>
        <v>1.0900000000000001</v>
      </c>
      <c r="R140" s="136">
        <f t="shared" si="26"/>
        <v>1.0900000000000001</v>
      </c>
      <c r="S140" s="136">
        <f t="shared" si="26"/>
        <v>1.0900000000000001</v>
      </c>
      <c r="T140" s="136">
        <f t="shared" si="26"/>
        <v>1.0900000000000001</v>
      </c>
      <c r="U140" s="136">
        <f t="shared" si="26"/>
        <v>1.0900000000000001</v>
      </c>
      <c r="V140" s="136">
        <f t="shared" si="28"/>
        <v>1.0900000000000001</v>
      </c>
      <c r="W140" s="136">
        <f t="shared" si="28"/>
        <v>1.0900000000000001</v>
      </c>
      <c r="X140" s="136">
        <f t="shared" si="28"/>
        <v>1.0900000000000001</v>
      </c>
      <c r="Y140" s="136">
        <f t="shared" si="28"/>
        <v>1.0900000000000001</v>
      </c>
      <c r="Z140" s="136">
        <f t="shared" si="28"/>
        <v>1.0900000000000001</v>
      </c>
      <c r="AA140" s="136">
        <f t="shared" si="28"/>
        <v>1.0900000000000001</v>
      </c>
      <c r="AB140" s="136">
        <f t="shared" si="28"/>
        <v>1.0900000000000001</v>
      </c>
      <c r="AC140" s="136">
        <f t="shared" si="28"/>
        <v>1.0900000000000001</v>
      </c>
      <c r="AD140" s="136">
        <f t="shared" si="28"/>
        <v>1.0900000000000001</v>
      </c>
      <c r="AE140" s="136">
        <f t="shared" si="28"/>
        <v>1.0900000000000001</v>
      </c>
      <c r="AF140" s="136">
        <f t="shared" si="28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9"/>
        <v>1.58</v>
      </c>
      <c r="D141" s="136">
        <f t="shared" si="29"/>
        <v>1.58</v>
      </c>
      <c r="E141" s="136">
        <f t="shared" si="29"/>
        <v>1.58</v>
      </c>
      <c r="F141" s="136">
        <f t="shared" si="29"/>
        <v>1.58</v>
      </c>
      <c r="G141" s="136">
        <f t="shared" si="29"/>
        <v>1.58</v>
      </c>
      <c r="H141" s="136">
        <f t="shared" si="29"/>
        <v>1.58</v>
      </c>
      <c r="I141" s="136">
        <f t="shared" si="29"/>
        <v>1.58</v>
      </c>
      <c r="J141" s="136">
        <f t="shared" si="29"/>
        <v>1.58</v>
      </c>
      <c r="K141" s="136">
        <f t="shared" si="29"/>
        <v>1.58</v>
      </c>
      <c r="L141" s="136">
        <f t="shared" si="29"/>
        <v>1.58</v>
      </c>
      <c r="M141" s="136">
        <f t="shared" si="29"/>
        <v>1.58</v>
      </c>
      <c r="N141" s="136">
        <f t="shared" si="29"/>
        <v>1.58</v>
      </c>
      <c r="O141" s="136">
        <f t="shared" si="29"/>
        <v>1.58</v>
      </c>
      <c r="P141" s="136">
        <f t="shared" si="29"/>
        <v>1.58</v>
      </c>
      <c r="Q141" s="136">
        <f t="shared" si="29"/>
        <v>1.58</v>
      </c>
      <c r="R141" s="136">
        <f t="shared" si="26"/>
        <v>1.58</v>
      </c>
      <c r="S141" s="136">
        <f t="shared" si="26"/>
        <v>1.58</v>
      </c>
      <c r="T141" s="136">
        <f t="shared" si="26"/>
        <v>1.58</v>
      </c>
      <c r="U141" s="136">
        <f t="shared" si="26"/>
        <v>1.58</v>
      </c>
      <c r="V141" s="136">
        <f t="shared" si="28"/>
        <v>1.58</v>
      </c>
      <c r="W141" s="136">
        <f t="shared" si="28"/>
        <v>1.58</v>
      </c>
      <c r="X141" s="136">
        <f t="shared" si="28"/>
        <v>1.58</v>
      </c>
      <c r="Y141" s="136">
        <f t="shared" si="28"/>
        <v>1.58</v>
      </c>
      <c r="Z141" s="136">
        <f t="shared" si="28"/>
        <v>1.58</v>
      </c>
      <c r="AA141" s="136">
        <f t="shared" si="28"/>
        <v>1.58</v>
      </c>
      <c r="AB141" s="136">
        <f t="shared" si="28"/>
        <v>1.58</v>
      </c>
      <c r="AC141" s="136">
        <f t="shared" si="28"/>
        <v>1.58</v>
      </c>
      <c r="AD141" s="136">
        <f t="shared" si="28"/>
        <v>1.58</v>
      </c>
      <c r="AE141" s="136">
        <f t="shared" si="28"/>
        <v>1.58</v>
      </c>
      <c r="AF141" s="136">
        <f t="shared" si="28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9"/>
        <v>2</v>
      </c>
      <c r="D142" s="136">
        <f t="shared" si="29"/>
        <v>2</v>
      </c>
      <c r="E142" s="136">
        <f t="shared" si="29"/>
        <v>2</v>
      </c>
      <c r="F142" s="136">
        <f t="shared" si="29"/>
        <v>2</v>
      </c>
      <c r="G142" s="136">
        <f t="shared" si="29"/>
        <v>2</v>
      </c>
      <c r="H142" s="136">
        <f t="shared" si="29"/>
        <v>2</v>
      </c>
      <c r="I142" s="136">
        <f t="shared" si="29"/>
        <v>2</v>
      </c>
      <c r="J142" s="136">
        <f t="shared" si="29"/>
        <v>2</v>
      </c>
      <c r="K142" s="136">
        <f t="shared" si="29"/>
        <v>2</v>
      </c>
      <c r="L142" s="136">
        <f t="shared" si="29"/>
        <v>2</v>
      </c>
      <c r="M142" s="136">
        <f t="shared" si="29"/>
        <v>2</v>
      </c>
      <c r="N142" s="136">
        <f t="shared" si="29"/>
        <v>2</v>
      </c>
      <c r="O142" s="136">
        <f t="shared" si="29"/>
        <v>2</v>
      </c>
      <c r="P142" s="136">
        <f t="shared" si="29"/>
        <v>2</v>
      </c>
      <c r="Q142" s="136">
        <f t="shared" si="29"/>
        <v>2</v>
      </c>
      <c r="R142" s="136">
        <f t="shared" si="26"/>
        <v>2</v>
      </c>
      <c r="S142" s="136">
        <f t="shared" si="26"/>
        <v>2</v>
      </c>
      <c r="T142" s="136">
        <f t="shared" si="26"/>
        <v>2</v>
      </c>
      <c r="U142" s="136">
        <f t="shared" si="26"/>
        <v>2</v>
      </c>
      <c r="V142" s="136">
        <f t="shared" si="28"/>
        <v>2</v>
      </c>
      <c r="W142" s="136">
        <f t="shared" si="28"/>
        <v>2</v>
      </c>
      <c r="X142" s="136">
        <f t="shared" si="28"/>
        <v>2</v>
      </c>
      <c r="Y142" s="136">
        <f t="shared" si="28"/>
        <v>2</v>
      </c>
      <c r="Z142" s="136">
        <f t="shared" si="28"/>
        <v>2</v>
      </c>
      <c r="AA142" s="136">
        <f t="shared" si="28"/>
        <v>2</v>
      </c>
      <c r="AB142" s="136">
        <f t="shared" si="28"/>
        <v>2</v>
      </c>
      <c r="AC142" s="136">
        <f t="shared" si="28"/>
        <v>2</v>
      </c>
      <c r="AD142" s="136">
        <f t="shared" si="28"/>
        <v>2</v>
      </c>
      <c r="AE142" s="136">
        <f t="shared" si="28"/>
        <v>2</v>
      </c>
      <c r="AF142" s="136">
        <f t="shared" si="28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9"/>
        <v>0.47</v>
      </c>
      <c r="D143" s="136">
        <f t="shared" si="29"/>
        <v>0.47</v>
      </c>
      <c r="E143" s="136">
        <f t="shared" si="29"/>
        <v>0.47</v>
      </c>
      <c r="F143" s="136">
        <f t="shared" si="29"/>
        <v>0.47</v>
      </c>
      <c r="G143" s="136">
        <f t="shared" si="29"/>
        <v>0.47</v>
      </c>
      <c r="H143" s="136">
        <f t="shared" si="29"/>
        <v>0.47</v>
      </c>
      <c r="I143" s="136">
        <f t="shared" si="29"/>
        <v>0.47</v>
      </c>
      <c r="J143" s="136">
        <f t="shared" si="29"/>
        <v>0.47</v>
      </c>
      <c r="K143" s="136">
        <f t="shared" si="29"/>
        <v>0.47</v>
      </c>
      <c r="L143" s="136">
        <f t="shared" si="29"/>
        <v>0.47</v>
      </c>
      <c r="M143" s="136">
        <f t="shared" si="29"/>
        <v>0.47</v>
      </c>
      <c r="N143" s="136">
        <f t="shared" si="29"/>
        <v>0.47</v>
      </c>
      <c r="O143" s="136">
        <f t="shared" si="29"/>
        <v>0.47</v>
      </c>
      <c r="P143" s="136">
        <f t="shared" si="29"/>
        <v>0.47</v>
      </c>
      <c r="Q143" s="136">
        <f t="shared" si="29"/>
        <v>0.47</v>
      </c>
      <c r="R143" s="136">
        <f t="shared" si="26"/>
        <v>0.47</v>
      </c>
      <c r="S143" s="136">
        <f t="shared" si="26"/>
        <v>0.47</v>
      </c>
      <c r="T143" s="136">
        <f t="shared" si="26"/>
        <v>0.47</v>
      </c>
      <c r="U143" s="136">
        <f t="shared" si="26"/>
        <v>0.47</v>
      </c>
      <c r="V143" s="136">
        <f t="shared" si="28"/>
        <v>0.47</v>
      </c>
      <c r="W143" s="136">
        <f t="shared" si="28"/>
        <v>0.47</v>
      </c>
      <c r="X143" s="136">
        <f t="shared" si="28"/>
        <v>0.47</v>
      </c>
      <c r="Y143" s="136">
        <f t="shared" si="28"/>
        <v>0.47</v>
      </c>
      <c r="Z143" s="136">
        <f t="shared" si="28"/>
        <v>0.47</v>
      </c>
      <c r="AA143" s="136">
        <f t="shared" si="28"/>
        <v>0.47</v>
      </c>
      <c r="AB143" s="136">
        <f t="shared" si="28"/>
        <v>0.47</v>
      </c>
      <c r="AC143" s="136">
        <f t="shared" si="28"/>
        <v>0.47</v>
      </c>
      <c r="AD143" s="136">
        <f t="shared" si="28"/>
        <v>0.47</v>
      </c>
      <c r="AE143" s="136">
        <f t="shared" si="28"/>
        <v>0.47</v>
      </c>
      <c r="AF143" s="136">
        <f t="shared" si="28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9"/>
        <v>0</v>
      </c>
      <c r="D144" s="136">
        <f t="shared" si="29"/>
        <v>0</v>
      </c>
      <c r="E144" s="136">
        <f t="shared" si="29"/>
        <v>0</v>
      </c>
      <c r="F144" s="136">
        <f t="shared" si="29"/>
        <v>0</v>
      </c>
      <c r="G144" s="136">
        <f t="shared" si="29"/>
        <v>0</v>
      </c>
      <c r="H144" s="136">
        <f t="shared" si="29"/>
        <v>0</v>
      </c>
      <c r="I144" s="136">
        <f t="shared" si="29"/>
        <v>0</v>
      </c>
      <c r="J144" s="136">
        <f t="shared" si="29"/>
        <v>0</v>
      </c>
      <c r="K144" s="136">
        <f t="shared" si="29"/>
        <v>0</v>
      </c>
      <c r="L144" s="136">
        <f t="shared" si="29"/>
        <v>0</v>
      </c>
      <c r="M144" s="136">
        <f t="shared" si="29"/>
        <v>0</v>
      </c>
      <c r="N144" s="136">
        <f t="shared" si="29"/>
        <v>0</v>
      </c>
      <c r="O144" s="136">
        <f t="shared" si="29"/>
        <v>0</v>
      </c>
      <c r="P144" s="136">
        <f t="shared" si="29"/>
        <v>0</v>
      </c>
      <c r="Q144" s="136">
        <f t="shared" si="29"/>
        <v>0</v>
      </c>
      <c r="R144" s="136">
        <f t="shared" si="26"/>
        <v>0</v>
      </c>
      <c r="S144" s="136">
        <f t="shared" si="26"/>
        <v>0</v>
      </c>
      <c r="T144" s="136">
        <f t="shared" si="26"/>
        <v>0</v>
      </c>
      <c r="U144" s="136">
        <f t="shared" si="26"/>
        <v>0</v>
      </c>
      <c r="V144" s="136">
        <f t="shared" si="28"/>
        <v>0</v>
      </c>
      <c r="W144" s="136">
        <f t="shared" si="28"/>
        <v>0</v>
      </c>
      <c r="X144" s="136">
        <f t="shared" si="28"/>
        <v>0</v>
      </c>
      <c r="Y144" s="136">
        <f t="shared" si="28"/>
        <v>0</v>
      </c>
      <c r="Z144" s="136">
        <f t="shared" si="28"/>
        <v>0</v>
      </c>
      <c r="AA144" s="136">
        <f t="shared" si="28"/>
        <v>0</v>
      </c>
      <c r="AB144" s="136">
        <f t="shared" si="28"/>
        <v>0</v>
      </c>
      <c r="AC144" s="136">
        <f t="shared" si="28"/>
        <v>0</v>
      </c>
      <c r="AD144" s="136">
        <f t="shared" si="28"/>
        <v>0</v>
      </c>
      <c r="AE144" s="136">
        <f t="shared" si="28"/>
        <v>0</v>
      </c>
      <c r="AF144" s="136">
        <f t="shared" si="28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9"/>
        <v>0</v>
      </c>
      <c r="D145" s="136">
        <f t="shared" si="29"/>
        <v>0</v>
      </c>
      <c r="E145" s="136">
        <f t="shared" si="29"/>
        <v>0</v>
      </c>
      <c r="F145" s="136">
        <f t="shared" si="29"/>
        <v>0</v>
      </c>
      <c r="G145" s="136">
        <f t="shared" si="29"/>
        <v>0</v>
      </c>
      <c r="H145" s="136">
        <f t="shared" si="29"/>
        <v>0</v>
      </c>
      <c r="I145" s="136">
        <f t="shared" si="29"/>
        <v>0</v>
      </c>
      <c r="J145" s="136">
        <f t="shared" si="29"/>
        <v>0</v>
      </c>
      <c r="K145" s="136">
        <f t="shared" si="29"/>
        <v>0</v>
      </c>
      <c r="L145" s="136">
        <f t="shared" si="29"/>
        <v>0</v>
      </c>
      <c r="M145" s="136">
        <f t="shared" si="29"/>
        <v>0</v>
      </c>
      <c r="N145" s="136">
        <f t="shared" si="29"/>
        <v>0</v>
      </c>
      <c r="O145" s="136">
        <f t="shared" si="29"/>
        <v>0</v>
      </c>
      <c r="P145" s="136">
        <f t="shared" si="29"/>
        <v>0</v>
      </c>
      <c r="Q145" s="136">
        <f t="shared" si="29"/>
        <v>0</v>
      </c>
      <c r="R145" s="136">
        <f t="shared" si="26"/>
        <v>0</v>
      </c>
      <c r="S145" s="136">
        <f t="shared" si="26"/>
        <v>0</v>
      </c>
      <c r="T145" s="136">
        <f t="shared" si="26"/>
        <v>0</v>
      </c>
      <c r="U145" s="136">
        <f t="shared" si="26"/>
        <v>0</v>
      </c>
      <c r="V145" s="136">
        <f t="shared" si="28"/>
        <v>0</v>
      </c>
      <c r="W145" s="136">
        <f t="shared" si="28"/>
        <v>0</v>
      </c>
      <c r="X145" s="136">
        <f t="shared" si="28"/>
        <v>0</v>
      </c>
      <c r="Y145" s="136">
        <f t="shared" si="28"/>
        <v>0</v>
      </c>
      <c r="Z145" s="136">
        <f t="shared" si="28"/>
        <v>0</v>
      </c>
      <c r="AA145" s="136">
        <f t="shared" si="28"/>
        <v>0</v>
      </c>
      <c r="AB145" s="136">
        <f t="shared" si="28"/>
        <v>0</v>
      </c>
      <c r="AC145" s="136">
        <f t="shared" si="28"/>
        <v>0</v>
      </c>
      <c r="AD145" s="136">
        <f t="shared" si="28"/>
        <v>0</v>
      </c>
      <c r="AE145" s="136">
        <f t="shared" si="28"/>
        <v>0</v>
      </c>
      <c r="AF145" s="136">
        <f t="shared" si="28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9"/>
        <v>0.8</v>
      </c>
      <c r="D146" s="136">
        <f t="shared" si="29"/>
        <v>0.8</v>
      </c>
      <c r="E146" s="136">
        <f t="shared" si="29"/>
        <v>0.8</v>
      </c>
      <c r="F146" s="136">
        <f t="shared" si="29"/>
        <v>0.8</v>
      </c>
      <c r="G146" s="136">
        <f t="shared" si="29"/>
        <v>0.8</v>
      </c>
      <c r="H146" s="136">
        <f t="shared" si="29"/>
        <v>0.8</v>
      </c>
      <c r="I146" s="136">
        <f t="shared" si="29"/>
        <v>0.8</v>
      </c>
      <c r="J146" s="136">
        <f t="shared" si="29"/>
        <v>0.8</v>
      </c>
      <c r="K146" s="136">
        <f t="shared" si="29"/>
        <v>0.8</v>
      </c>
      <c r="L146" s="136">
        <f t="shared" si="29"/>
        <v>0.8</v>
      </c>
      <c r="M146" s="136">
        <f t="shared" si="29"/>
        <v>0.8</v>
      </c>
      <c r="N146" s="136">
        <f t="shared" si="29"/>
        <v>0.8</v>
      </c>
      <c r="O146" s="136">
        <f t="shared" si="29"/>
        <v>0.8</v>
      </c>
      <c r="P146" s="136">
        <f t="shared" si="29"/>
        <v>0.8</v>
      </c>
      <c r="Q146" s="136">
        <f t="shared" si="29"/>
        <v>0.8</v>
      </c>
      <c r="R146" s="136">
        <f t="shared" si="26"/>
        <v>0.8</v>
      </c>
      <c r="S146" s="136">
        <f t="shared" si="26"/>
        <v>0.8</v>
      </c>
      <c r="T146" s="136">
        <f t="shared" si="26"/>
        <v>0.8</v>
      </c>
      <c r="U146" s="136">
        <f t="shared" si="26"/>
        <v>0.8</v>
      </c>
      <c r="V146" s="136">
        <f t="shared" si="28"/>
        <v>0.8</v>
      </c>
      <c r="W146" s="136">
        <f t="shared" si="28"/>
        <v>0.8</v>
      </c>
      <c r="X146" s="136">
        <f t="shared" ref="X146:AF170" si="30">W146</f>
        <v>0.8</v>
      </c>
      <c r="Y146" s="136">
        <f t="shared" si="30"/>
        <v>0.8</v>
      </c>
      <c r="Z146" s="136">
        <f t="shared" si="30"/>
        <v>0.8</v>
      </c>
      <c r="AA146" s="136">
        <f t="shared" si="30"/>
        <v>0.8</v>
      </c>
      <c r="AB146" s="136">
        <f t="shared" si="30"/>
        <v>0.8</v>
      </c>
      <c r="AC146" s="136">
        <f t="shared" si="30"/>
        <v>0.8</v>
      </c>
      <c r="AD146" s="136">
        <f t="shared" si="30"/>
        <v>0.8</v>
      </c>
      <c r="AE146" s="136">
        <f t="shared" si="30"/>
        <v>0.8</v>
      </c>
      <c r="AF146" s="136">
        <f t="shared" si="30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9"/>
        <v>1.5</v>
      </c>
      <c r="D147" s="136">
        <f t="shared" si="29"/>
        <v>1.5</v>
      </c>
      <c r="E147" s="136">
        <f t="shared" si="29"/>
        <v>1.5</v>
      </c>
      <c r="F147" s="136">
        <f t="shared" si="29"/>
        <v>1.5</v>
      </c>
      <c r="G147" s="136">
        <f t="shared" si="29"/>
        <v>1.5</v>
      </c>
      <c r="H147" s="136">
        <f t="shared" si="29"/>
        <v>1.5</v>
      </c>
      <c r="I147" s="136">
        <f t="shared" si="29"/>
        <v>1.5</v>
      </c>
      <c r="J147" s="136">
        <f t="shared" si="29"/>
        <v>1.5</v>
      </c>
      <c r="K147" s="136">
        <f t="shared" si="29"/>
        <v>1.5</v>
      </c>
      <c r="L147" s="136">
        <f t="shared" si="29"/>
        <v>1.5</v>
      </c>
      <c r="M147" s="136">
        <f t="shared" si="29"/>
        <v>1.5</v>
      </c>
      <c r="N147" s="136">
        <f t="shared" si="29"/>
        <v>1.5</v>
      </c>
      <c r="O147" s="136">
        <f t="shared" si="29"/>
        <v>1.5</v>
      </c>
      <c r="P147" s="136">
        <f t="shared" si="29"/>
        <v>1.5</v>
      </c>
      <c r="Q147" s="136">
        <f t="shared" si="29"/>
        <v>1.5</v>
      </c>
      <c r="R147" s="136">
        <f t="shared" si="26"/>
        <v>1.5</v>
      </c>
      <c r="S147" s="136">
        <f t="shared" si="26"/>
        <v>1.5</v>
      </c>
      <c r="T147" s="136">
        <f t="shared" si="26"/>
        <v>1.5</v>
      </c>
      <c r="U147" s="136">
        <f t="shared" si="26"/>
        <v>1.5</v>
      </c>
      <c r="V147" s="136">
        <f t="shared" si="26"/>
        <v>1.5</v>
      </c>
      <c r="W147" s="136">
        <f t="shared" si="26"/>
        <v>1.5</v>
      </c>
      <c r="X147" s="136">
        <f t="shared" si="30"/>
        <v>1.5</v>
      </c>
      <c r="Y147" s="136">
        <f t="shared" si="30"/>
        <v>1.5</v>
      </c>
      <c r="Z147" s="136">
        <f t="shared" si="30"/>
        <v>1.5</v>
      </c>
      <c r="AA147" s="136">
        <f t="shared" si="30"/>
        <v>1.5</v>
      </c>
      <c r="AB147" s="136">
        <f t="shared" si="30"/>
        <v>1.5</v>
      </c>
      <c r="AC147" s="136">
        <f t="shared" si="30"/>
        <v>1.5</v>
      </c>
      <c r="AD147" s="136">
        <f t="shared" si="30"/>
        <v>1.5</v>
      </c>
      <c r="AE147" s="136">
        <f t="shared" si="30"/>
        <v>1.5</v>
      </c>
      <c r="AF147" s="136">
        <f t="shared" si="30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9"/>
        <v>1</v>
      </c>
      <c r="D148" s="136">
        <f t="shared" si="29"/>
        <v>1</v>
      </c>
      <c r="E148" s="136">
        <f t="shared" si="29"/>
        <v>1</v>
      </c>
      <c r="F148" s="136">
        <f t="shared" si="29"/>
        <v>1</v>
      </c>
      <c r="G148" s="136">
        <f t="shared" si="29"/>
        <v>1</v>
      </c>
      <c r="H148" s="136">
        <f t="shared" si="29"/>
        <v>1</v>
      </c>
      <c r="I148" s="136">
        <f t="shared" si="29"/>
        <v>1</v>
      </c>
      <c r="J148" s="136">
        <f t="shared" si="29"/>
        <v>1</v>
      </c>
      <c r="K148" s="136">
        <f t="shared" si="29"/>
        <v>1</v>
      </c>
      <c r="L148" s="136">
        <f t="shared" si="29"/>
        <v>1</v>
      </c>
      <c r="M148" s="136">
        <f t="shared" si="29"/>
        <v>1</v>
      </c>
      <c r="N148" s="136">
        <f t="shared" si="29"/>
        <v>1</v>
      </c>
      <c r="O148" s="136">
        <f t="shared" si="29"/>
        <v>1</v>
      </c>
      <c r="P148" s="136">
        <f t="shared" si="29"/>
        <v>1</v>
      </c>
      <c r="Q148" s="136">
        <f t="shared" si="29"/>
        <v>1</v>
      </c>
      <c r="R148" s="136">
        <f t="shared" si="26"/>
        <v>1</v>
      </c>
      <c r="S148" s="136">
        <f t="shared" si="26"/>
        <v>1</v>
      </c>
      <c r="T148" s="136">
        <f t="shared" si="26"/>
        <v>1</v>
      </c>
      <c r="U148" s="136">
        <f t="shared" si="26"/>
        <v>1</v>
      </c>
      <c r="V148" s="136">
        <f t="shared" si="26"/>
        <v>1</v>
      </c>
      <c r="W148" s="136">
        <f t="shared" si="26"/>
        <v>1</v>
      </c>
      <c r="X148" s="136">
        <f t="shared" si="30"/>
        <v>1</v>
      </c>
      <c r="Y148" s="136">
        <f t="shared" si="30"/>
        <v>1</v>
      </c>
      <c r="Z148" s="136">
        <f t="shared" si="30"/>
        <v>1</v>
      </c>
      <c r="AA148" s="136">
        <f t="shared" si="30"/>
        <v>1</v>
      </c>
      <c r="AB148" s="136">
        <f t="shared" si="30"/>
        <v>1</v>
      </c>
      <c r="AC148" s="136">
        <f t="shared" si="30"/>
        <v>1</v>
      </c>
      <c r="AD148" s="136">
        <f t="shared" si="30"/>
        <v>1</v>
      </c>
      <c r="AE148" s="136">
        <f t="shared" si="30"/>
        <v>1</v>
      </c>
      <c r="AF148" s="136">
        <f t="shared" si="30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9"/>
        <v>1</v>
      </c>
      <c r="D149" s="136">
        <f t="shared" si="29"/>
        <v>1</v>
      </c>
      <c r="E149" s="136">
        <f t="shared" si="29"/>
        <v>1</v>
      </c>
      <c r="F149" s="136">
        <f t="shared" si="29"/>
        <v>1</v>
      </c>
      <c r="G149" s="136">
        <f t="shared" si="29"/>
        <v>1</v>
      </c>
      <c r="H149" s="136">
        <f t="shared" si="29"/>
        <v>1</v>
      </c>
      <c r="I149" s="136">
        <f t="shared" si="29"/>
        <v>1</v>
      </c>
      <c r="J149" s="136">
        <f t="shared" si="29"/>
        <v>1</v>
      </c>
      <c r="K149" s="136">
        <f t="shared" si="29"/>
        <v>1</v>
      </c>
      <c r="L149" s="136">
        <f t="shared" si="29"/>
        <v>1</v>
      </c>
      <c r="M149" s="136">
        <f t="shared" si="29"/>
        <v>1</v>
      </c>
      <c r="N149" s="136">
        <f t="shared" si="29"/>
        <v>1</v>
      </c>
      <c r="O149" s="136">
        <f t="shared" si="29"/>
        <v>1</v>
      </c>
      <c r="P149" s="136">
        <f t="shared" si="29"/>
        <v>1</v>
      </c>
      <c r="Q149" s="136">
        <f t="shared" si="29"/>
        <v>1</v>
      </c>
      <c r="R149" s="136">
        <f t="shared" si="26"/>
        <v>1</v>
      </c>
      <c r="S149" s="136">
        <f t="shared" si="26"/>
        <v>1</v>
      </c>
      <c r="T149" s="136">
        <f t="shared" si="26"/>
        <v>1</v>
      </c>
      <c r="U149" s="136">
        <f t="shared" si="26"/>
        <v>1</v>
      </c>
      <c r="V149" s="136">
        <f t="shared" si="26"/>
        <v>1</v>
      </c>
      <c r="W149" s="136">
        <f t="shared" si="26"/>
        <v>1</v>
      </c>
      <c r="X149" s="136">
        <f t="shared" si="30"/>
        <v>1</v>
      </c>
      <c r="Y149" s="136">
        <f t="shared" si="30"/>
        <v>1</v>
      </c>
      <c r="Z149" s="136">
        <f t="shared" si="30"/>
        <v>1</v>
      </c>
      <c r="AA149" s="136">
        <f t="shared" si="30"/>
        <v>1</v>
      </c>
      <c r="AB149" s="136">
        <f t="shared" si="30"/>
        <v>1</v>
      </c>
      <c r="AC149" s="136">
        <f t="shared" si="30"/>
        <v>1</v>
      </c>
      <c r="AD149" s="136">
        <f t="shared" si="30"/>
        <v>1</v>
      </c>
      <c r="AE149" s="136">
        <f t="shared" si="30"/>
        <v>1</v>
      </c>
      <c r="AF149" s="136">
        <f t="shared" si="30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9"/>
        <v>0.42</v>
      </c>
      <c r="D150" s="136">
        <f t="shared" si="29"/>
        <v>0.42</v>
      </c>
      <c r="E150" s="136">
        <f t="shared" si="29"/>
        <v>0.42</v>
      </c>
      <c r="F150" s="136">
        <f t="shared" si="29"/>
        <v>0.42</v>
      </c>
      <c r="G150" s="136">
        <f t="shared" si="29"/>
        <v>0.42</v>
      </c>
      <c r="H150" s="136">
        <f t="shared" si="29"/>
        <v>0.42</v>
      </c>
      <c r="I150" s="136">
        <f t="shared" si="29"/>
        <v>0.42</v>
      </c>
      <c r="J150" s="136">
        <f t="shared" si="29"/>
        <v>0.42</v>
      </c>
      <c r="K150" s="136">
        <f t="shared" si="29"/>
        <v>0.42</v>
      </c>
      <c r="L150" s="136">
        <f t="shared" si="29"/>
        <v>0.42</v>
      </c>
      <c r="M150" s="136">
        <f t="shared" si="29"/>
        <v>0.42</v>
      </c>
      <c r="N150" s="136">
        <f t="shared" si="29"/>
        <v>0.42</v>
      </c>
      <c r="O150" s="136">
        <f t="shared" si="29"/>
        <v>0.42</v>
      </c>
      <c r="P150" s="136">
        <f t="shared" si="29"/>
        <v>0.42</v>
      </c>
      <c r="Q150" s="136">
        <f t="shared" si="29"/>
        <v>0.42</v>
      </c>
      <c r="R150" s="136">
        <f t="shared" si="26"/>
        <v>0.42</v>
      </c>
      <c r="S150" s="136">
        <f t="shared" si="26"/>
        <v>0.42</v>
      </c>
      <c r="T150" s="136">
        <f t="shared" si="26"/>
        <v>0.42</v>
      </c>
      <c r="U150" s="136">
        <f t="shared" si="26"/>
        <v>0.42</v>
      </c>
      <c r="V150" s="136">
        <f t="shared" si="26"/>
        <v>0.42</v>
      </c>
      <c r="W150" s="136">
        <f t="shared" si="26"/>
        <v>0.42</v>
      </c>
      <c r="X150" s="136">
        <f t="shared" si="30"/>
        <v>0.42</v>
      </c>
      <c r="Y150" s="136">
        <f t="shared" si="30"/>
        <v>0.42</v>
      </c>
      <c r="Z150" s="136">
        <f t="shared" si="30"/>
        <v>0.42</v>
      </c>
      <c r="AA150" s="136">
        <f t="shared" si="30"/>
        <v>0.42</v>
      </c>
      <c r="AB150" s="136">
        <f t="shared" si="30"/>
        <v>0.42</v>
      </c>
      <c r="AC150" s="136">
        <f t="shared" si="30"/>
        <v>0.42</v>
      </c>
      <c r="AD150" s="136">
        <f t="shared" si="30"/>
        <v>0.42</v>
      </c>
      <c r="AE150" s="136">
        <f t="shared" si="30"/>
        <v>0.42</v>
      </c>
      <c r="AF150" s="136">
        <f t="shared" si="30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9"/>
        <v>0.46</v>
      </c>
      <c r="D151" s="136">
        <f t="shared" si="29"/>
        <v>0.46</v>
      </c>
      <c r="E151" s="136">
        <f t="shared" si="29"/>
        <v>0.46</v>
      </c>
      <c r="F151" s="136">
        <f t="shared" si="29"/>
        <v>0.46</v>
      </c>
      <c r="G151" s="136">
        <f t="shared" si="29"/>
        <v>0.46</v>
      </c>
      <c r="H151" s="136">
        <f t="shared" si="29"/>
        <v>0.46</v>
      </c>
      <c r="I151" s="136">
        <f t="shared" si="29"/>
        <v>0.46</v>
      </c>
      <c r="J151" s="136">
        <f t="shared" si="29"/>
        <v>0.46</v>
      </c>
      <c r="K151" s="136">
        <f t="shared" si="29"/>
        <v>0.46</v>
      </c>
      <c r="L151" s="136">
        <f t="shared" si="29"/>
        <v>0.46</v>
      </c>
      <c r="M151" s="136">
        <f t="shared" si="29"/>
        <v>0.46</v>
      </c>
      <c r="N151" s="136">
        <f t="shared" si="29"/>
        <v>0.46</v>
      </c>
      <c r="O151" s="136">
        <f t="shared" si="29"/>
        <v>0.46</v>
      </c>
      <c r="P151" s="136">
        <f t="shared" si="29"/>
        <v>0.46</v>
      </c>
      <c r="Q151" s="136">
        <f t="shared" si="29"/>
        <v>0.46</v>
      </c>
      <c r="R151" s="136">
        <f t="shared" si="26"/>
        <v>0.46</v>
      </c>
      <c r="S151" s="136">
        <f t="shared" si="26"/>
        <v>0.46</v>
      </c>
      <c r="T151" s="136">
        <f t="shared" si="26"/>
        <v>0.46</v>
      </c>
      <c r="U151" s="136">
        <f t="shared" si="26"/>
        <v>0.46</v>
      </c>
      <c r="V151" s="136">
        <f t="shared" si="26"/>
        <v>0.46</v>
      </c>
      <c r="W151" s="136">
        <f t="shared" si="26"/>
        <v>0.46</v>
      </c>
      <c r="X151" s="136">
        <f t="shared" si="30"/>
        <v>0.46</v>
      </c>
      <c r="Y151" s="136">
        <f t="shared" si="30"/>
        <v>0.46</v>
      </c>
      <c r="Z151" s="136">
        <f t="shared" si="30"/>
        <v>0.46</v>
      </c>
      <c r="AA151" s="136">
        <f t="shared" si="30"/>
        <v>0.46</v>
      </c>
      <c r="AB151" s="136">
        <f t="shared" si="30"/>
        <v>0.46</v>
      </c>
      <c r="AC151" s="136">
        <f t="shared" si="30"/>
        <v>0.46</v>
      </c>
      <c r="AD151" s="136">
        <f t="shared" si="30"/>
        <v>0.46</v>
      </c>
      <c r="AE151" s="136">
        <f t="shared" si="30"/>
        <v>0.46</v>
      </c>
      <c r="AF151" s="136">
        <f t="shared" si="30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9"/>
        <v>0.85</v>
      </c>
      <c r="D152" s="136">
        <f t="shared" si="29"/>
        <v>0.85</v>
      </c>
      <c r="E152" s="136">
        <f t="shared" si="29"/>
        <v>0.85</v>
      </c>
      <c r="F152" s="136">
        <f t="shared" si="29"/>
        <v>0.85</v>
      </c>
      <c r="G152" s="136">
        <f t="shared" si="29"/>
        <v>0.85</v>
      </c>
      <c r="H152" s="136">
        <f t="shared" si="29"/>
        <v>0.85</v>
      </c>
      <c r="I152" s="136">
        <f t="shared" si="29"/>
        <v>0.85</v>
      </c>
      <c r="J152" s="136">
        <f t="shared" si="29"/>
        <v>0.85</v>
      </c>
      <c r="K152" s="136">
        <f t="shared" si="29"/>
        <v>0.85</v>
      </c>
      <c r="L152" s="136">
        <f t="shared" si="29"/>
        <v>0.85</v>
      </c>
      <c r="M152" s="136">
        <f t="shared" si="29"/>
        <v>0.85</v>
      </c>
      <c r="N152" s="136">
        <f t="shared" si="29"/>
        <v>0.85</v>
      </c>
      <c r="O152" s="136">
        <f t="shared" si="29"/>
        <v>0.85</v>
      </c>
      <c r="P152" s="136">
        <f t="shared" si="29"/>
        <v>0.85</v>
      </c>
      <c r="Q152" s="136">
        <f t="shared" si="29"/>
        <v>0.85</v>
      </c>
      <c r="R152" s="136">
        <f t="shared" si="26"/>
        <v>0.85</v>
      </c>
      <c r="S152" s="136">
        <f t="shared" si="26"/>
        <v>0.85</v>
      </c>
      <c r="T152" s="136">
        <f t="shared" si="26"/>
        <v>0.85</v>
      </c>
      <c r="U152" s="136">
        <f t="shared" si="26"/>
        <v>0.85</v>
      </c>
      <c r="V152" s="136">
        <f t="shared" si="26"/>
        <v>0.85</v>
      </c>
      <c r="W152" s="136">
        <f t="shared" si="26"/>
        <v>0.85</v>
      </c>
      <c r="X152" s="136">
        <f t="shared" si="30"/>
        <v>0.85</v>
      </c>
      <c r="Y152" s="136">
        <f t="shared" si="30"/>
        <v>0.85</v>
      </c>
      <c r="Z152" s="136">
        <f t="shared" si="30"/>
        <v>0.85</v>
      </c>
      <c r="AA152" s="136">
        <f t="shared" si="30"/>
        <v>0.85</v>
      </c>
      <c r="AB152" s="136">
        <f t="shared" si="30"/>
        <v>0.85</v>
      </c>
      <c r="AC152" s="136">
        <f t="shared" si="30"/>
        <v>0.85</v>
      </c>
      <c r="AD152" s="136">
        <f t="shared" si="30"/>
        <v>0.85</v>
      </c>
      <c r="AE152" s="136">
        <f t="shared" si="30"/>
        <v>0.85</v>
      </c>
      <c r="AF152" s="136">
        <f t="shared" si="30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9"/>
        <v>0.9</v>
      </c>
      <c r="D153" s="136">
        <f t="shared" si="29"/>
        <v>0.9</v>
      </c>
      <c r="E153" s="136">
        <f t="shared" si="29"/>
        <v>0.9</v>
      </c>
      <c r="F153" s="136">
        <f t="shared" si="29"/>
        <v>0.9</v>
      </c>
      <c r="G153" s="136">
        <f t="shared" si="29"/>
        <v>0.9</v>
      </c>
      <c r="H153" s="136">
        <f t="shared" si="29"/>
        <v>0.9</v>
      </c>
      <c r="I153" s="136">
        <f t="shared" si="29"/>
        <v>0.9</v>
      </c>
      <c r="J153" s="136">
        <f t="shared" si="29"/>
        <v>0.9</v>
      </c>
      <c r="K153" s="136">
        <f t="shared" si="29"/>
        <v>0.9</v>
      </c>
      <c r="L153" s="136">
        <f t="shared" si="29"/>
        <v>0.9</v>
      </c>
      <c r="M153" s="136">
        <f t="shared" si="29"/>
        <v>0.9</v>
      </c>
      <c r="N153" s="136">
        <f t="shared" si="29"/>
        <v>0.9</v>
      </c>
      <c r="O153" s="136">
        <f t="shared" si="29"/>
        <v>0.9</v>
      </c>
      <c r="P153" s="136">
        <f t="shared" si="29"/>
        <v>0.9</v>
      </c>
      <c r="Q153" s="136">
        <f t="shared" si="29"/>
        <v>0.9</v>
      </c>
      <c r="R153" s="136">
        <f t="shared" si="26"/>
        <v>0.9</v>
      </c>
      <c r="S153" s="136">
        <f t="shared" si="26"/>
        <v>0.9</v>
      </c>
      <c r="T153" s="136">
        <f t="shared" si="26"/>
        <v>0.9</v>
      </c>
      <c r="U153" s="136">
        <f t="shared" si="26"/>
        <v>0.9</v>
      </c>
      <c r="V153" s="136">
        <f t="shared" si="26"/>
        <v>0.9</v>
      </c>
      <c r="W153" s="136">
        <f t="shared" si="26"/>
        <v>0.9</v>
      </c>
      <c r="X153" s="136">
        <f t="shared" si="30"/>
        <v>0.9</v>
      </c>
      <c r="Y153" s="136">
        <f t="shared" si="30"/>
        <v>0.9</v>
      </c>
      <c r="Z153" s="136">
        <f t="shared" si="30"/>
        <v>0.9</v>
      </c>
      <c r="AA153" s="136">
        <f t="shared" si="30"/>
        <v>0.9</v>
      </c>
      <c r="AB153" s="136">
        <f t="shared" si="30"/>
        <v>0.9</v>
      </c>
      <c r="AC153" s="136">
        <f t="shared" si="30"/>
        <v>0.9</v>
      </c>
      <c r="AD153" s="136">
        <f t="shared" si="30"/>
        <v>0.9</v>
      </c>
      <c r="AE153" s="136">
        <f t="shared" si="30"/>
        <v>0.9</v>
      </c>
      <c r="AF153" s="136">
        <f t="shared" si="30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9"/>
        <v>0.44</v>
      </c>
      <c r="D154" s="136">
        <f t="shared" si="29"/>
        <v>0.44</v>
      </c>
      <c r="E154" s="136">
        <f t="shared" si="29"/>
        <v>0.44</v>
      </c>
      <c r="F154" s="136">
        <f t="shared" si="29"/>
        <v>0.44</v>
      </c>
      <c r="G154" s="136">
        <f t="shared" si="29"/>
        <v>0.44</v>
      </c>
      <c r="H154" s="136">
        <f t="shared" si="29"/>
        <v>0.44</v>
      </c>
      <c r="I154" s="136">
        <f t="shared" si="29"/>
        <v>0.44</v>
      </c>
      <c r="J154" s="136">
        <f t="shared" si="29"/>
        <v>0.44</v>
      </c>
      <c r="K154" s="136">
        <f t="shared" si="29"/>
        <v>0.44</v>
      </c>
      <c r="L154" s="136">
        <f t="shared" si="29"/>
        <v>0.44</v>
      </c>
      <c r="M154" s="136">
        <f t="shared" si="29"/>
        <v>0.44</v>
      </c>
      <c r="N154" s="136">
        <f t="shared" si="29"/>
        <v>0.44</v>
      </c>
      <c r="O154" s="136">
        <f t="shared" si="29"/>
        <v>0.44</v>
      </c>
      <c r="P154" s="136">
        <f t="shared" si="29"/>
        <v>0.44</v>
      </c>
      <c r="Q154" s="136">
        <f t="shared" si="29"/>
        <v>0.44</v>
      </c>
      <c r="R154" s="136">
        <f t="shared" si="26"/>
        <v>0.44</v>
      </c>
      <c r="S154" s="136">
        <f t="shared" si="26"/>
        <v>0.44</v>
      </c>
      <c r="T154" s="136">
        <f t="shared" si="26"/>
        <v>0.44</v>
      </c>
      <c r="U154" s="136">
        <f t="shared" si="26"/>
        <v>0.44</v>
      </c>
      <c r="V154" s="136">
        <f t="shared" si="26"/>
        <v>0.44</v>
      </c>
      <c r="W154" s="136">
        <f t="shared" si="26"/>
        <v>0.44</v>
      </c>
      <c r="X154" s="136">
        <f t="shared" si="30"/>
        <v>0.44</v>
      </c>
      <c r="Y154" s="136">
        <f t="shared" si="30"/>
        <v>0.44</v>
      </c>
      <c r="Z154" s="136">
        <f t="shared" si="30"/>
        <v>0.44</v>
      </c>
      <c r="AA154" s="136">
        <f t="shared" si="30"/>
        <v>0.44</v>
      </c>
      <c r="AB154" s="136">
        <f t="shared" si="30"/>
        <v>0.44</v>
      </c>
      <c r="AC154" s="136">
        <f t="shared" si="30"/>
        <v>0.44</v>
      </c>
      <c r="AD154" s="136">
        <f t="shared" si="30"/>
        <v>0.44</v>
      </c>
      <c r="AE154" s="136">
        <f t="shared" si="30"/>
        <v>0.44</v>
      </c>
      <c r="AF154" s="136">
        <f t="shared" si="30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1">B155</f>
        <v>0.9</v>
      </c>
      <c r="D155" s="136">
        <f t="shared" si="31"/>
        <v>0.9</v>
      </c>
      <c r="E155" s="136">
        <f t="shared" si="31"/>
        <v>0.9</v>
      </c>
      <c r="F155" s="136">
        <f t="shared" si="31"/>
        <v>0.9</v>
      </c>
      <c r="G155" s="136">
        <f t="shared" si="31"/>
        <v>0.9</v>
      </c>
      <c r="H155" s="136">
        <f t="shared" si="31"/>
        <v>0.9</v>
      </c>
      <c r="I155" s="136">
        <f t="shared" si="31"/>
        <v>0.9</v>
      </c>
      <c r="J155" s="136">
        <f t="shared" si="31"/>
        <v>0.9</v>
      </c>
      <c r="K155" s="136">
        <f t="shared" si="31"/>
        <v>0.9</v>
      </c>
      <c r="L155" s="136">
        <f t="shared" si="31"/>
        <v>0.9</v>
      </c>
      <c r="M155" s="136">
        <f t="shared" si="31"/>
        <v>0.9</v>
      </c>
      <c r="N155" s="136">
        <f t="shared" si="31"/>
        <v>0.9</v>
      </c>
      <c r="O155" s="136">
        <f t="shared" si="31"/>
        <v>0.9</v>
      </c>
      <c r="P155" s="136">
        <f t="shared" si="31"/>
        <v>0.9</v>
      </c>
      <c r="Q155" s="136">
        <f t="shared" si="31"/>
        <v>0.9</v>
      </c>
      <c r="R155" s="136">
        <f t="shared" si="26"/>
        <v>0.9</v>
      </c>
      <c r="S155" s="136">
        <f t="shared" si="26"/>
        <v>0.9</v>
      </c>
      <c r="T155" s="136">
        <f t="shared" si="26"/>
        <v>0.9</v>
      </c>
      <c r="U155" s="136">
        <f t="shared" si="26"/>
        <v>0.9</v>
      </c>
      <c r="V155" s="136">
        <f t="shared" si="26"/>
        <v>0.9</v>
      </c>
      <c r="W155" s="136">
        <f t="shared" si="26"/>
        <v>0.9</v>
      </c>
      <c r="X155" s="136">
        <f t="shared" si="30"/>
        <v>0.9</v>
      </c>
      <c r="Y155" s="136">
        <f t="shared" si="30"/>
        <v>0.9</v>
      </c>
      <c r="Z155" s="136">
        <f t="shared" si="30"/>
        <v>0.9</v>
      </c>
      <c r="AA155" s="136">
        <f t="shared" si="30"/>
        <v>0.9</v>
      </c>
      <c r="AB155" s="136">
        <f t="shared" si="30"/>
        <v>0.9</v>
      </c>
      <c r="AC155" s="136">
        <f t="shared" si="30"/>
        <v>0.9</v>
      </c>
      <c r="AD155" s="136">
        <f t="shared" si="30"/>
        <v>0.9</v>
      </c>
      <c r="AE155" s="136">
        <f t="shared" si="30"/>
        <v>0.9</v>
      </c>
      <c r="AF155" s="136">
        <f t="shared" si="30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1"/>
        <v>2.1</v>
      </c>
      <c r="D156" s="136">
        <f t="shared" si="31"/>
        <v>2.1</v>
      </c>
      <c r="E156" s="136">
        <f t="shared" si="31"/>
        <v>2.1</v>
      </c>
      <c r="F156" s="136">
        <f t="shared" si="31"/>
        <v>2.1</v>
      </c>
      <c r="G156" s="136">
        <f t="shared" si="31"/>
        <v>2.1</v>
      </c>
      <c r="H156" s="136">
        <f t="shared" si="31"/>
        <v>2.1</v>
      </c>
      <c r="I156" s="136">
        <f t="shared" si="31"/>
        <v>2.1</v>
      </c>
      <c r="J156" s="136">
        <f t="shared" si="31"/>
        <v>2.1</v>
      </c>
      <c r="K156" s="136">
        <f t="shared" si="31"/>
        <v>2.1</v>
      </c>
      <c r="L156" s="136">
        <f t="shared" si="31"/>
        <v>2.1</v>
      </c>
      <c r="M156" s="136">
        <f t="shared" si="31"/>
        <v>2.1</v>
      </c>
      <c r="N156" s="136">
        <f t="shared" si="31"/>
        <v>2.1</v>
      </c>
      <c r="O156" s="136">
        <f t="shared" si="31"/>
        <v>2.1</v>
      </c>
      <c r="P156" s="136">
        <f t="shared" si="31"/>
        <v>2.1</v>
      </c>
      <c r="Q156" s="136">
        <f t="shared" si="31"/>
        <v>2.1</v>
      </c>
      <c r="R156" s="136">
        <f t="shared" si="26"/>
        <v>2.1</v>
      </c>
      <c r="S156" s="136">
        <f t="shared" si="26"/>
        <v>2.1</v>
      </c>
      <c r="T156" s="136">
        <f t="shared" si="26"/>
        <v>2.1</v>
      </c>
      <c r="U156" s="136">
        <f t="shared" si="26"/>
        <v>2.1</v>
      </c>
      <c r="V156" s="136">
        <f t="shared" si="26"/>
        <v>2.1</v>
      </c>
      <c r="W156" s="136">
        <f t="shared" si="26"/>
        <v>2.1</v>
      </c>
      <c r="X156" s="136">
        <f t="shared" si="30"/>
        <v>2.1</v>
      </c>
      <c r="Y156" s="136">
        <f t="shared" si="30"/>
        <v>2.1</v>
      </c>
      <c r="Z156" s="136">
        <f t="shared" si="30"/>
        <v>2.1</v>
      </c>
      <c r="AA156" s="136">
        <f t="shared" si="30"/>
        <v>2.1</v>
      </c>
      <c r="AB156" s="136">
        <f t="shared" si="30"/>
        <v>2.1</v>
      </c>
      <c r="AC156" s="136">
        <f t="shared" si="30"/>
        <v>2.1</v>
      </c>
      <c r="AD156" s="136">
        <f t="shared" si="30"/>
        <v>2.1</v>
      </c>
      <c r="AE156" s="136">
        <f t="shared" si="30"/>
        <v>2.1</v>
      </c>
      <c r="AF156" s="136">
        <f t="shared" si="30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1"/>
        <v>0.9</v>
      </c>
      <c r="D157" s="136">
        <f t="shared" si="31"/>
        <v>0.9</v>
      </c>
      <c r="E157" s="136">
        <f t="shared" si="31"/>
        <v>0.9</v>
      </c>
      <c r="F157" s="136">
        <f t="shared" si="31"/>
        <v>0.9</v>
      </c>
      <c r="G157" s="136">
        <f t="shared" si="31"/>
        <v>0.9</v>
      </c>
      <c r="H157" s="136">
        <f t="shared" si="31"/>
        <v>0.9</v>
      </c>
      <c r="I157" s="136">
        <f t="shared" si="31"/>
        <v>0.9</v>
      </c>
      <c r="J157" s="136">
        <f t="shared" si="31"/>
        <v>0.9</v>
      </c>
      <c r="K157" s="136">
        <f t="shared" si="31"/>
        <v>0.9</v>
      </c>
      <c r="L157" s="136">
        <f t="shared" si="31"/>
        <v>0.9</v>
      </c>
      <c r="M157" s="136">
        <f t="shared" si="31"/>
        <v>0.9</v>
      </c>
      <c r="N157" s="136">
        <f t="shared" si="31"/>
        <v>0.9</v>
      </c>
      <c r="O157" s="136">
        <f t="shared" si="31"/>
        <v>0.9</v>
      </c>
      <c r="P157" s="136">
        <f t="shared" si="31"/>
        <v>0.9</v>
      </c>
      <c r="Q157" s="136">
        <f t="shared" si="31"/>
        <v>0.9</v>
      </c>
      <c r="R157" s="136">
        <f t="shared" si="26"/>
        <v>0.9</v>
      </c>
      <c r="S157" s="136">
        <f t="shared" si="26"/>
        <v>0.9</v>
      </c>
      <c r="T157" s="136">
        <f t="shared" si="26"/>
        <v>0.9</v>
      </c>
      <c r="U157" s="136">
        <f t="shared" si="26"/>
        <v>0.9</v>
      </c>
      <c r="V157" s="136">
        <f t="shared" si="26"/>
        <v>0.9</v>
      </c>
      <c r="W157" s="136">
        <f t="shared" si="26"/>
        <v>0.9</v>
      </c>
      <c r="X157" s="136">
        <f t="shared" si="30"/>
        <v>0.9</v>
      </c>
      <c r="Y157" s="136">
        <f t="shared" si="30"/>
        <v>0.9</v>
      </c>
      <c r="Z157" s="136">
        <f t="shared" si="30"/>
        <v>0.9</v>
      </c>
      <c r="AA157" s="136">
        <f t="shared" si="30"/>
        <v>0.9</v>
      </c>
      <c r="AB157" s="136">
        <f t="shared" si="30"/>
        <v>0.9</v>
      </c>
      <c r="AC157" s="136">
        <f t="shared" si="30"/>
        <v>0.9</v>
      </c>
      <c r="AD157" s="136">
        <f t="shared" si="30"/>
        <v>0.9</v>
      </c>
      <c r="AE157" s="136">
        <f t="shared" si="30"/>
        <v>0.9</v>
      </c>
      <c r="AF157" s="136">
        <f t="shared" si="30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1"/>
        <v>0.57999999999999996</v>
      </c>
      <c r="D158" s="136">
        <f t="shared" si="31"/>
        <v>0.57999999999999996</v>
      </c>
      <c r="E158" s="136">
        <f t="shared" si="31"/>
        <v>0.57999999999999996</v>
      </c>
      <c r="F158" s="136">
        <f t="shared" si="31"/>
        <v>0.57999999999999996</v>
      </c>
      <c r="G158" s="136">
        <f t="shared" si="31"/>
        <v>0.57999999999999996</v>
      </c>
      <c r="H158" s="136">
        <f t="shared" si="31"/>
        <v>0.57999999999999996</v>
      </c>
      <c r="I158" s="136">
        <f t="shared" si="31"/>
        <v>0.57999999999999996</v>
      </c>
      <c r="J158" s="136">
        <f t="shared" si="31"/>
        <v>0.57999999999999996</v>
      </c>
      <c r="K158" s="136">
        <f t="shared" si="31"/>
        <v>0.57999999999999996</v>
      </c>
      <c r="L158" s="136">
        <f t="shared" si="31"/>
        <v>0.57999999999999996</v>
      </c>
      <c r="M158" s="136">
        <f t="shared" si="31"/>
        <v>0.57999999999999996</v>
      </c>
      <c r="N158" s="136">
        <f t="shared" si="31"/>
        <v>0.57999999999999996</v>
      </c>
      <c r="O158" s="136">
        <f t="shared" si="31"/>
        <v>0.57999999999999996</v>
      </c>
      <c r="P158" s="136">
        <f t="shared" si="31"/>
        <v>0.57999999999999996</v>
      </c>
      <c r="Q158" s="136">
        <f t="shared" si="31"/>
        <v>0.57999999999999996</v>
      </c>
      <c r="R158" s="136">
        <f t="shared" si="26"/>
        <v>0.57999999999999996</v>
      </c>
      <c r="S158" s="136">
        <f t="shared" si="26"/>
        <v>0.57999999999999996</v>
      </c>
      <c r="T158" s="136">
        <f t="shared" si="26"/>
        <v>0.57999999999999996</v>
      </c>
      <c r="U158" s="136">
        <f t="shared" si="26"/>
        <v>0.57999999999999996</v>
      </c>
      <c r="V158" s="136">
        <f t="shared" si="26"/>
        <v>0.57999999999999996</v>
      </c>
      <c r="W158" s="136">
        <f t="shared" si="26"/>
        <v>0.57999999999999996</v>
      </c>
      <c r="X158" s="136">
        <f t="shared" si="30"/>
        <v>0.57999999999999996</v>
      </c>
      <c r="Y158" s="136">
        <f t="shared" si="30"/>
        <v>0.57999999999999996</v>
      </c>
      <c r="Z158" s="136">
        <f t="shared" si="30"/>
        <v>0.57999999999999996</v>
      </c>
      <c r="AA158" s="136">
        <f t="shared" si="30"/>
        <v>0.57999999999999996</v>
      </c>
      <c r="AB158" s="136">
        <f t="shared" si="30"/>
        <v>0.57999999999999996</v>
      </c>
      <c r="AC158" s="136">
        <f t="shared" si="30"/>
        <v>0.57999999999999996</v>
      </c>
      <c r="AD158" s="136">
        <f t="shared" si="30"/>
        <v>0.57999999999999996</v>
      </c>
      <c r="AE158" s="136">
        <f t="shared" si="30"/>
        <v>0.57999999999999996</v>
      </c>
      <c r="AF158" s="136">
        <f t="shared" si="30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1"/>
        <v>0.8</v>
      </c>
      <c r="D159" s="136">
        <f t="shared" si="31"/>
        <v>0.8</v>
      </c>
      <c r="E159" s="136">
        <f t="shared" si="31"/>
        <v>0.8</v>
      </c>
      <c r="F159" s="136">
        <f t="shared" si="31"/>
        <v>0.8</v>
      </c>
      <c r="G159" s="136">
        <f t="shared" si="31"/>
        <v>0.8</v>
      </c>
      <c r="H159" s="136">
        <f t="shared" si="31"/>
        <v>0.8</v>
      </c>
      <c r="I159" s="136">
        <f t="shared" si="31"/>
        <v>0.8</v>
      </c>
      <c r="J159" s="136">
        <f t="shared" si="31"/>
        <v>0.8</v>
      </c>
      <c r="K159" s="136">
        <f t="shared" si="31"/>
        <v>0.8</v>
      </c>
      <c r="L159" s="136">
        <f t="shared" si="31"/>
        <v>0.8</v>
      </c>
      <c r="M159" s="136">
        <f t="shared" si="31"/>
        <v>0.8</v>
      </c>
      <c r="N159" s="136">
        <f t="shared" si="31"/>
        <v>0.8</v>
      </c>
      <c r="O159" s="136">
        <f t="shared" si="31"/>
        <v>0.8</v>
      </c>
      <c r="P159" s="136">
        <f t="shared" si="31"/>
        <v>0.8</v>
      </c>
      <c r="Q159" s="136">
        <f t="shared" si="31"/>
        <v>0.8</v>
      </c>
      <c r="R159" s="136">
        <f t="shared" si="26"/>
        <v>0.8</v>
      </c>
      <c r="S159" s="136">
        <f t="shared" si="26"/>
        <v>0.8</v>
      </c>
      <c r="T159" s="136">
        <f t="shared" si="26"/>
        <v>0.8</v>
      </c>
      <c r="U159" s="136">
        <f t="shared" si="26"/>
        <v>0.8</v>
      </c>
      <c r="V159" s="136">
        <f t="shared" si="26"/>
        <v>0.8</v>
      </c>
      <c r="W159" s="136">
        <f t="shared" si="26"/>
        <v>0.8</v>
      </c>
      <c r="X159" s="136">
        <f t="shared" si="30"/>
        <v>0.8</v>
      </c>
      <c r="Y159" s="136">
        <f t="shared" si="30"/>
        <v>0.8</v>
      </c>
      <c r="Z159" s="136">
        <f t="shared" si="30"/>
        <v>0.8</v>
      </c>
      <c r="AA159" s="136">
        <f t="shared" si="30"/>
        <v>0.8</v>
      </c>
      <c r="AB159" s="136">
        <f t="shared" si="30"/>
        <v>0.8</v>
      </c>
      <c r="AC159" s="136">
        <f t="shared" si="30"/>
        <v>0.8</v>
      </c>
      <c r="AD159" s="136">
        <f t="shared" si="30"/>
        <v>0.8</v>
      </c>
      <c r="AE159" s="136">
        <f t="shared" si="30"/>
        <v>0.8</v>
      </c>
      <c r="AF159" s="136">
        <f t="shared" si="30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1"/>
        <v>0</v>
      </c>
      <c r="D160" s="136">
        <f t="shared" si="31"/>
        <v>0</v>
      </c>
      <c r="E160" s="136">
        <f t="shared" si="31"/>
        <v>0</v>
      </c>
      <c r="F160" s="136">
        <f t="shared" si="31"/>
        <v>0</v>
      </c>
      <c r="G160" s="136">
        <f t="shared" si="31"/>
        <v>0</v>
      </c>
      <c r="H160" s="136">
        <f t="shared" si="31"/>
        <v>0</v>
      </c>
      <c r="I160" s="136">
        <f t="shared" si="31"/>
        <v>0</v>
      </c>
      <c r="J160" s="136">
        <f t="shared" si="31"/>
        <v>0</v>
      </c>
      <c r="K160" s="136">
        <f t="shared" si="31"/>
        <v>0</v>
      </c>
      <c r="L160" s="136">
        <f t="shared" si="31"/>
        <v>0</v>
      </c>
      <c r="M160" s="136">
        <f t="shared" si="31"/>
        <v>0</v>
      </c>
      <c r="N160" s="136">
        <f t="shared" si="31"/>
        <v>0</v>
      </c>
      <c r="O160" s="136">
        <f t="shared" si="31"/>
        <v>0</v>
      </c>
      <c r="P160" s="136">
        <f t="shared" si="31"/>
        <v>0</v>
      </c>
      <c r="Q160" s="136">
        <f t="shared" si="31"/>
        <v>0</v>
      </c>
      <c r="R160" s="136">
        <f t="shared" si="26"/>
        <v>0</v>
      </c>
      <c r="S160" s="136">
        <f t="shared" si="26"/>
        <v>0</v>
      </c>
      <c r="T160" s="136">
        <f t="shared" si="26"/>
        <v>0</v>
      </c>
      <c r="U160" s="136">
        <f t="shared" si="26"/>
        <v>0</v>
      </c>
      <c r="V160" s="136">
        <f t="shared" si="26"/>
        <v>0</v>
      </c>
      <c r="W160" s="136">
        <f t="shared" si="26"/>
        <v>0</v>
      </c>
      <c r="X160" s="136">
        <f t="shared" si="30"/>
        <v>0</v>
      </c>
      <c r="Y160" s="136">
        <f t="shared" si="30"/>
        <v>0</v>
      </c>
      <c r="Z160" s="136">
        <f t="shared" si="30"/>
        <v>0</v>
      </c>
      <c r="AA160" s="136">
        <f t="shared" si="30"/>
        <v>0</v>
      </c>
      <c r="AB160" s="136">
        <f t="shared" si="30"/>
        <v>0</v>
      </c>
      <c r="AC160" s="136">
        <f t="shared" si="30"/>
        <v>0</v>
      </c>
      <c r="AD160" s="136">
        <f t="shared" si="30"/>
        <v>0</v>
      </c>
      <c r="AE160" s="136">
        <f t="shared" si="30"/>
        <v>0</v>
      </c>
      <c r="AF160" s="136">
        <f t="shared" si="30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1"/>
        <v>0.6</v>
      </c>
      <c r="D161" s="136">
        <f t="shared" si="31"/>
        <v>0.6</v>
      </c>
      <c r="E161" s="136">
        <f t="shared" si="31"/>
        <v>0.6</v>
      </c>
      <c r="F161" s="136">
        <f t="shared" si="31"/>
        <v>0.6</v>
      </c>
      <c r="G161" s="136">
        <f t="shared" si="31"/>
        <v>0.6</v>
      </c>
      <c r="H161" s="136">
        <f t="shared" si="31"/>
        <v>0.6</v>
      </c>
      <c r="I161" s="136">
        <f t="shared" si="31"/>
        <v>0.6</v>
      </c>
      <c r="J161" s="136">
        <f t="shared" si="31"/>
        <v>0.6</v>
      </c>
      <c r="K161" s="136">
        <f t="shared" si="31"/>
        <v>0.6</v>
      </c>
      <c r="L161" s="136">
        <f t="shared" si="31"/>
        <v>0.6</v>
      </c>
      <c r="M161" s="136">
        <f t="shared" si="31"/>
        <v>0.6</v>
      </c>
      <c r="N161" s="136">
        <f t="shared" si="31"/>
        <v>0.6</v>
      </c>
      <c r="O161" s="136">
        <f t="shared" si="31"/>
        <v>0.6</v>
      </c>
      <c r="P161" s="136">
        <f t="shared" si="31"/>
        <v>0.6</v>
      </c>
      <c r="Q161" s="136">
        <f t="shared" si="31"/>
        <v>0.6</v>
      </c>
      <c r="R161" s="136">
        <f t="shared" si="26"/>
        <v>0.6</v>
      </c>
      <c r="S161" s="136">
        <f t="shared" si="26"/>
        <v>0.6</v>
      </c>
      <c r="T161" s="136">
        <f t="shared" si="26"/>
        <v>0.6</v>
      </c>
      <c r="U161" s="136">
        <f t="shared" si="26"/>
        <v>0.6</v>
      </c>
      <c r="V161" s="136">
        <f t="shared" si="26"/>
        <v>0.6</v>
      </c>
      <c r="W161" s="136">
        <f t="shared" si="26"/>
        <v>0.6</v>
      </c>
      <c r="X161" s="136">
        <f t="shared" si="30"/>
        <v>0.6</v>
      </c>
      <c r="Y161" s="136">
        <f t="shared" si="30"/>
        <v>0.6</v>
      </c>
      <c r="Z161" s="136">
        <f t="shared" si="30"/>
        <v>0.6</v>
      </c>
      <c r="AA161" s="136">
        <f t="shared" si="30"/>
        <v>0.6</v>
      </c>
      <c r="AB161" s="136">
        <f t="shared" si="30"/>
        <v>0.6</v>
      </c>
      <c r="AC161" s="136">
        <f t="shared" si="30"/>
        <v>0.6</v>
      </c>
      <c r="AD161" s="136">
        <f t="shared" si="30"/>
        <v>0.6</v>
      </c>
      <c r="AE161" s="136">
        <f t="shared" si="30"/>
        <v>0.6</v>
      </c>
      <c r="AF161" s="136">
        <f t="shared" si="30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1"/>
        <v>0.6</v>
      </c>
      <c r="D162" s="136">
        <f t="shared" si="31"/>
        <v>0.6</v>
      </c>
      <c r="E162" s="136">
        <f t="shared" si="31"/>
        <v>0.6</v>
      </c>
      <c r="F162" s="136">
        <f t="shared" si="31"/>
        <v>0.6</v>
      </c>
      <c r="G162" s="136">
        <f t="shared" si="31"/>
        <v>0.6</v>
      </c>
      <c r="H162" s="136">
        <f t="shared" si="31"/>
        <v>0.6</v>
      </c>
      <c r="I162" s="136">
        <f t="shared" si="31"/>
        <v>0.6</v>
      </c>
      <c r="J162" s="136">
        <f t="shared" si="31"/>
        <v>0.6</v>
      </c>
      <c r="K162" s="136">
        <f t="shared" si="31"/>
        <v>0.6</v>
      </c>
      <c r="L162" s="136">
        <f t="shared" si="31"/>
        <v>0.6</v>
      </c>
      <c r="M162" s="136">
        <f t="shared" si="31"/>
        <v>0.6</v>
      </c>
      <c r="N162" s="136">
        <f t="shared" si="31"/>
        <v>0.6</v>
      </c>
      <c r="O162" s="136">
        <f t="shared" si="31"/>
        <v>0.6</v>
      </c>
      <c r="P162" s="136">
        <f t="shared" si="31"/>
        <v>0.6</v>
      </c>
      <c r="Q162" s="136">
        <f t="shared" si="31"/>
        <v>0.6</v>
      </c>
      <c r="R162" s="136">
        <f t="shared" si="26"/>
        <v>0.6</v>
      </c>
      <c r="S162" s="136">
        <f t="shared" si="26"/>
        <v>0.6</v>
      </c>
      <c r="T162" s="136">
        <f t="shared" si="26"/>
        <v>0.6</v>
      </c>
      <c r="U162" s="136">
        <f t="shared" si="26"/>
        <v>0.6</v>
      </c>
      <c r="V162" s="136">
        <f t="shared" si="26"/>
        <v>0.6</v>
      </c>
      <c r="W162" s="136">
        <f t="shared" si="26"/>
        <v>0.6</v>
      </c>
      <c r="X162" s="136">
        <f t="shared" si="30"/>
        <v>0.6</v>
      </c>
      <c r="Y162" s="136">
        <f t="shared" si="30"/>
        <v>0.6</v>
      </c>
      <c r="Z162" s="136">
        <f t="shared" si="30"/>
        <v>0.6</v>
      </c>
      <c r="AA162" s="136">
        <f t="shared" si="30"/>
        <v>0.6</v>
      </c>
      <c r="AB162" s="136">
        <f t="shared" si="30"/>
        <v>0.6</v>
      </c>
      <c r="AC162" s="136">
        <f t="shared" si="30"/>
        <v>0.6</v>
      </c>
      <c r="AD162" s="136">
        <f t="shared" si="30"/>
        <v>0.6</v>
      </c>
      <c r="AE162" s="136">
        <f t="shared" si="30"/>
        <v>0.6</v>
      </c>
      <c r="AF162" s="136">
        <f t="shared" si="30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1"/>
        <v>0.35</v>
      </c>
      <c r="D163" s="136">
        <f t="shared" si="31"/>
        <v>0.35</v>
      </c>
      <c r="E163" s="136">
        <f t="shared" si="31"/>
        <v>0.35</v>
      </c>
      <c r="F163" s="136">
        <f t="shared" si="31"/>
        <v>0.35</v>
      </c>
      <c r="G163" s="136">
        <f t="shared" si="31"/>
        <v>0.35</v>
      </c>
      <c r="H163" s="136">
        <f t="shared" si="31"/>
        <v>0.35</v>
      </c>
      <c r="I163" s="136">
        <f t="shared" si="31"/>
        <v>0.35</v>
      </c>
      <c r="J163" s="136">
        <f t="shared" si="31"/>
        <v>0.35</v>
      </c>
      <c r="K163" s="136">
        <f t="shared" si="31"/>
        <v>0.35</v>
      </c>
      <c r="L163" s="136">
        <f t="shared" si="31"/>
        <v>0.35</v>
      </c>
      <c r="M163" s="136">
        <f t="shared" si="31"/>
        <v>0.35</v>
      </c>
      <c r="N163" s="136">
        <f t="shared" si="31"/>
        <v>0.35</v>
      </c>
      <c r="O163" s="136">
        <f t="shared" si="31"/>
        <v>0.35</v>
      </c>
      <c r="P163" s="136">
        <f t="shared" si="31"/>
        <v>0.35</v>
      </c>
      <c r="Q163" s="136">
        <f t="shared" si="31"/>
        <v>0.35</v>
      </c>
      <c r="R163" s="136">
        <f t="shared" si="26"/>
        <v>0.35</v>
      </c>
      <c r="S163" s="136">
        <f t="shared" si="26"/>
        <v>0.35</v>
      </c>
      <c r="T163" s="136">
        <f t="shared" si="26"/>
        <v>0.35</v>
      </c>
      <c r="U163" s="136">
        <f t="shared" si="26"/>
        <v>0.35</v>
      </c>
      <c r="V163" s="136">
        <f t="shared" si="26"/>
        <v>0.35</v>
      </c>
      <c r="W163" s="136">
        <f t="shared" si="26"/>
        <v>0.35</v>
      </c>
      <c r="X163" s="136">
        <f t="shared" si="30"/>
        <v>0.35</v>
      </c>
      <c r="Y163" s="136">
        <f t="shared" si="30"/>
        <v>0.35</v>
      </c>
      <c r="Z163" s="136">
        <f t="shared" si="30"/>
        <v>0.35</v>
      </c>
      <c r="AA163" s="136">
        <f t="shared" si="30"/>
        <v>0.35</v>
      </c>
      <c r="AB163" s="136">
        <f t="shared" si="30"/>
        <v>0.35</v>
      </c>
      <c r="AC163" s="136">
        <f t="shared" si="30"/>
        <v>0.35</v>
      </c>
      <c r="AD163" s="136">
        <f t="shared" si="30"/>
        <v>0.35</v>
      </c>
      <c r="AE163" s="136">
        <f t="shared" si="30"/>
        <v>0.35</v>
      </c>
      <c r="AF163" s="136">
        <f t="shared" si="30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1"/>
        <v>0.28999999999999998</v>
      </c>
      <c r="D164" s="136">
        <f t="shared" si="31"/>
        <v>0.28999999999999998</v>
      </c>
      <c r="E164" s="136">
        <f t="shared" si="31"/>
        <v>0.28999999999999998</v>
      </c>
      <c r="F164" s="136">
        <f t="shared" si="31"/>
        <v>0.28999999999999998</v>
      </c>
      <c r="G164" s="136">
        <f t="shared" si="31"/>
        <v>0.28999999999999998</v>
      </c>
      <c r="H164" s="136">
        <f t="shared" si="31"/>
        <v>0.28999999999999998</v>
      </c>
      <c r="I164" s="136">
        <f t="shared" si="31"/>
        <v>0.28999999999999998</v>
      </c>
      <c r="J164" s="136">
        <f t="shared" si="31"/>
        <v>0.28999999999999998</v>
      </c>
      <c r="K164" s="136">
        <f t="shared" si="31"/>
        <v>0.28999999999999998</v>
      </c>
      <c r="L164" s="136">
        <f t="shared" si="31"/>
        <v>0.28999999999999998</v>
      </c>
      <c r="M164" s="136">
        <f t="shared" si="31"/>
        <v>0.28999999999999998</v>
      </c>
      <c r="N164" s="136">
        <f t="shared" si="31"/>
        <v>0.28999999999999998</v>
      </c>
      <c r="O164" s="136">
        <f t="shared" si="31"/>
        <v>0.28999999999999998</v>
      </c>
      <c r="P164" s="136">
        <f t="shared" si="31"/>
        <v>0.28999999999999998</v>
      </c>
      <c r="Q164" s="136">
        <f t="shared" si="31"/>
        <v>0.28999999999999998</v>
      </c>
      <c r="R164" s="136">
        <f t="shared" si="26"/>
        <v>0.28999999999999998</v>
      </c>
      <c r="S164" s="136">
        <f t="shared" si="26"/>
        <v>0.28999999999999998</v>
      </c>
      <c r="T164" s="136">
        <f t="shared" si="26"/>
        <v>0.28999999999999998</v>
      </c>
      <c r="U164" s="136">
        <f t="shared" si="26"/>
        <v>0.28999999999999998</v>
      </c>
      <c r="V164" s="136">
        <f t="shared" si="26"/>
        <v>0.28999999999999998</v>
      </c>
      <c r="W164" s="136">
        <f t="shared" si="26"/>
        <v>0.28999999999999998</v>
      </c>
      <c r="X164" s="136">
        <f t="shared" si="30"/>
        <v>0.28999999999999998</v>
      </c>
      <c r="Y164" s="136">
        <f t="shared" si="30"/>
        <v>0.28999999999999998</v>
      </c>
      <c r="Z164" s="136">
        <f t="shared" si="30"/>
        <v>0.28999999999999998</v>
      </c>
      <c r="AA164" s="136">
        <f t="shared" si="30"/>
        <v>0.28999999999999998</v>
      </c>
      <c r="AB164" s="136">
        <f t="shared" si="30"/>
        <v>0.28999999999999998</v>
      </c>
      <c r="AC164" s="136">
        <f t="shared" si="30"/>
        <v>0.28999999999999998</v>
      </c>
      <c r="AD164" s="136">
        <f t="shared" si="30"/>
        <v>0.28999999999999998</v>
      </c>
      <c r="AE164" s="136">
        <f t="shared" si="30"/>
        <v>0.28999999999999998</v>
      </c>
      <c r="AF164" s="136">
        <f t="shared" si="30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1"/>
        <v>0.06</v>
      </c>
      <c r="D165" s="136">
        <f t="shared" si="31"/>
        <v>0.06</v>
      </c>
      <c r="E165" s="136">
        <f t="shared" si="31"/>
        <v>0.06</v>
      </c>
      <c r="F165" s="136">
        <f t="shared" si="31"/>
        <v>0.06</v>
      </c>
      <c r="G165" s="136">
        <f t="shared" si="31"/>
        <v>0.06</v>
      </c>
      <c r="H165" s="136">
        <f t="shared" si="31"/>
        <v>0.06</v>
      </c>
      <c r="I165" s="136">
        <f t="shared" si="31"/>
        <v>0.06</v>
      </c>
      <c r="J165" s="136">
        <f t="shared" si="31"/>
        <v>0.06</v>
      </c>
      <c r="K165" s="136">
        <f t="shared" si="31"/>
        <v>0.06</v>
      </c>
      <c r="L165" s="136">
        <f t="shared" si="31"/>
        <v>0.06</v>
      </c>
      <c r="M165" s="136">
        <f t="shared" si="31"/>
        <v>0.06</v>
      </c>
      <c r="N165" s="136">
        <f t="shared" si="31"/>
        <v>0.06</v>
      </c>
      <c r="O165" s="136">
        <f t="shared" si="31"/>
        <v>0.06</v>
      </c>
      <c r="P165" s="136">
        <f t="shared" si="31"/>
        <v>0.06</v>
      </c>
      <c r="Q165" s="136">
        <f t="shared" si="31"/>
        <v>0.06</v>
      </c>
      <c r="R165" s="136">
        <f t="shared" si="26"/>
        <v>0.06</v>
      </c>
      <c r="S165" s="136">
        <f t="shared" si="26"/>
        <v>0.06</v>
      </c>
      <c r="T165" s="136">
        <f t="shared" si="26"/>
        <v>0.06</v>
      </c>
      <c r="U165" s="136">
        <f t="shared" si="26"/>
        <v>0.06</v>
      </c>
      <c r="V165" s="136">
        <f t="shared" si="26"/>
        <v>0.06</v>
      </c>
      <c r="W165" s="136">
        <f t="shared" si="26"/>
        <v>0.06</v>
      </c>
      <c r="X165" s="136">
        <f t="shared" si="30"/>
        <v>0.06</v>
      </c>
      <c r="Y165" s="136">
        <f t="shared" si="30"/>
        <v>0.06</v>
      </c>
      <c r="Z165" s="136">
        <f t="shared" si="30"/>
        <v>0.06</v>
      </c>
      <c r="AA165" s="136">
        <f t="shared" si="30"/>
        <v>0.06</v>
      </c>
      <c r="AB165" s="136">
        <f t="shared" si="30"/>
        <v>0.06</v>
      </c>
      <c r="AC165" s="136">
        <f t="shared" si="30"/>
        <v>0.06</v>
      </c>
      <c r="AD165" s="136">
        <f t="shared" si="30"/>
        <v>0.06</v>
      </c>
      <c r="AE165" s="136">
        <f t="shared" si="30"/>
        <v>0.06</v>
      </c>
      <c r="AF165" s="136">
        <f t="shared" si="30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1"/>
        <v>0.11</v>
      </c>
      <c r="D166" s="136">
        <f t="shared" si="31"/>
        <v>0.11</v>
      </c>
      <c r="E166" s="136">
        <f t="shared" si="31"/>
        <v>0.11</v>
      </c>
      <c r="F166" s="136">
        <f t="shared" si="31"/>
        <v>0.11</v>
      </c>
      <c r="G166" s="136">
        <f t="shared" si="31"/>
        <v>0.11</v>
      </c>
      <c r="H166" s="136">
        <f t="shared" si="31"/>
        <v>0.11</v>
      </c>
      <c r="I166" s="136">
        <f t="shared" si="31"/>
        <v>0.11</v>
      </c>
      <c r="J166" s="136">
        <f t="shared" si="31"/>
        <v>0.11</v>
      </c>
      <c r="K166" s="136">
        <f t="shared" si="31"/>
        <v>0.11</v>
      </c>
      <c r="L166" s="136">
        <f t="shared" si="31"/>
        <v>0.11</v>
      </c>
      <c r="M166" s="136">
        <f t="shared" si="31"/>
        <v>0.11</v>
      </c>
      <c r="N166" s="136">
        <f t="shared" si="31"/>
        <v>0.11</v>
      </c>
      <c r="O166" s="136">
        <f t="shared" si="31"/>
        <v>0.11</v>
      </c>
      <c r="P166" s="136">
        <f t="shared" si="31"/>
        <v>0.11</v>
      </c>
      <c r="Q166" s="136">
        <f t="shared" si="31"/>
        <v>0.11</v>
      </c>
      <c r="R166" s="136">
        <f t="shared" si="26"/>
        <v>0.11</v>
      </c>
      <c r="S166" s="136">
        <f t="shared" si="26"/>
        <v>0.11</v>
      </c>
      <c r="T166" s="136">
        <f t="shared" si="26"/>
        <v>0.11</v>
      </c>
      <c r="U166" s="136">
        <f t="shared" si="26"/>
        <v>0.11</v>
      </c>
      <c r="V166" s="136">
        <f t="shared" si="26"/>
        <v>0.11</v>
      </c>
      <c r="W166" s="136">
        <f t="shared" si="26"/>
        <v>0.11</v>
      </c>
      <c r="X166" s="136">
        <f t="shared" si="30"/>
        <v>0.11</v>
      </c>
      <c r="Y166" s="136">
        <f t="shared" si="30"/>
        <v>0.11</v>
      </c>
      <c r="Z166" s="136">
        <f t="shared" si="30"/>
        <v>0.11</v>
      </c>
      <c r="AA166" s="136">
        <f t="shared" si="30"/>
        <v>0.11</v>
      </c>
      <c r="AB166" s="136">
        <f t="shared" si="30"/>
        <v>0.11</v>
      </c>
      <c r="AC166" s="136">
        <f t="shared" si="30"/>
        <v>0.11</v>
      </c>
      <c r="AD166" s="136">
        <f t="shared" si="30"/>
        <v>0.11</v>
      </c>
      <c r="AE166" s="136">
        <f t="shared" si="30"/>
        <v>0.11</v>
      </c>
      <c r="AF166" s="136">
        <f t="shared" si="30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1"/>
        <v>0.1</v>
      </c>
      <c r="D167" s="136">
        <f t="shared" si="31"/>
        <v>0.1</v>
      </c>
      <c r="E167" s="136">
        <f t="shared" si="31"/>
        <v>0.1</v>
      </c>
      <c r="F167" s="136">
        <f t="shared" si="31"/>
        <v>0.1</v>
      </c>
      <c r="G167" s="136">
        <f t="shared" si="31"/>
        <v>0.1</v>
      </c>
      <c r="H167" s="136">
        <f t="shared" si="31"/>
        <v>0.1</v>
      </c>
      <c r="I167" s="136">
        <f t="shared" si="31"/>
        <v>0.1</v>
      </c>
      <c r="J167" s="136">
        <f t="shared" si="31"/>
        <v>0.1</v>
      </c>
      <c r="K167" s="136">
        <f t="shared" si="31"/>
        <v>0.1</v>
      </c>
      <c r="L167" s="136">
        <f t="shared" si="31"/>
        <v>0.1</v>
      </c>
      <c r="M167" s="136">
        <f t="shared" si="31"/>
        <v>0.1</v>
      </c>
      <c r="N167" s="136">
        <f t="shared" si="31"/>
        <v>0.1</v>
      </c>
      <c r="O167" s="136">
        <f t="shared" si="31"/>
        <v>0.1</v>
      </c>
      <c r="P167" s="136">
        <f t="shared" si="31"/>
        <v>0.1</v>
      </c>
      <c r="Q167" s="136">
        <f t="shared" si="31"/>
        <v>0.1</v>
      </c>
      <c r="R167" s="136">
        <f t="shared" si="26"/>
        <v>0.1</v>
      </c>
      <c r="S167" s="136">
        <f t="shared" si="26"/>
        <v>0.1</v>
      </c>
      <c r="T167" s="136">
        <f t="shared" si="26"/>
        <v>0.1</v>
      </c>
      <c r="U167" s="136">
        <f t="shared" si="26"/>
        <v>0.1</v>
      </c>
      <c r="V167" s="136">
        <f t="shared" si="26"/>
        <v>0.1</v>
      </c>
      <c r="W167" s="136">
        <f t="shared" si="26"/>
        <v>0.1</v>
      </c>
      <c r="X167" s="136">
        <f t="shared" si="30"/>
        <v>0.1</v>
      </c>
      <c r="Y167" s="136">
        <f t="shared" si="30"/>
        <v>0.1</v>
      </c>
      <c r="Z167" s="136">
        <f t="shared" si="30"/>
        <v>0.1</v>
      </c>
      <c r="AA167" s="136">
        <f t="shared" si="30"/>
        <v>0.1</v>
      </c>
      <c r="AB167" s="136">
        <f t="shared" si="30"/>
        <v>0.1</v>
      </c>
      <c r="AC167" s="136">
        <f t="shared" si="30"/>
        <v>0.1</v>
      </c>
      <c r="AD167" s="136">
        <f t="shared" si="30"/>
        <v>0.1</v>
      </c>
      <c r="AE167" s="136">
        <f t="shared" si="30"/>
        <v>0.1</v>
      </c>
      <c r="AF167" s="136">
        <f t="shared" si="30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1"/>
        <v>0.09</v>
      </c>
      <c r="D168" s="136">
        <f t="shared" si="31"/>
        <v>0.09</v>
      </c>
      <c r="E168" s="136">
        <f t="shared" si="31"/>
        <v>0.09</v>
      </c>
      <c r="F168" s="136">
        <f t="shared" si="31"/>
        <v>0.09</v>
      </c>
      <c r="G168" s="136">
        <f t="shared" si="31"/>
        <v>0.09</v>
      </c>
      <c r="H168" s="136">
        <f t="shared" si="31"/>
        <v>0.09</v>
      </c>
      <c r="I168" s="136">
        <f t="shared" si="31"/>
        <v>0.09</v>
      </c>
      <c r="J168" s="136">
        <f t="shared" si="31"/>
        <v>0.09</v>
      </c>
      <c r="K168" s="136">
        <f t="shared" si="31"/>
        <v>0.09</v>
      </c>
      <c r="L168" s="136">
        <f t="shared" si="31"/>
        <v>0.09</v>
      </c>
      <c r="M168" s="136">
        <f t="shared" si="31"/>
        <v>0.09</v>
      </c>
      <c r="N168" s="136">
        <f t="shared" si="31"/>
        <v>0.09</v>
      </c>
      <c r="O168" s="136">
        <f t="shared" si="31"/>
        <v>0.09</v>
      </c>
      <c r="P168" s="136">
        <f t="shared" si="31"/>
        <v>0.09</v>
      </c>
      <c r="Q168" s="136">
        <f t="shared" si="31"/>
        <v>0.09</v>
      </c>
      <c r="R168" s="136">
        <f t="shared" si="26"/>
        <v>0.09</v>
      </c>
      <c r="S168" s="136">
        <f t="shared" si="26"/>
        <v>0.09</v>
      </c>
      <c r="T168" s="136">
        <f t="shared" si="26"/>
        <v>0.09</v>
      </c>
      <c r="U168" s="136">
        <f t="shared" si="26"/>
        <v>0.09</v>
      </c>
      <c r="V168" s="136">
        <f t="shared" si="26"/>
        <v>0.09</v>
      </c>
      <c r="W168" s="136">
        <f t="shared" si="26"/>
        <v>0.09</v>
      </c>
      <c r="X168" s="136">
        <f t="shared" si="30"/>
        <v>0.09</v>
      </c>
      <c r="Y168" s="136">
        <f t="shared" si="30"/>
        <v>0.09</v>
      </c>
      <c r="Z168" s="136">
        <f t="shared" si="30"/>
        <v>0.09</v>
      </c>
      <c r="AA168" s="136">
        <f t="shared" si="30"/>
        <v>0.09</v>
      </c>
      <c r="AB168" s="136">
        <f t="shared" si="30"/>
        <v>0.09</v>
      </c>
      <c r="AC168" s="136">
        <f t="shared" si="30"/>
        <v>0.09</v>
      </c>
      <c r="AD168" s="136">
        <f t="shared" si="30"/>
        <v>0.09</v>
      </c>
      <c r="AE168" s="136">
        <f t="shared" si="30"/>
        <v>0.09</v>
      </c>
      <c r="AF168" s="136">
        <f t="shared" si="30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1"/>
        <v>0.04</v>
      </c>
      <c r="D169" s="136">
        <f t="shared" si="31"/>
        <v>0.04</v>
      </c>
      <c r="E169" s="136">
        <f t="shared" si="31"/>
        <v>0.04</v>
      </c>
      <c r="F169" s="136">
        <f t="shared" si="31"/>
        <v>0.04</v>
      </c>
      <c r="G169" s="136">
        <f t="shared" si="31"/>
        <v>0.04</v>
      </c>
      <c r="H169" s="136">
        <f t="shared" si="31"/>
        <v>0.04</v>
      </c>
      <c r="I169" s="136">
        <f t="shared" si="31"/>
        <v>0.04</v>
      </c>
      <c r="J169" s="136">
        <f t="shared" si="31"/>
        <v>0.04</v>
      </c>
      <c r="K169" s="136">
        <f t="shared" si="31"/>
        <v>0.04</v>
      </c>
      <c r="L169" s="136">
        <f t="shared" si="31"/>
        <v>0.04</v>
      </c>
      <c r="M169" s="136">
        <f t="shared" si="31"/>
        <v>0.04</v>
      </c>
      <c r="N169" s="136">
        <f t="shared" si="31"/>
        <v>0.04</v>
      </c>
      <c r="O169" s="136">
        <f t="shared" si="31"/>
        <v>0.04</v>
      </c>
      <c r="P169" s="136">
        <f t="shared" si="31"/>
        <v>0.04</v>
      </c>
      <c r="Q169" s="136">
        <f t="shared" si="31"/>
        <v>0.04</v>
      </c>
      <c r="R169" s="136">
        <f t="shared" si="26"/>
        <v>0.04</v>
      </c>
      <c r="S169" s="136">
        <f t="shared" si="26"/>
        <v>0.04</v>
      </c>
      <c r="T169" s="136">
        <f t="shared" si="26"/>
        <v>0.04</v>
      </c>
      <c r="U169" s="136">
        <f t="shared" si="26"/>
        <v>0.04</v>
      </c>
      <c r="V169" s="136">
        <f t="shared" si="26"/>
        <v>0.04</v>
      </c>
      <c r="W169" s="136">
        <f t="shared" si="26"/>
        <v>0.04</v>
      </c>
      <c r="X169" s="136">
        <f t="shared" si="30"/>
        <v>0.04</v>
      </c>
      <c r="Y169" s="136">
        <f t="shared" si="30"/>
        <v>0.04</v>
      </c>
      <c r="Z169" s="136">
        <f t="shared" si="30"/>
        <v>0.04</v>
      </c>
      <c r="AA169" s="136">
        <f t="shared" si="30"/>
        <v>0.04</v>
      </c>
      <c r="AB169" s="136">
        <f t="shared" si="30"/>
        <v>0.04</v>
      </c>
      <c r="AC169" s="136">
        <f t="shared" si="30"/>
        <v>0.04</v>
      </c>
      <c r="AD169" s="136">
        <f t="shared" si="30"/>
        <v>0.04</v>
      </c>
      <c r="AE169" s="136">
        <f t="shared" si="30"/>
        <v>0.04</v>
      </c>
      <c r="AF169" s="136">
        <f t="shared" si="30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1"/>
        <v>2.3E-2</v>
      </c>
      <c r="E170" s="136">
        <f t="shared" si="31"/>
        <v>2.3E-2</v>
      </c>
      <c r="F170" s="136">
        <f t="shared" si="31"/>
        <v>2.3E-2</v>
      </c>
      <c r="G170" s="136">
        <f t="shared" si="31"/>
        <v>2.3E-2</v>
      </c>
      <c r="H170" s="136">
        <f t="shared" si="31"/>
        <v>2.3E-2</v>
      </c>
      <c r="I170" s="136">
        <f t="shared" si="31"/>
        <v>2.3E-2</v>
      </c>
      <c r="J170" s="136">
        <f t="shared" si="31"/>
        <v>2.3E-2</v>
      </c>
      <c r="K170" s="136">
        <f t="shared" si="31"/>
        <v>2.3E-2</v>
      </c>
      <c r="L170" s="136">
        <f t="shared" si="31"/>
        <v>2.3E-2</v>
      </c>
      <c r="M170" s="136">
        <f t="shared" si="31"/>
        <v>2.3E-2</v>
      </c>
      <c r="N170" s="136">
        <f t="shared" si="31"/>
        <v>2.3E-2</v>
      </c>
      <c r="O170" s="136">
        <f t="shared" si="31"/>
        <v>2.3E-2</v>
      </c>
      <c r="P170" s="136">
        <f t="shared" si="31"/>
        <v>2.3E-2</v>
      </c>
      <c r="Q170" s="136">
        <f t="shared" si="31"/>
        <v>2.3E-2</v>
      </c>
      <c r="R170" s="136">
        <f t="shared" si="26"/>
        <v>2.3E-2</v>
      </c>
      <c r="S170" s="136">
        <f t="shared" si="26"/>
        <v>2.3E-2</v>
      </c>
      <c r="T170" s="136">
        <f t="shared" si="26"/>
        <v>2.3E-2</v>
      </c>
      <c r="U170" s="136">
        <f t="shared" si="26"/>
        <v>2.3E-2</v>
      </c>
      <c r="V170" s="136">
        <f t="shared" si="26"/>
        <v>2.3E-2</v>
      </c>
      <c r="W170" s="136">
        <f t="shared" si="26"/>
        <v>2.3E-2</v>
      </c>
      <c r="X170" s="136">
        <f t="shared" si="30"/>
        <v>2.3E-2</v>
      </c>
      <c r="Y170" s="136">
        <f t="shared" si="30"/>
        <v>2.3E-2</v>
      </c>
      <c r="Z170" s="136">
        <f t="shared" si="30"/>
        <v>2.3E-2</v>
      </c>
      <c r="AA170" s="136">
        <f t="shared" si="30"/>
        <v>2.3E-2</v>
      </c>
      <c r="AB170" s="136">
        <f t="shared" si="30"/>
        <v>2.3E-2</v>
      </c>
      <c r="AC170" s="136">
        <f t="shared" si="30"/>
        <v>2.3E-2</v>
      </c>
      <c r="AD170" s="136">
        <f t="shared" si="30"/>
        <v>2.3E-2</v>
      </c>
      <c r="AE170" s="136">
        <f t="shared" si="30"/>
        <v>2.3E-2</v>
      </c>
      <c r="AF170" s="136">
        <f t="shared" si="30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2">SUM(B89:B170)</f>
        <v>195.60600000000002</v>
      </c>
      <c r="C171" s="141">
        <f t="shared" si="32"/>
        <v>195.60600000000002</v>
      </c>
      <c r="D171" s="141">
        <f t="shared" si="32"/>
        <v>195.60600000000002</v>
      </c>
      <c r="E171" s="141">
        <f t="shared" si="32"/>
        <v>195.60600000000002</v>
      </c>
      <c r="F171" s="141">
        <f t="shared" si="32"/>
        <v>195.60600000000002</v>
      </c>
      <c r="G171" s="141">
        <f t="shared" si="32"/>
        <v>195.60600000000002</v>
      </c>
      <c r="H171" s="141">
        <f t="shared" si="32"/>
        <v>195.60600000000002</v>
      </c>
      <c r="I171" s="141">
        <f t="shared" si="32"/>
        <v>193.00600000000006</v>
      </c>
      <c r="J171" s="141">
        <f t="shared" si="32"/>
        <v>193.00600000000006</v>
      </c>
      <c r="K171" s="141">
        <f t="shared" si="32"/>
        <v>193.00600000000006</v>
      </c>
      <c r="L171" s="141">
        <f t="shared" si="32"/>
        <v>193.00600000000006</v>
      </c>
      <c r="M171" s="141">
        <f t="shared" si="32"/>
        <v>193.00600000000006</v>
      </c>
      <c r="N171" s="141">
        <f t="shared" si="32"/>
        <v>193.00600000000006</v>
      </c>
      <c r="O171" s="141">
        <f t="shared" si="32"/>
        <v>193.00600000000006</v>
      </c>
      <c r="P171" s="141">
        <f t="shared" si="32"/>
        <v>193.00600000000006</v>
      </c>
      <c r="Q171" s="141">
        <f t="shared" si="32"/>
        <v>193.00600000000006</v>
      </c>
      <c r="R171" s="141">
        <f t="shared" si="32"/>
        <v>193.00600000000006</v>
      </c>
      <c r="S171" s="141">
        <f t="shared" si="32"/>
        <v>193.00600000000006</v>
      </c>
      <c r="T171" s="141">
        <f t="shared" si="32"/>
        <v>193.00600000000006</v>
      </c>
      <c r="U171" s="141">
        <f t="shared" si="32"/>
        <v>193.00600000000006</v>
      </c>
      <c r="V171" s="141">
        <f t="shared" si="32"/>
        <v>193.00600000000006</v>
      </c>
      <c r="W171" s="141">
        <f t="shared" si="32"/>
        <v>193.00600000000006</v>
      </c>
      <c r="X171" s="141">
        <f t="shared" si="32"/>
        <v>193.00600000000006</v>
      </c>
      <c r="Y171" s="141">
        <f t="shared" si="32"/>
        <v>193.00600000000006</v>
      </c>
      <c r="Z171" s="141">
        <f t="shared" si="32"/>
        <v>193.00600000000006</v>
      </c>
      <c r="AA171" s="141">
        <f t="shared" si="32"/>
        <v>193.00600000000006</v>
      </c>
      <c r="AB171" s="141">
        <f t="shared" si="32"/>
        <v>193.00600000000006</v>
      </c>
      <c r="AC171" s="141">
        <f t="shared" si="32"/>
        <v>193.00600000000006</v>
      </c>
      <c r="AD171" s="141">
        <f t="shared" si="32"/>
        <v>193.00600000000006</v>
      </c>
      <c r="AE171" s="141">
        <f t="shared" si="32"/>
        <v>193.00600000000006</v>
      </c>
      <c r="AF171" s="141">
        <f t="shared" si="32"/>
        <v>193.00600000000006</v>
      </c>
      <c r="AG171" s="142">
        <f t="shared" si="32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3">B173</f>
        <v>0.3</v>
      </c>
      <c r="D173" s="143">
        <f t="shared" si="33"/>
        <v>0.3</v>
      </c>
      <c r="E173" s="143">
        <f t="shared" si="33"/>
        <v>0.3</v>
      </c>
      <c r="F173" s="143">
        <f t="shared" si="33"/>
        <v>0.3</v>
      </c>
      <c r="G173" s="143">
        <f t="shared" si="33"/>
        <v>0.3</v>
      </c>
      <c r="H173" s="143">
        <f t="shared" si="33"/>
        <v>0.3</v>
      </c>
      <c r="I173" s="143">
        <f t="shared" si="33"/>
        <v>0.3</v>
      </c>
      <c r="J173" s="143">
        <f t="shared" si="33"/>
        <v>0.3</v>
      </c>
      <c r="K173" s="143">
        <f t="shared" si="33"/>
        <v>0.3</v>
      </c>
      <c r="L173" s="143">
        <f t="shared" si="33"/>
        <v>0.3</v>
      </c>
      <c r="M173" s="143">
        <f t="shared" si="33"/>
        <v>0.3</v>
      </c>
      <c r="N173" s="143">
        <f t="shared" si="33"/>
        <v>0.3</v>
      </c>
      <c r="O173" s="143">
        <f t="shared" si="33"/>
        <v>0.3</v>
      </c>
      <c r="P173" s="143">
        <f t="shared" si="33"/>
        <v>0.3</v>
      </c>
      <c r="Q173" s="143">
        <f t="shared" si="33"/>
        <v>0.3</v>
      </c>
      <c r="R173" s="143">
        <f t="shared" si="33"/>
        <v>0.3</v>
      </c>
      <c r="S173" s="143">
        <f t="shared" ref="S173:AF178" si="34">R173</f>
        <v>0.3</v>
      </c>
      <c r="T173" s="143">
        <f t="shared" si="34"/>
        <v>0.3</v>
      </c>
      <c r="U173" s="143">
        <f t="shared" si="34"/>
        <v>0.3</v>
      </c>
      <c r="V173" s="143">
        <f t="shared" si="34"/>
        <v>0.3</v>
      </c>
      <c r="W173" s="143">
        <f t="shared" si="34"/>
        <v>0.3</v>
      </c>
      <c r="X173" s="143">
        <f t="shared" si="34"/>
        <v>0.3</v>
      </c>
      <c r="Y173" s="143">
        <f t="shared" si="34"/>
        <v>0.3</v>
      </c>
      <c r="Z173" s="143">
        <f t="shared" si="34"/>
        <v>0.3</v>
      </c>
      <c r="AA173" s="143">
        <f t="shared" si="34"/>
        <v>0.3</v>
      </c>
      <c r="AB173" s="143">
        <f t="shared" si="34"/>
        <v>0.3</v>
      </c>
      <c r="AC173" s="143">
        <f t="shared" si="34"/>
        <v>0.3</v>
      </c>
      <c r="AD173" s="143">
        <f t="shared" si="34"/>
        <v>0.3</v>
      </c>
      <c r="AE173" s="143">
        <f t="shared" si="34"/>
        <v>0.3</v>
      </c>
      <c r="AF173" s="143">
        <f t="shared" si="34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3"/>
        <v>0.4</v>
      </c>
      <c r="D174" s="136">
        <f t="shared" si="33"/>
        <v>0.4</v>
      </c>
      <c r="E174" s="136">
        <f t="shared" si="33"/>
        <v>0.4</v>
      </c>
      <c r="F174" s="136">
        <f t="shared" si="33"/>
        <v>0.4</v>
      </c>
      <c r="G174" s="136">
        <f t="shared" si="33"/>
        <v>0.4</v>
      </c>
      <c r="H174" s="136">
        <f t="shared" si="33"/>
        <v>0.4</v>
      </c>
      <c r="I174" s="136">
        <f t="shared" si="33"/>
        <v>0.4</v>
      </c>
      <c r="J174" s="136">
        <f t="shared" si="33"/>
        <v>0.4</v>
      </c>
      <c r="K174" s="136">
        <f t="shared" si="33"/>
        <v>0.4</v>
      </c>
      <c r="L174" s="136">
        <f t="shared" si="33"/>
        <v>0.4</v>
      </c>
      <c r="M174" s="136">
        <f t="shared" si="33"/>
        <v>0.4</v>
      </c>
      <c r="N174" s="136">
        <f t="shared" si="33"/>
        <v>0.4</v>
      </c>
      <c r="O174" s="136">
        <f t="shared" si="33"/>
        <v>0.4</v>
      </c>
      <c r="P174" s="136">
        <f t="shared" si="33"/>
        <v>0.4</v>
      </c>
      <c r="Q174" s="136">
        <f t="shared" si="33"/>
        <v>0.4</v>
      </c>
      <c r="R174" s="136">
        <f t="shared" si="33"/>
        <v>0.4</v>
      </c>
      <c r="S174" s="136">
        <f t="shared" si="34"/>
        <v>0.4</v>
      </c>
      <c r="T174" s="136">
        <f t="shared" si="34"/>
        <v>0.4</v>
      </c>
      <c r="U174" s="136">
        <f t="shared" si="34"/>
        <v>0.4</v>
      </c>
      <c r="V174" s="136">
        <f>U174</f>
        <v>0.4</v>
      </c>
      <c r="W174" s="136">
        <f>V174</f>
        <v>0.4</v>
      </c>
      <c r="X174" s="136">
        <f t="shared" si="34"/>
        <v>0.4</v>
      </c>
      <c r="Y174" s="136">
        <f t="shared" si="34"/>
        <v>0.4</v>
      </c>
      <c r="Z174" s="136">
        <f t="shared" si="34"/>
        <v>0.4</v>
      </c>
      <c r="AA174" s="136">
        <f t="shared" si="34"/>
        <v>0.4</v>
      </c>
      <c r="AB174" s="136">
        <f t="shared" si="34"/>
        <v>0.4</v>
      </c>
      <c r="AC174" s="136">
        <f t="shared" si="34"/>
        <v>0.4</v>
      </c>
      <c r="AD174" s="136">
        <f t="shared" si="34"/>
        <v>0.4</v>
      </c>
      <c r="AE174" s="136">
        <f t="shared" si="34"/>
        <v>0.4</v>
      </c>
      <c r="AF174" s="136">
        <f t="shared" si="34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3"/>
        <v>1.5</v>
      </c>
      <c r="D175" s="136">
        <f t="shared" si="33"/>
        <v>1.5</v>
      </c>
      <c r="E175" s="136">
        <f t="shared" si="33"/>
        <v>1.5</v>
      </c>
      <c r="F175" s="136">
        <f t="shared" si="33"/>
        <v>1.5</v>
      </c>
      <c r="G175" s="136">
        <f t="shared" si="33"/>
        <v>1.5</v>
      </c>
      <c r="H175" s="136">
        <f t="shared" si="33"/>
        <v>1.5</v>
      </c>
      <c r="I175" s="136">
        <f t="shared" si="33"/>
        <v>1.5</v>
      </c>
      <c r="J175" s="136">
        <f t="shared" si="33"/>
        <v>1.5</v>
      </c>
      <c r="K175" s="136">
        <f t="shared" si="33"/>
        <v>1.5</v>
      </c>
      <c r="L175" s="136">
        <f t="shared" si="33"/>
        <v>1.5</v>
      </c>
      <c r="M175" s="136">
        <f t="shared" si="33"/>
        <v>1.5</v>
      </c>
      <c r="N175" s="136">
        <f t="shared" si="33"/>
        <v>1.5</v>
      </c>
      <c r="O175" s="136">
        <f t="shared" si="33"/>
        <v>1.5</v>
      </c>
      <c r="P175" s="136">
        <f t="shared" si="33"/>
        <v>1.5</v>
      </c>
      <c r="Q175" s="136">
        <f t="shared" si="33"/>
        <v>1.5</v>
      </c>
      <c r="R175" s="136">
        <f t="shared" si="33"/>
        <v>1.5</v>
      </c>
      <c r="S175" s="136">
        <f t="shared" si="34"/>
        <v>1.5</v>
      </c>
      <c r="T175" s="136">
        <f t="shared" si="34"/>
        <v>1.5</v>
      </c>
      <c r="U175" s="136">
        <f t="shared" si="34"/>
        <v>1.5</v>
      </c>
      <c r="V175" s="136">
        <f t="shared" si="34"/>
        <v>1.5</v>
      </c>
      <c r="W175" s="136">
        <f t="shared" si="34"/>
        <v>1.5</v>
      </c>
      <c r="X175" s="136">
        <f t="shared" si="34"/>
        <v>1.5</v>
      </c>
      <c r="Y175" s="136">
        <f t="shared" si="34"/>
        <v>1.5</v>
      </c>
      <c r="Z175" s="136">
        <f t="shared" si="34"/>
        <v>1.5</v>
      </c>
      <c r="AA175" s="136">
        <f t="shared" si="34"/>
        <v>1.5</v>
      </c>
      <c r="AB175" s="136">
        <f t="shared" si="34"/>
        <v>1.5</v>
      </c>
      <c r="AC175" s="136">
        <f t="shared" si="34"/>
        <v>1.5</v>
      </c>
      <c r="AD175" s="136">
        <f t="shared" si="34"/>
        <v>1.5</v>
      </c>
      <c r="AE175" s="136">
        <f t="shared" si="34"/>
        <v>1.5</v>
      </c>
      <c r="AF175" s="136">
        <f t="shared" si="34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3"/>
        <v>0.3</v>
      </c>
      <c r="D176" s="136">
        <f t="shared" si="33"/>
        <v>0.3</v>
      </c>
      <c r="E176" s="136">
        <f t="shared" si="33"/>
        <v>0.3</v>
      </c>
      <c r="F176" s="136">
        <f t="shared" si="33"/>
        <v>0.3</v>
      </c>
      <c r="G176" s="136">
        <f t="shared" si="33"/>
        <v>0.3</v>
      </c>
      <c r="H176" s="136">
        <f t="shared" si="33"/>
        <v>0.3</v>
      </c>
      <c r="I176" s="136">
        <f t="shared" si="33"/>
        <v>0.3</v>
      </c>
      <c r="J176" s="136">
        <f t="shared" si="33"/>
        <v>0.3</v>
      </c>
      <c r="K176" s="136">
        <f t="shared" si="33"/>
        <v>0.3</v>
      </c>
      <c r="L176" s="136">
        <f t="shared" si="33"/>
        <v>0.3</v>
      </c>
      <c r="M176" s="136">
        <f t="shared" si="33"/>
        <v>0.3</v>
      </c>
      <c r="N176" s="136">
        <f t="shared" si="33"/>
        <v>0.3</v>
      </c>
      <c r="O176" s="136">
        <f t="shared" si="33"/>
        <v>0.3</v>
      </c>
      <c r="P176" s="136">
        <f t="shared" si="33"/>
        <v>0.3</v>
      </c>
      <c r="Q176" s="136">
        <f t="shared" si="33"/>
        <v>0.3</v>
      </c>
      <c r="R176" s="136">
        <f t="shared" si="33"/>
        <v>0.3</v>
      </c>
      <c r="S176" s="136">
        <f t="shared" si="34"/>
        <v>0.3</v>
      </c>
      <c r="T176" s="136">
        <f t="shared" si="34"/>
        <v>0.3</v>
      </c>
      <c r="U176" s="136">
        <f t="shared" si="34"/>
        <v>0.3</v>
      </c>
      <c r="V176" s="136">
        <f t="shared" si="34"/>
        <v>0.3</v>
      </c>
      <c r="W176" s="136">
        <f t="shared" si="34"/>
        <v>0.3</v>
      </c>
      <c r="X176" s="136">
        <f t="shared" si="34"/>
        <v>0.3</v>
      </c>
      <c r="Y176" s="136">
        <f t="shared" si="34"/>
        <v>0.3</v>
      </c>
      <c r="Z176" s="136">
        <f t="shared" si="34"/>
        <v>0.3</v>
      </c>
      <c r="AA176" s="136">
        <f t="shared" si="34"/>
        <v>0.3</v>
      </c>
      <c r="AB176" s="136">
        <f t="shared" si="34"/>
        <v>0.3</v>
      </c>
      <c r="AC176" s="136">
        <f t="shared" si="34"/>
        <v>0.3</v>
      </c>
      <c r="AD176" s="136">
        <f t="shared" si="34"/>
        <v>0.3</v>
      </c>
      <c r="AE176" s="136">
        <f t="shared" si="34"/>
        <v>0.3</v>
      </c>
      <c r="AF176" s="136">
        <f t="shared" si="34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3"/>
        <v>0.4</v>
      </c>
      <c r="D177" s="136">
        <f t="shared" si="33"/>
        <v>0.4</v>
      </c>
      <c r="E177" s="136">
        <f t="shared" si="33"/>
        <v>0.4</v>
      </c>
      <c r="F177" s="136">
        <f t="shared" si="33"/>
        <v>0.4</v>
      </c>
      <c r="G177" s="136">
        <f t="shared" si="33"/>
        <v>0.4</v>
      </c>
      <c r="H177" s="136">
        <f t="shared" si="33"/>
        <v>0.4</v>
      </c>
      <c r="I177" s="136">
        <f t="shared" si="33"/>
        <v>0.4</v>
      </c>
      <c r="J177" s="136">
        <f t="shared" si="33"/>
        <v>0.4</v>
      </c>
      <c r="K177" s="136">
        <f t="shared" si="33"/>
        <v>0.4</v>
      </c>
      <c r="L177" s="136">
        <f t="shared" si="33"/>
        <v>0.4</v>
      </c>
      <c r="M177" s="136">
        <f t="shared" si="33"/>
        <v>0.4</v>
      </c>
      <c r="N177" s="136">
        <f t="shared" si="33"/>
        <v>0.4</v>
      </c>
      <c r="O177" s="136">
        <f t="shared" si="33"/>
        <v>0.4</v>
      </c>
      <c r="P177" s="136">
        <f t="shared" si="33"/>
        <v>0.4</v>
      </c>
      <c r="Q177" s="136">
        <f t="shared" si="33"/>
        <v>0.4</v>
      </c>
      <c r="R177" s="136">
        <f t="shared" si="33"/>
        <v>0.4</v>
      </c>
      <c r="S177" s="136">
        <f t="shared" si="34"/>
        <v>0.4</v>
      </c>
      <c r="T177" s="136">
        <f t="shared" si="34"/>
        <v>0.4</v>
      </c>
      <c r="U177" s="136">
        <f t="shared" si="34"/>
        <v>0.4</v>
      </c>
      <c r="V177" s="136">
        <f t="shared" si="34"/>
        <v>0.4</v>
      </c>
      <c r="W177" s="136">
        <f t="shared" si="34"/>
        <v>0.4</v>
      </c>
      <c r="X177" s="136">
        <f t="shared" si="34"/>
        <v>0.4</v>
      </c>
      <c r="Y177" s="136">
        <f t="shared" si="34"/>
        <v>0.4</v>
      </c>
      <c r="Z177" s="136">
        <f t="shared" si="34"/>
        <v>0.4</v>
      </c>
      <c r="AA177" s="136">
        <f t="shared" si="34"/>
        <v>0.4</v>
      </c>
      <c r="AB177" s="136">
        <f t="shared" si="34"/>
        <v>0.4</v>
      </c>
      <c r="AC177" s="136">
        <f t="shared" si="34"/>
        <v>0.4</v>
      </c>
      <c r="AD177" s="136">
        <f t="shared" si="34"/>
        <v>0.4</v>
      </c>
      <c r="AE177" s="136">
        <f t="shared" si="34"/>
        <v>0.4</v>
      </c>
      <c r="AF177" s="136">
        <f t="shared" si="34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3"/>
        <v>0.64</v>
      </c>
      <c r="D178" s="146">
        <f t="shared" si="33"/>
        <v>0.64</v>
      </c>
      <c r="E178" s="146">
        <f t="shared" si="33"/>
        <v>0.64</v>
      </c>
      <c r="F178" s="146">
        <f t="shared" si="33"/>
        <v>0.64</v>
      </c>
      <c r="G178" s="146">
        <f t="shared" si="33"/>
        <v>0.64</v>
      </c>
      <c r="H178" s="146">
        <f t="shared" si="33"/>
        <v>0.64</v>
      </c>
      <c r="I178" s="146">
        <f t="shared" si="33"/>
        <v>0.64</v>
      </c>
      <c r="J178" s="146">
        <f t="shared" si="33"/>
        <v>0.64</v>
      </c>
      <c r="K178" s="146">
        <f t="shared" si="33"/>
        <v>0.64</v>
      </c>
      <c r="L178" s="146">
        <f t="shared" si="33"/>
        <v>0.64</v>
      </c>
      <c r="M178" s="146">
        <f t="shared" si="33"/>
        <v>0.64</v>
      </c>
      <c r="N178" s="146">
        <f t="shared" si="33"/>
        <v>0.64</v>
      </c>
      <c r="O178" s="146">
        <f t="shared" si="33"/>
        <v>0.64</v>
      </c>
      <c r="P178" s="146">
        <f t="shared" si="33"/>
        <v>0.64</v>
      </c>
      <c r="Q178" s="146">
        <f t="shared" si="33"/>
        <v>0.64</v>
      </c>
      <c r="R178" s="146">
        <f t="shared" si="33"/>
        <v>0.64</v>
      </c>
      <c r="S178" s="146">
        <f t="shared" si="34"/>
        <v>0.64</v>
      </c>
      <c r="T178" s="146">
        <f t="shared" si="34"/>
        <v>0.64</v>
      </c>
      <c r="U178" s="146">
        <f t="shared" si="34"/>
        <v>0.64</v>
      </c>
      <c r="V178" s="146">
        <f t="shared" si="34"/>
        <v>0.64</v>
      </c>
      <c r="W178" s="146">
        <f t="shared" si="34"/>
        <v>0.64</v>
      </c>
      <c r="X178" s="146">
        <f t="shared" si="34"/>
        <v>0.64</v>
      </c>
      <c r="Y178" s="146">
        <f t="shared" si="34"/>
        <v>0.64</v>
      </c>
      <c r="Z178" s="146">
        <f t="shared" si="34"/>
        <v>0.64</v>
      </c>
      <c r="AA178" s="146">
        <f t="shared" si="34"/>
        <v>0.64</v>
      </c>
      <c r="AB178" s="146">
        <f t="shared" si="34"/>
        <v>0.64</v>
      </c>
      <c r="AC178" s="146">
        <f t="shared" si="34"/>
        <v>0.64</v>
      </c>
      <c r="AD178" s="146">
        <f t="shared" si="34"/>
        <v>0.64</v>
      </c>
      <c r="AE178" s="146">
        <f t="shared" si="34"/>
        <v>0.64</v>
      </c>
      <c r="AF178" s="146">
        <f t="shared" si="34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5">SUM(C173:C178)</f>
        <v>3.54</v>
      </c>
      <c r="D179" s="149">
        <f t="shared" si="35"/>
        <v>3.54</v>
      </c>
      <c r="E179" s="149">
        <f t="shared" si="35"/>
        <v>3.54</v>
      </c>
      <c r="F179" s="149">
        <f t="shared" si="35"/>
        <v>3.54</v>
      </c>
      <c r="G179" s="149">
        <f t="shared" si="35"/>
        <v>3.54</v>
      </c>
      <c r="H179" s="149">
        <f t="shared" si="35"/>
        <v>3.54</v>
      </c>
      <c r="I179" s="149">
        <f t="shared" si="35"/>
        <v>3.54</v>
      </c>
      <c r="J179" s="149">
        <f t="shared" si="35"/>
        <v>3.54</v>
      </c>
      <c r="K179" s="149">
        <f t="shared" si="35"/>
        <v>3.54</v>
      </c>
      <c r="L179" s="149">
        <f>SUM(L173:L178)</f>
        <v>3.54</v>
      </c>
      <c r="M179" s="149">
        <f t="shared" ref="M179:R179" si="36">SUM(M173:M178)</f>
        <v>3.54</v>
      </c>
      <c r="N179" s="149">
        <f t="shared" si="36"/>
        <v>3.54</v>
      </c>
      <c r="O179" s="149">
        <f t="shared" si="36"/>
        <v>3.54</v>
      </c>
      <c r="P179" s="149">
        <f t="shared" si="36"/>
        <v>3.54</v>
      </c>
      <c r="Q179" s="149">
        <f t="shared" si="36"/>
        <v>3.54</v>
      </c>
      <c r="R179" s="149">
        <f t="shared" si="36"/>
        <v>3.54</v>
      </c>
      <c r="S179" s="149">
        <f>SUM(S173:S178)</f>
        <v>3.54</v>
      </c>
      <c r="T179" s="149">
        <f t="shared" ref="T179:AG179" si="37">SUM(T173:T178)</f>
        <v>3.54</v>
      </c>
      <c r="U179" s="149">
        <f t="shared" si="37"/>
        <v>3.54</v>
      </c>
      <c r="V179" s="149">
        <f t="shared" si="37"/>
        <v>3.54</v>
      </c>
      <c r="W179" s="149">
        <f t="shared" si="37"/>
        <v>3.54</v>
      </c>
      <c r="X179" s="149">
        <f t="shared" si="37"/>
        <v>3.54</v>
      </c>
      <c r="Y179" s="149">
        <f t="shared" si="37"/>
        <v>3.54</v>
      </c>
      <c r="Z179" s="149">
        <f t="shared" si="37"/>
        <v>3.54</v>
      </c>
      <c r="AA179" s="149">
        <f t="shared" si="37"/>
        <v>3.54</v>
      </c>
      <c r="AB179" s="149">
        <f t="shared" si="37"/>
        <v>3.54</v>
      </c>
      <c r="AC179" s="149">
        <f t="shared" si="37"/>
        <v>3.54</v>
      </c>
      <c r="AD179" s="149">
        <f t="shared" si="37"/>
        <v>3.54</v>
      </c>
      <c r="AE179" s="149">
        <f t="shared" si="37"/>
        <v>3.54</v>
      </c>
      <c r="AF179" s="149">
        <f t="shared" si="37"/>
        <v>3.54</v>
      </c>
      <c r="AG179" s="150">
        <f t="shared" si="37"/>
        <v>8.56</v>
      </c>
      <c r="AH179" s="52"/>
      <c r="AI179" s="53"/>
    </row>
    <row r="180" spans="1:50" ht="15.75" thickBot="1" x14ac:dyDescent="0.3"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  <c r="AC180" s="289"/>
      <c r="AD180" s="289"/>
      <c r="AE180" s="289"/>
      <c r="AF180" s="289"/>
      <c r="AG180" s="111"/>
      <c r="AH180" s="289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289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</row>
    <row r="187" spans="1:50" x14ac:dyDescent="0.25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  <c r="AC187" s="289"/>
      <c r="AD187" s="289"/>
      <c r="AE187" s="289"/>
      <c r="AF187" s="289"/>
      <c r="AG187" s="289"/>
      <c r="AH187" s="289"/>
    </row>
    <row r="188" spans="1:50" x14ac:dyDescent="0.25">
      <c r="A188" s="162" t="s">
        <v>189</v>
      </c>
      <c r="B188" s="163">
        <f>MAX(F65:M65)</f>
        <v>1101.23</v>
      </c>
      <c r="C188" s="164">
        <f>INDEX(F9:M9,1,MATCH(MAX(F65:M65),F65:M65,0))</f>
        <v>0.375</v>
      </c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  <c r="AC188" s="289"/>
      <c r="AD188" s="289"/>
      <c r="AE188" s="289"/>
      <c r="AF188" s="289"/>
      <c r="AG188" s="289"/>
      <c r="AH188" s="289"/>
    </row>
    <row r="189" spans="1:50" x14ac:dyDescent="0.25"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165" t="str">
        <f ca="1">MID(CELL("filename",C7),FIND("]",CELL("filename",C7))+1,600)</f>
        <v>31</v>
      </c>
      <c r="T189" s="289"/>
      <c r="U189" s="289"/>
      <c r="V189" s="289"/>
      <c r="W189" s="289"/>
      <c r="X189" s="289"/>
      <c r="Y189" s="289"/>
      <c r="Z189" s="289"/>
      <c r="AA189" s="289"/>
      <c r="AB189" s="289"/>
      <c r="AC189" s="289"/>
      <c r="AD189" s="289"/>
      <c r="AE189" s="289"/>
      <c r="AF189" s="289"/>
      <c r="AG189" s="289"/>
      <c r="AH189" s="289"/>
    </row>
    <row r="190" spans="1:50" x14ac:dyDescent="0.25">
      <c r="A190" s="334" t="s">
        <v>190</v>
      </c>
      <c r="B190" s="334"/>
      <c r="C190" s="289"/>
      <c r="D190" s="165" t="str">
        <f ca="1">"Pie Chart of Daily Peak Demand(Inclusive of Export) of Nepal ("&amp;A4&amp;" "&amp;C4&amp;")"</f>
        <v>Pie Chart of Daily Peak Demand(Inclusive of Export) of Nepal (Date: 2078 Jestha 31)</v>
      </c>
      <c r="E190" s="289"/>
      <c r="F190" s="289"/>
      <c r="G190" s="165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165" t="str">
        <f ca="1">"Daily Load Curve(Excluding of Export) of Nepal ("&amp;A4&amp;" "&amp;C4&amp;")"</f>
        <v>Daily Load Curve(Excluding of Export) of Nepal (Date: 2078 Jestha 31)</v>
      </c>
      <c r="T190" s="289"/>
      <c r="U190" s="289"/>
      <c r="V190" s="289"/>
      <c r="W190" s="289"/>
      <c r="X190" s="289"/>
      <c r="Y190" s="289"/>
      <c r="Z190" s="289"/>
      <c r="AA190" s="289"/>
      <c r="AB190" s="289"/>
      <c r="AC190" s="289"/>
      <c r="AD190" s="289"/>
      <c r="AE190" s="289"/>
      <c r="AF190" s="289"/>
      <c r="AG190" s="289"/>
      <c r="AH190" s="289"/>
    </row>
    <row r="191" spans="1:50" ht="15.75" thickBot="1" x14ac:dyDescent="0.3">
      <c r="A191" s="166" t="s">
        <v>7</v>
      </c>
      <c r="B191" s="167"/>
      <c r="C191" s="289"/>
      <c r="D191" s="168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  <c r="AC191" s="289"/>
      <c r="AD191" s="289"/>
      <c r="AE191" s="289"/>
      <c r="AF191" s="289"/>
      <c r="AG191" s="289"/>
      <c r="AH191" s="289"/>
    </row>
    <row r="192" spans="1:50" ht="12.75" customHeight="1" thickTop="1" x14ac:dyDescent="0.25">
      <c r="A192" s="166" t="s">
        <v>191</v>
      </c>
      <c r="B192" s="167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 t="s">
        <v>194</v>
      </c>
      <c r="T193" s="173">
        <f t="shared" ref="T193:AX193" si="38">B65</f>
        <v>1093.4900000000002</v>
      </c>
      <c r="U193" s="173">
        <f t="shared" si="38"/>
        <v>1088.79</v>
      </c>
      <c r="V193" s="173">
        <f t="shared" si="38"/>
        <v>1047.2900000000002</v>
      </c>
      <c r="W193" s="173">
        <f t="shared" si="38"/>
        <v>1030.28</v>
      </c>
      <c r="X193" s="173">
        <f t="shared" si="38"/>
        <v>992.69</v>
      </c>
      <c r="Y193" s="173">
        <f t="shared" si="38"/>
        <v>1060.24</v>
      </c>
      <c r="Z193" s="173">
        <f t="shared" si="38"/>
        <v>1015.2900000000002</v>
      </c>
      <c r="AA193" s="173">
        <f t="shared" si="38"/>
        <v>1009.69</v>
      </c>
      <c r="AB193" s="173">
        <f t="shared" si="38"/>
        <v>1048.6300000000001</v>
      </c>
      <c r="AC193" s="173">
        <f t="shared" si="38"/>
        <v>1084.29</v>
      </c>
      <c r="AD193" s="173">
        <f t="shared" si="38"/>
        <v>1091.04</v>
      </c>
      <c r="AE193" s="173">
        <f t="shared" si="38"/>
        <v>1101.23</v>
      </c>
      <c r="AF193" s="173">
        <f t="shared" si="38"/>
        <v>1095.94</v>
      </c>
      <c r="AG193" s="173">
        <f t="shared" si="38"/>
        <v>1077.1400000000001</v>
      </c>
      <c r="AH193" s="173">
        <f t="shared" si="38"/>
        <v>1058.94</v>
      </c>
      <c r="AI193" s="173">
        <f t="shared" si="38"/>
        <v>1019.34</v>
      </c>
      <c r="AJ193" s="173">
        <f t="shared" si="38"/>
        <v>1018.46</v>
      </c>
      <c r="AK193" s="173">
        <f t="shared" si="38"/>
        <v>951.34000000000015</v>
      </c>
      <c r="AL193" s="173">
        <f t="shared" si="38"/>
        <v>968.1400000000001</v>
      </c>
      <c r="AM193" s="173">
        <f t="shared" si="38"/>
        <v>964.04000000000008</v>
      </c>
      <c r="AN193" s="173">
        <f t="shared" si="38"/>
        <v>831.54</v>
      </c>
      <c r="AO193" s="173">
        <f t="shared" si="38"/>
        <v>956.24000000000012</v>
      </c>
      <c r="AP193" s="173">
        <f t="shared" si="38"/>
        <v>974.94</v>
      </c>
      <c r="AQ193" s="173">
        <f t="shared" si="38"/>
        <v>1046.44</v>
      </c>
      <c r="AR193" s="173">
        <f t="shared" si="38"/>
        <v>1110.24</v>
      </c>
      <c r="AS193" s="173">
        <f t="shared" si="38"/>
        <v>1083.8399999999999</v>
      </c>
      <c r="AT193" s="173">
        <f t="shared" si="38"/>
        <v>1099.5400000000002</v>
      </c>
      <c r="AU193" s="173">
        <f t="shared" si="38"/>
        <v>1116.1400000000001</v>
      </c>
      <c r="AV193" s="173">
        <f t="shared" si="38"/>
        <v>1013.94</v>
      </c>
      <c r="AW193" s="173">
        <f t="shared" si="38"/>
        <v>991.34</v>
      </c>
      <c r="AX193" s="173">
        <f t="shared" si="38"/>
        <v>968.83999999999992</v>
      </c>
    </row>
    <row r="194" spans="1:50" x14ac:dyDescent="0.25">
      <c r="A194" s="166" t="s">
        <v>195</v>
      </c>
      <c r="B194" s="167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  <c r="AC194" s="289"/>
      <c r="AD194" s="289"/>
      <c r="AE194" s="289"/>
      <c r="AF194" s="289"/>
      <c r="AG194" s="289"/>
      <c r="AH194" s="289"/>
    </row>
    <row r="195" spans="1:50" x14ac:dyDescent="0.25">
      <c r="A195" s="166" t="s">
        <v>196</v>
      </c>
      <c r="B195" s="167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  <c r="AC195" s="289"/>
      <c r="AD195" s="289"/>
      <c r="AE195" s="289"/>
      <c r="AF195" s="289"/>
      <c r="AG195" s="289"/>
      <c r="AH195" s="289"/>
    </row>
    <row r="196" spans="1:50" x14ac:dyDescent="0.25">
      <c r="A196" s="166" t="s">
        <v>197</v>
      </c>
      <c r="B196" s="167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  <c r="AC196" s="289"/>
      <c r="AD196" s="289"/>
      <c r="AE196" s="289"/>
      <c r="AF196" s="289"/>
      <c r="AG196" s="289"/>
      <c r="AH196" s="289"/>
    </row>
    <row r="197" spans="1:50" x14ac:dyDescent="0.25">
      <c r="A197" s="166" t="s">
        <v>198</v>
      </c>
      <c r="B197" s="174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  <c r="AC197" s="289"/>
      <c r="AD197" s="289"/>
      <c r="AE197" s="289"/>
      <c r="AF197" s="289"/>
      <c r="AG197" s="289"/>
      <c r="AH197" s="289"/>
    </row>
    <row r="198" spans="1:50" x14ac:dyDescent="0.25">
      <c r="A198" s="166" t="s">
        <v>199</v>
      </c>
      <c r="B198" s="167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  <c r="AC198" s="289"/>
      <c r="AD198" s="289"/>
      <c r="AE198" s="289"/>
      <c r="AF198" s="289"/>
      <c r="AG198" s="289"/>
      <c r="AH198" s="289"/>
    </row>
    <row r="199" spans="1:50" x14ac:dyDescent="0.25"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  <c r="AC199" s="289"/>
      <c r="AD199" s="289"/>
      <c r="AE199" s="289"/>
      <c r="AF199" s="289"/>
      <c r="AG199" s="289"/>
      <c r="AH199" s="289"/>
    </row>
    <row r="200" spans="1:50" x14ac:dyDescent="0.25"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  <c r="AC200" s="289"/>
      <c r="AD200" s="289"/>
      <c r="AE200" s="289"/>
      <c r="AF200" s="289"/>
      <c r="AG200" s="289"/>
      <c r="AH200" s="289"/>
    </row>
    <row r="201" spans="1:50" x14ac:dyDescent="0.25"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  <c r="AC201" s="289"/>
      <c r="AD201" s="289"/>
      <c r="AE201" s="289"/>
      <c r="AF201" s="289"/>
      <c r="AG201" s="289"/>
      <c r="AH201" s="289"/>
    </row>
    <row r="202" spans="1:50" x14ac:dyDescent="0.25"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  <c r="AC202" s="289"/>
      <c r="AD202" s="289"/>
      <c r="AE202" s="289"/>
      <c r="AF202" s="289"/>
      <c r="AG202" s="289"/>
      <c r="AH202" s="289"/>
    </row>
    <row r="203" spans="1:50" x14ac:dyDescent="0.25"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  <c r="AC203" s="289"/>
      <c r="AD203" s="289"/>
      <c r="AE203" s="289"/>
      <c r="AF203" s="289"/>
      <c r="AG203" s="289"/>
      <c r="AH203" s="289"/>
    </row>
    <row r="204" spans="1:50" x14ac:dyDescent="0.25"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  <c r="AC204" s="289"/>
      <c r="AD204" s="289"/>
      <c r="AE204" s="289"/>
      <c r="AF204" s="289"/>
      <c r="AG204" s="289"/>
      <c r="AH204" s="289"/>
    </row>
    <row r="205" spans="1:50" x14ac:dyDescent="0.25"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  <c r="AC205" s="289"/>
      <c r="AD205" s="289"/>
      <c r="AE205" s="289"/>
      <c r="AF205" s="289"/>
      <c r="AG205" s="289"/>
      <c r="AH205" s="289"/>
    </row>
    <row r="206" spans="1:50" x14ac:dyDescent="0.25"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  <c r="AC206" s="289"/>
      <c r="AD206" s="289"/>
      <c r="AE206" s="289"/>
      <c r="AF206" s="289"/>
      <c r="AG206" s="289"/>
      <c r="AH206" s="289"/>
    </row>
    <row r="207" spans="1:50" x14ac:dyDescent="0.25"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  <c r="AC207" s="289"/>
      <c r="AD207" s="289"/>
      <c r="AE207" s="289"/>
      <c r="AF207" s="289"/>
      <c r="AG207" s="289"/>
      <c r="AH207" s="289"/>
    </row>
    <row r="208" spans="1:50" x14ac:dyDescent="0.25"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  <c r="AC208" s="289"/>
      <c r="AD208" s="289"/>
      <c r="AE208" s="289"/>
      <c r="AF208" s="289"/>
      <c r="AG208" s="289"/>
      <c r="AH208" s="289"/>
    </row>
    <row r="209" spans="1:34" x14ac:dyDescent="0.25"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  <c r="AC209" s="289"/>
      <c r="AD209" s="289"/>
      <c r="AE209" s="289"/>
      <c r="AF209" s="289"/>
      <c r="AG209" s="289"/>
      <c r="AH209" s="289"/>
    </row>
    <row r="210" spans="1:34" x14ac:dyDescent="0.25"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  <c r="AC210" s="289"/>
      <c r="AD210" s="289"/>
      <c r="AE210" s="289"/>
      <c r="AF210" s="289"/>
      <c r="AG210" s="289"/>
      <c r="AH210" s="289"/>
    </row>
    <row r="211" spans="1:34" x14ac:dyDescent="0.25"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  <c r="AC211" s="289"/>
      <c r="AD211" s="289"/>
      <c r="AE211" s="289"/>
      <c r="AF211" s="289"/>
      <c r="AG211" s="289"/>
      <c r="AH211" s="289"/>
    </row>
    <row r="212" spans="1:34" x14ac:dyDescent="0.25"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  <c r="AC212" s="289"/>
      <c r="AD212" s="289"/>
      <c r="AE212" s="289"/>
      <c r="AF212" s="289"/>
      <c r="AG212" s="289"/>
      <c r="AH212" s="289"/>
    </row>
    <row r="213" spans="1:34" x14ac:dyDescent="0.25"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  <c r="AC213" s="289"/>
      <c r="AD213" s="289"/>
      <c r="AE213" s="289"/>
      <c r="AF213" s="289"/>
      <c r="AG213" s="289"/>
      <c r="AH213" s="289"/>
    </row>
    <row r="214" spans="1:34" x14ac:dyDescent="0.25">
      <c r="A214" s="292" t="s">
        <v>184</v>
      </c>
      <c r="B214" s="176">
        <f t="shared" ref="B214:AF214" si="39">B178</f>
        <v>0.64</v>
      </c>
      <c r="C214" s="176">
        <f t="shared" si="39"/>
        <v>0.64</v>
      </c>
      <c r="D214" s="176">
        <f t="shared" si="39"/>
        <v>0.64</v>
      </c>
      <c r="E214" s="176">
        <f t="shared" si="39"/>
        <v>0.64</v>
      </c>
      <c r="F214" s="176">
        <f t="shared" si="39"/>
        <v>0.64</v>
      </c>
      <c r="G214" s="176">
        <f t="shared" si="39"/>
        <v>0.64</v>
      </c>
      <c r="H214" s="176">
        <f t="shared" si="39"/>
        <v>0.64</v>
      </c>
      <c r="I214" s="176">
        <f t="shared" si="39"/>
        <v>0.64</v>
      </c>
      <c r="J214" s="176">
        <f t="shared" si="39"/>
        <v>0.64</v>
      </c>
      <c r="K214" s="176">
        <f t="shared" si="39"/>
        <v>0.64</v>
      </c>
      <c r="L214" s="176">
        <f t="shared" si="39"/>
        <v>0.64</v>
      </c>
      <c r="M214" s="176">
        <f t="shared" si="39"/>
        <v>0.64</v>
      </c>
      <c r="N214" s="176">
        <f t="shared" si="39"/>
        <v>0.64</v>
      </c>
      <c r="O214" s="176">
        <f t="shared" si="39"/>
        <v>0.64</v>
      </c>
      <c r="P214" s="176">
        <f t="shared" si="39"/>
        <v>0.64</v>
      </c>
      <c r="Q214" s="176">
        <f t="shared" si="39"/>
        <v>0.64</v>
      </c>
      <c r="R214" s="176">
        <f t="shared" si="39"/>
        <v>0.64</v>
      </c>
      <c r="S214" s="176">
        <f t="shared" si="39"/>
        <v>0.64</v>
      </c>
      <c r="T214" s="176">
        <f t="shared" si="39"/>
        <v>0.64</v>
      </c>
      <c r="U214" s="176">
        <f t="shared" si="39"/>
        <v>0.64</v>
      </c>
      <c r="V214" s="176">
        <f t="shared" si="39"/>
        <v>0.64</v>
      </c>
      <c r="W214" s="176">
        <f t="shared" si="39"/>
        <v>0.64</v>
      </c>
      <c r="X214" s="176">
        <f t="shared" si="39"/>
        <v>0.64</v>
      </c>
      <c r="Y214" s="176">
        <f t="shared" si="39"/>
        <v>0.64</v>
      </c>
      <c r="Z214" s="176">
        <f t="shared" si="39"/>
        <v>0.64</v>
      </c>
      <c r="AA214" s="176">
        <f t="shared" si="39"/>
        <v>0.64</v>
      </c>
      <c r="AB214" s="176">
        <f t="shared" si="39"/>
        <v>0.64</v>
      </c>
      <c r="AC214" s="176">
        <f t="shared" si="39"/>
        <v>0.64</v>
      </c>
      <c r="AD214" s="176">
        <f t="shared" si="39"/>
        <v>0.64</v>
      </c>
      <c r="AE214" s="176">
        <f t="shared" si="39"/>
        <v>0.64</v>
      </c>
      <c r="AF214" s="176">
        <f t="shared" si="39"/>
        <v>0.64</v>
      </c>
      <c r="AG214" s="289"/>
      <c r="AH214" s="289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40">IF(C182&lt;100,"",C182-520)</f>
        <v/>
      </c>
      <c r="D215" s="120" t="str">
        <f t="shared" si="40"/>
        <v/>
      </c>
      <c r="E215" s="120" t="str">
        <f t="shared" si="40"/>
        <v/>
      </c>
      <c r="F215" s="120" t="str">
        <f t="shared" si="40"/>
        <v/>
      </c>
      <c r="G215" s="120" t="str">
        <f t="shared" si="40"/>
        <v/>
      </c>
      <c r="H215" s="120" t="str">
        <f t="shared" si="40"/>
        <v/>
      </c>
      <c r="I215" s="120" t="str">
        <f t="shared" si="40"/>
        <v/>
      </c>
      <c r="J215" s="120" t="str">
        <f t="shared" si="40"/>
        <v/>
      </c>
      <c r="K215" s="120" t="str">
        <f t="shared" si="40"/>
        <v/>
      </c>
      <c r="L215" s="120" t="str">
        <f t="shared" si="40"/>
        <v/>
      </c>
      <c r="M215" s="120" t="str">
        <f t="shared" si="40"/>
        <v/>
      </c>
      <c r="N215" s="120" t="str">
        <f t="shared" si="40"/>
        <v/>
      </c>
      <c r="O215" s="120" t="str">
        <f t="shared" si="40"/>
        <v/>
      </c>
      <c r="P215" s="120" t="str">
        <f t="shared" si="40"/>
        <v/>
      </c>
      <c r="Q215" s="120" t="str">
        <f t="shared" si="40"/>
        <v/>
      </c>
      <c r="R215" s="120" t="str">
        <f t="shared" si="40"/>
        <v/>
      </c>
      <c r="S215" s="120" t="str">
        <f t="shared" si="40"/>
        <v/>
      </c>
      <c r="T215" s="120" t="str">
        <f t="shared" si="40"/>
        <v/>
      </c>
      <c r="U215" s="120" t="str">
        <f t="shared" si="40"/>
        <v/>
      </c>
      <c r="V215" s="120" t="str">
        <f t="shared" si="40"/>
        <v/>
      </c>
      <c r="W215" s="120" t="str">
        <f t="shared" si="40"/>
        <v/>
      </c>
      <c r="X215" s="120" t="str">
        <f t="shared" si="40"/>
        <v/>
      </c>
      <c r="Y215" s="120" t="str">
        <f t="shared" si="40"/>
        <v/>
      </c>
      <c r="Z215" s="120" t="str">
        <f t="shared" si="40"/>
        <v/>
      </c>
      <c r="AA215" s="120" t="str">
        <f t="shared" si="40"/>
        <v/>
      </c>
      <c r="AB215" s="120" t="str">
        <f t="shared" si="40"/>
        <v/>
      </c>
      <c r="AC215" s="120" t="str">
        <f t="shared" si="40"/>
        <v/>
      </c>
      <c r="AD215" s="120" t="str">
        <f t="shared" si="40"/>
        <v/>
      </c>
      <c r="AE215" s="120" t="str">
        <f t="shared" si="40"/>
        <v/>
      </c>
      <c r="AF215" s="120" t="str">
        <f t="shared" si="40"/>
        <v/>
      </c>
      <c r="AG215" s="289"/>
      <c r="AH215" s="289"/>
    </row>
    <row r="216" spans="1:34" x14ac:dyDescent="0.25">
      <c r="A216" s="120" t="str">
        <f>A183</f>
        <v>MMRS</v>
      </c>
      <c r="B216" s="120" t="str">
        <f t="shared" ref="B216:AF216" si="41">IF(B183&lt;100,"",B183-620)</f>
        <v/>
      </c>
      <c r="C216" s="120" t="str">
        <f t="shared" si="41"/>
        <v/>
      </c>
      <c r="D216" s="120" t="str">
        <f t="shared" si="41"/>
        <v/>
      </c>
      <c r="E216" s="120" t="str">
        <f t="shared" si="41"/>
        <v/>
      </c>
      <c r="F216" s="120" t="str">
        <f t="shared" si="41"/>
        <v/>
      </c>
      <c r="G216" s="120" t="str">
        <f t="shared" si="41"/>
        <v/>
      </c>
      <c r="H216" s="120" t="str">
        <f t="shared" si="41"/>
        <v/>
      </c>
      <c r="I216" s="120" t="str">
        <f t="shared" si="41"/>
        <v/>
      </c>
      <c r="J216" s="120" t="str">
        <f t="shared" si="41"/>
        <v/>
      </c>
      <c r="K216" s="120" t="str">
        <f t="shared" si="41"/>
        <v/>
      </c>
      <c r="L216" s="120" t="str">
        <f t="shared" si="41"/>
        <v/>
      </c>
      <c r="M216" s="120" t="str">
        <f t="shared" si="41"/>
        <v/>
      </c>
      <c r="N216" s="120" t="str">
        <f t="shared" si="41"/>
        <v/>
      </c>
      <c r="O216" s="120" t="str">
        <f t="shared" si="41"/>
        <v/>
      </c>
      <c r="P216" s="120" t="str">
        <f t="shared" si="41"/>
        <v/>
      </c>
      <c r="Q216" s="120" t="str">
        <f t="shared" si="41"/>
        <v/>
      </c>
      <c r="R216" s="120" t="str">
        <f t="shared" si="41"/>
        <v/>
      </c>
      <c r="S216" s="120" t="str">
        <f t="shared" si="41"/>
        <v/>
      </c>
      <c r="T216" s="120" t="str">
        <f t="shared" si="41"/>
        <v/>
      </c>
      <c r="U216" s="120" t="str">
        <f t="shared" si="41"/>
        <v/>
      </c>
      <c r="V216" s="120" t="str">
        <f t="shared" si="41"/>
        <v/>
      </c>
      <c r="W216" s="120" t="str">
        <f t="shared" si="41"/>
        <v/>
      </c>
      <c r="X216" s="120" t="str">
        <f t="shared" si="41"/>
        <v/>
      </c>
      <c r="Y216" s="120" t="str">
        <f t="shared" si="41"/>
        <v/>
      </c>
      <c r="Z216" s="120" t="str">
        <f t="shared" si="41"/>
        <v/>
      </c>
      <c r="AA216" s="120" t="str">
        <f t="shared" si="41"/>
        <v/>
      </c>
      <c r="AB216" s="120" t="str">
        <f t="shared" si="41"/>
        <v/>
      </c>
      <c r="AC216" s="120" t="str">
        <f t="shared" si="41"/>
        <v/>
      </c>
      <c r="AD216" s="120" t="str">
        <f t="shared" si="41"/>
        <v/>
      </c>
      <c r="AE216" s="120" t="str">
        <f t="shared" si="41"/>
        <v/>
      </c>
      <c r="AF216" s="120" t="str">
        <f t="shared" si="41"/>
        <v/>
      </c>
      <c r="AG216" s="289"/>
      <c r="AH216" s="289"/>
    </row>
    <row r="217" spans="1:34" x14ac:dyDescent="0.25">
      <c r="A217" s="120" t="str">
        <f>A184</f>
        <v>MRS</v>
      </c>
      <c r="B217" s="120" t="str">
        <f t="shared" ref="B217:AF217" si="42">IF(B184&lt;100,"",B184-330)</f>
        <v/>
      </c>
      <c r="C217" s="120" t="str">
        <f t="shared" si="42"/>
        <v/>
      </c>
      <c r="D217" s="120" t="str">
        <f t="shared" si="42"/>
        <v/>
      </c>
      <c r="E217" s="120" t="str">
        <f t="shared" si="42"/>
        <v/>
      </c>
      <c r="F217" s="120" t="str">
        <f t="shared" si="42"/>
        <v/>
      </c>
      <c r="G217" s="120" t="str">
        <f t="shared" si="42"/>
        <v/>
      </c>
      <c r="H217" s="120" t="str">
        <f t="shared" si="42"/>
        <v/>
      </c>
      <c r="I217" s="120" t="str">
        <f t="shared" si="42"/>
        <v/>
      </c>
      <c r="J217" s="120" t="str">
        <f t="shared" si="42"/>
        <v/>
      </c>
      <c r="K217" s="120" t="str">
        <f t="shared" si="42"/>
        <v/>
      </c>
      <c r="L217" s="120" t="str">
        <f t="shared" si="42"/>
        <v/>
      </c>
      <c r="M217" s="120" t="str">
        <f t="shared" si="42"/>
        <v/>
      </c>
      <c r="N217" s="120" t="str">
        <f t="shared" si="42"/>
        <v/>
      </c>
      <c r="O217" s="120" t="str">
        <f t="shared" si="42"/>
        <v/>
      </c>
      <c r="P217" s="120" t="str">
        <f t="shared" si="42"/>
        <v/>
      </c>
      <c r="Q217" s="120" t="str">
        <f t="shared" si="42"/>
        <v/>
      </c>
      <c r="R217" s="120" t="str">
        <f t="shared" si="42"/>
        <v/>
      </c>
      <c r="S217" s="120" t="str">
        <f t="shared" si="42"/>
        <v/>
      </c>
      <c r="T217" s="120" t="str">
        <f t="shared" si="42"/>
        <v/>
      </c>
      <c r="U217" s="120" t="str">
        <f t="shared" si="42"/>
        <v/>
      </c>
      <c r="V217" s="120" t="str">
        <f t="shared" si="42"/>
        <v/>
      </c>
      <c r="W217" s="120" t="str">
        <f t="shared" si="42"/>
        <v/>
      </c>
      <c r="X217" s="120" t="str">
        <f t="shared" si="42"/>
        <v/>
      </c>
      <c r="Y217" s="120" t="str">
        <f t="shared" si="42"/>
        <v/>
      </c>
      <c r="Z217" s="120" t="str">
        <f t="shared" si="42"/>
        <v/>
      </c>
      <c r="AA217" s="120" t="str">
        <f t="shared" si="42"/>
        <v/>
      </c>
      <c r="AB217" s="120" t="str">
        <f t="shared" si="42"/>
        <v/>
      </c>
      <c r="AC217" s="120" t="str">
        <f t="shared" si="42"/>
        <v/>
      </c>
      <c r="AD217" s="120" t="str">
        <f t="shared" si="42"/>
        <v/>
      </c>
      <c r="AE217" s="120" t="str">
        <f t="shared" si="42"/>
        <v/>
      </c>
      <c r="AF217" s="120" t="str">
        <f t="shared" si="42"/>
        <v/>
      </c>
      <c r="AG217" s="289"/>
      <c r="AH217" s="289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3">IF(C185&lt;100,"",C185-1500)</f>
        <v/>
      </c>
      <c r="D218" s="120" t="str">
        <f t="shared" si="43"/>
        <v/>
      </c>
      <c r="E218" s="120" t="str">
        <f t="shared" si="43"/>
        <v/>
      </c>
      <c r="F218" s="120" t="str">
        <f t="shared" si="43"/>
        <v/>
      </c>
      <c r="G218" s="120" t="str">
        <f t="shared" si="43"/>
        <v/>
      </c>
      <c r="H218" s="120" t="str">
        <f t="shared" si="43"/>
        <v/>
      </c>
      <c r="I218" s="120" t="str">
        <f t="shared" si="43"/>
        <v/>
      </c>
      <c r="J218" s="120" t="str">
        <f t="shared" si="43"/>
        <v/>
      </c>
      <c r="K218" s="120" t="str">
        <f t="shared" si="43"/>
        <v/>
      </c>
      <c r="L218" s="120" t="str">
        <f t="shared" si="43"/>
        <v/>
      </c>
      <c r="M218" s="120" t="str">
        <f t="shared" si="43"/>
        <v/>
      </c>
      <c r="N218" s="120" t="str">
        <f t="shared" si="43"/>
        <v/>
      </c>
      <c r="O218" s="120" t="str">
        <f t="shared" si="43"/>
        <v/>
      </c>
      <c r="P218" s="120" t="str">
        <f t="shared" si="43"/>
        <v/>
      </c>
      <c r="Q218" s="120" t="str">
        <f t="shared" si="43"/>
        <v/>
      </c>
      <c r="R218" s="120" t="str">
        <f t="shared" si="43"/>
        <v/>
      </c>
      <c r="S218" s="120" t="str">
        <f t="shared" si="43"/>
        <v/>
      </c>
      <c r="T218" s="120" t="str">
        <f t="shared" si="43"/>
        <v/>
      </c>
      <c r="U218" s="120" t="str">
        <f t="shared" si="43"/>
        <v/>
      </c>
      <c r="V218" s="120" t="str">
        <f t="shared" si="43"/>
        <v/>
      </c>
      <c r="W218" s="120" t="str">
        <f t="shared" si="43"/>
        <v/>
      </c>
      <c r="X218" s="120" t="str">
        <f t="shared" si="43"/>
        <v/>
      </c>
      <c r="Y218" s="120" t="str">
        <f t="shared" si="43"/>
        <v/>
      </c>
      <c r="Z218" s="120" t="str">
        <f t="shared" si="43"/>
        <v/>
      </c>
      <c r="AA218" s="120" t="str">
        <f t="shared" si="43"/>
        <v/>
      </c>
      <c r="AB218" s="120" t="str">
        <f t="shared" si="43"/>
        <v/>
      </c>
      <c r="AC218" s="120" t="str">
        <f t="shared" si="43"/>
        <v/>
      </c>
      <c r="AD218" s="120" t="str">
        <f t="shared" si="43"/>
        <v/>
      </c>
      <c r="AE218" s="120" t="str">
        <f t="shared" si="43"/>
        <v/>
      </c>
      <c r="AF218" s="120" t="str">
        <f t="shared" si="43"/>
        <v/>
      </c>
      <c r="AG218" s="289"/>
      <c r="AH218" s="289"/>
    </row>
    <row r="219" spans="1:34" x14ac:dyDescent="0.25"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  <c r="AC219" s="289"/>
      <c r="AD219" s="289"/>
      <c r="AE219" s="289"/>
      <c r="AF219" s="289"/>
      <c r="AG219" s="289"/>
      <c r="AH219" s="289"/>
    </row>
    <row r="220" spans="1:34" x14ac:dyDescent="0.25"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  <c r="AC220" s="289"/>
      <c r="AD220" s="289"/>
      <c r="AE220" s="289"/>
      <c r="AF220" s="289"/>
      <c r="AG220" s="289"/>
      <c r="AH220" s="289"/>
    </row>
    <row r="221" spans="1:34" x14ac:dyDescent="0.25"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  <c r="AC221" s="289"/>
      <c r="AD221" s="289"/>
      <c r="AE221" s="289"/>
      <c r="AF221" s="289"/>
      <c r="AG221" s="289"/>
      <c r="AH221" s="289"/>
    </row>
    <row r="222" spans="1:34" x14ac:dyDescent="0.25"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  <c r="AC222" s="289"/>
      <c r="AD222" s="289"/>
      <c r="AE222" s="289"/>
      <c r="AF222" s="289"/>
      <c r="AG222" s="289"/>
      <c r="AH222" s="289"/>
    </row>
    <row r="223" spans="1:34" x14ac:dyDescent="0.25"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  <c r="AC223" s="289"/>
      <c r="AD223" s="289"/>
      <c r="AE223" s="289"/>
      <c r="AF223" s="289"/>
      <c r="AG223" s="289"/>
      <c r="AH223" s="289"/>
    </row>
    <row r="224" spans="1:34" x14ac:dyDescent="0.25"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  <c r="AC224" s="289"/>
      <c r="AD224" s="289"/>
      <c r="AE224" s="289"/>
      <c r="AF224" s="289"/>
      <c r="AG224" s="289"/>
      <c r="AH224" s="289"/>
    </row>
    <row r="225" spans="2:32" x14ac:dyDescent="0.25"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  <c r="AC225" s="289"/>
      <c r="AD225" s="289"/>
      <c r="AE225" s="289"/>
      <c r="AF225" s="289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92" priority="336">
      <formula>S$9&gt;=20/24</formula>
    </cfRule>
    <cfRule type="expression" dxfId="491" priority="337">
      <formula>AND(S$9&gt;=14/24,S$9&lt;20/24)</formula>
    </cfRule>
    <cfRule type="expression" dxfId="490" priority="338">
      <formula>AND(S$9&gt;=8/24,S$9&lt;14/24)</formula>
    </cfRule>
    <cfRule type="expression" dxfId="489" priority="339">
      <formula>S$9&lt;8/24</formula>
    </cfRule>
  </conditionalFormatting>
  <conditionalFormatting sqref="B8:AF10 AA70:AF70 B70:Q70 L32:Z33 L31:Q31 B47:AF47 B71:AF71 E48:K50 C173:AF179 M36 L29:Q29 L49:T50 V35:W35 AA72:AF79 AA48:AF51 R11:T11 B59:AF69 B72:N79 E51:F52 L34:Q34 P72:Q72 L51:Q58 N35:R36 R38:Z39 R53:Z58 L44:AF46 X34:Z35 S34:Z34 U11:Z12 P73:Z79">
    <cfRule type="expression" dxfId="488" priority="332">
      <formula>B$9&gt;=20/24</formula>
    </cfRule>
    <cfRule type="expression" dxfId="487" priority="333">
      <formula>AND(B$9&gt;=14/24,B$9&lt;20/24)</formula>
    </cfRule>
    <cfRule type="expression" dxfId="486" priority="334">
      <formula>AND(B$9&gt;=8/24,B$9&lt;14/24)</formula>
    </cfRule>
    <cfRule type="expression" dxfId="485" priority="335">
      <formula>B$9&lt;8/24</formula>
    </cfRule>
  </conditionalFormatting>
  <conditionalFormatting sqref="B171:AF171">
    <cfRule type="expression" dxfId="484" priority="328">
      <formula>B$9&gt;=20/24</formula>
    </cfRule>
    <cfRule type="expression" dxfId="483" priority="329">
      <formula>AND(B$9&gt;=14/24,B$9&lt;20/24)</formula>
    </cfRule>
    <cfRule type="expression" dxfId="482" priority="330">
      <formula>AND(B$9&gt;=8/24,B$9&lt;14/24)</formula>
    </cfRule>
    <cfRule type="expression" dxfId="481" priority="331">
      <formula>B$9&lt;8/24</formula>
    </cfRule>
  </conditionalFormatting>
  <conditionalFormatting sqref="AL4:AL6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80" priority="323">
      <formula>L$9&gt;=20/24</formula>
    </cfRule>
    <cfRule type="expression" dxfId="479" priority="324">
      <formula>AND(L$9&gt;=14/24,L$9&lt;20/24)</formula>
    </cfRule>
    <cfRule type="expression" dxfId="478" priority="325">
      <formula>AND(L$9&gt;=8/24,L$9&lt;14/24)</formula>
    </cfRule>
    <cfRule type="expression" dxfId="477" priority="326">
      <formula>L$9&lt;8/24</formula>
    </cfRule>
  </conditionalFormatting>
  <conditionalFormatting sqref="L35:M35">
    <cfRule type="expression" dxfId="476" priority="319">
      <formula>L$9&gt;=20/24</formula>
    </cfRule>
    <cfRule type="expression" dxfId="475" priority="320">
      <formula>AND(L$9&gt;=14/24,L$9&lt;20/24)</formula>
    </cfRule>
    <cfRule type="expression" dxfId="474" priority="321">
      <formula>AND(L$9&gt;=8/24,L$9&lt;14/24)</formula>
    </cfRule>
    <cfRule type="expression" dxfId="473" priority="322">
      <formula>L$9&lt;8/24</formula>
    </cfRule>
  </conditionalFormatting>
  <conditionalFormatting sqref="U13:Z13">
    <cfRule type="expression" dxfId="472" priority="315">
      <formula>U$9&gt;=20/24</formula>
    </cfRule>
    <cfRule type="expression" dxfId="471" priority="316">
      <formula>AND(U$9&gt;=14/24,U$9&lt;20/24)</formula>
    </cfRule>
    <cfRule type="expression" dxfId="470" priority="317">
      <formula>AND(U$9&gt;=8/24,U$9&lt;14/24)</formula>
    </cfRule>
    <cfRule type="expression" dxfId="469" priority="318">
      <formula>U$9&lt;8/24</formula>
    </cfRule>
  </conditionalFormatting>
  <conditionalFormatting sqref="R31:Z31">
    <cfRule type="expression" dxfId="468" priority="311">
      <formula>R$9&gt;=20/24</formula>
    </cfRule>
    <cfRule type="expression" dxfId="467" priority="312">
      <formula>AND(R$9&gt;=14/24,R$9&lt;20/24)</formula>
    </cfRule>
    <cfRule type="expression" dxfId="466" priority="313">
      <formula>AND(R$9&gt;=8/24,R$9&lt;14/24)</formula>
    </cfRule>
    <cfRule type="expression" dxfId="465" priority="314">
      <formula>R$9&lt;8/24</formula>
    </cfRule>
  </conditionalFormatting>
  <conditionalFormatting sqref="R48:Z48">
    <cfRule type="expression" dxfId="464" priority="307">
      <formula>R$9&gt;=20/24</formula>
    </cfRule>
    <cfRule type="expression" dxfId="463" priority="308">
      <formula>AND(R$9&gt;=14/24,R$9&lt;20/24)</formula>
    </cfRule>
    <cfRule type="expression" dxfId="462" priority="309">
      <formula>AND(R$9&gt;=8/24,R$9&lt;14/24)</formula>
    </cfRule>
    <cfRule type="expression" dxfId="461" priority="310">
      <formula>R$9&lt;8/24</formula>
    </cfRule>
  </conditionalFormatting>
  <conditionalFormatting sqref="R70:Z70">
    <cfRule type="expression" dxfId="460" priority="303">
      <formula>R$9&gt;=20/24</formula>
    </cfRule>
    <cfRule type="expression" dxfId="459" priority="304">
      <formula>AND(R$9&gt;=14/24,R$9&lt;20/24)</formula>
    </cfRule>
    <cfRule type="expression" dxfId="458" priority="305">
      <formula>AND(R$9&gt;=8/24,R$9&lt;14/24)</formula>
    </cfRule>
    <cfRule type="expression" dxfId="457" priority="306">
      <formula>R$9&lt;8/24</formula>
    </cfRule>
  </conditionalFormatting>
  <conditionalFormatting sqref="R72:Z72">
    <cfRule type="expression" dxfId="456" priority="299">
      <formula>R$9&gt;=20/24</formula>
    </cfRule>
    <cfRule type="expression" dxfId="455" priority="300">
      <formula>AND(R$9&gt;=14/24,R$9&lt;20/24)</formula>
    </cfRule>
    <cfRule type="expression" dxfId="454" priority="301">
      <formula>AND(R$9&gt;=8/24,R$9&lt;14/24)</formula>
    </cfRule>
    <cfRule type="expression" dxfId="453" priority="302">
      <formula>R$9&lt;8/24</formula>
    </cfRule>
  </conditionalFormatting>
  <conditionalFormatting sqref="L11:Q21 R14:R21 S16:Z16 S20:Z21">
    <cfRule type="expression" dxfId="452" priority="295">
      <formula>L$9&gt;=20/24</formula>
    </cfRule>
    <cfRule type="expression" dxfId="451" priority="296">
      <formula>AND(L$9&gt;=14/24,L$9&lt;20/24)</formula>
    </cfRule>
    <cfRule type="expression" dxfId="450" priority="297">
      <formula>AND(L$9&gt;=8/24,L$9&lt;14/24)</formula>
    </cfRule>
    <cfRule type="expression" dxfId="449" priority="298">
      <formula>L$9&lt;8/24</formula>
    </cfRule>
  </conditionalFormatting>
  <conditionalFormatting sqref="R40:Z40">
    <cfRule type="expression" dxfId="448" priority="291">
      <formula>R$9&gt;=20/24</formula>
    </cfRule>
    <cfRule type="expression" dxfId="447" priority="292">
      <formula>AND(R$9&gt;=14/24,R$9&lt;20/24)</formula>
    </cfRule>
    <cfRule type="expression" dxfId="446" priority="293">
      <formula>AND(R$9&gt;=8/24,R$9&lt;14/24)</formula>
    </cfRule>
    <cfRule type="expression" dxfId="445" priority="294">
      <formula>R$9&lt;8/24</formula>
    </cfRule>
  </conditionalFormatting>
  <conditionalFormatting sqref="R41:Z41">
    <cfRule type="expression" dxfId="444" priority="287">
      <formula>R$9&gt;=20/24</formula>
    </cfRule>
    <cfRule type="expression" dxfId="443" priority="288">
      <formula>AND(R$9&gt;=14/24,R$9&lt;20/24)</formula>
    </cfRule>
    <cfRule type="expression" dxfId="442" priority="289">
      <formula>AND(R$9&gt;=8/24,R$9&lt;14/24)</formula>
    </cfRule>
    <cfRule type="expression" dxfId="441" priority="290">
      <formula>R$9&lt;8/24</formula>
    </cfRule>
  </conditionalFormatting>
  <conditionalFormatting sqref="L36">
    <cfRule type="expression" dxfId="440" priority="283">
      <formula>L$9&gt;=20/24</formula>
    </cfRule>
    <cfRule type="expression" dxfId="439" priority="284">
      <formula>AND(L$9&gt;=14/24,L$9&lt;20/24)</formula>
    </cfRule>
    <cfRule type="expression" dxfId="438" priority="285">
      <formula>AND(L$9&gt;=8/24,L$9&lt;14/24)</formula>
    </cfRule>
    <cfRule type="expression" dxfId="437" priority="286">
      <formula>L$9&lt;8/24</formula>
    </cfRule>
  </conditionalFormatting>
  <conditionalFormatting sqref="R29:AD29">
    <cfRule type="expression" dxfId="436" priority="279">
      <formula>R$9&gt;=20/24</formula>
    </cfRule>
    <cfRule type="expression" dxfId="435" priority="280">
      <formula>AND(R$9&gt;=14/24,R$9&lt;20/24)</formula>
    </cfRule>
    <cfRule type="expression" dxfId="434" priority="281">
      <formula>AND(R$9&gt;=8/24,R$9&lt;14/24)</formula>
    </cfRule>
    <cfRule type="expression" dxfId="433" priority="282">
      <formula>R$9&lt;8/24</formula>
    </cfRule>
  </conditionalFormatting>
  <conditionalFormatting sqref="R12:S13 S14:S19 T12:U19 U14:Z19 AA16:AF27">
    <cfRule type="expression" dxfId="432" priority="275">
      <formula>R$9&gt;=20/24</formula>
    </cfRule>
    <cfRule type="expression" dxfId="431" priority="276">
      <formula>AND(R$9&gt;=14/24,R$9&lt;20/24)</formula>
    </cfRule>
    <cfRule type="expression" dxfId="430" priority="277">
      <formula>AND(R$9&gt;=8/24,R$9&lt;14/24)</formula>
    </cfRule>
    <cfRule type="expression" dxfId="429" priority="278">
      <formula>R$9&lt;8/24</formula>
    </cfRule>
  </conditionalFormatting>
  <conditionalFormatting sqref="R34 S35:V36 V36:Z36">
    <cfRule type="expression" dxfId="428" priority="271">
      <formula>R$9&gt;=20/24</formula>
    </cfRule>
    <cfRule type="expression" dxfId="427" priority="272">
      <formula>AND(R$9&gt;=14/24,R$9&lt;20/24)</formula>
    </cfRule>
    <cfRule type="expression" dxfId="426" priority="273">
      <formula>AND(R$9&gt;=8/24,R$9&lt;14/24)</formula>
    </cfRule>
    <cfRule type="expression" dxfId="425" priority="274">
      <formula>R$9&lt;8/24</formula>
    </cfRule>
  </conditionalFormatting>
  <conditionalFormatting sqref="AA52:AF58 R51:Z52">
    <cfRule type="expression" dxfId="424" priority="259">
      <formula>R$9&gt;=20/24</formula>
    </cfRule>
    <cfRule type="expression" dxfId="423" priority="260">
      <formula>AND(R$9&gt;=14/24,R$9&lt;20/24)</formula>
    </cfRule>
    <cfRule type="expression" dxfId="422" priority="261">
      <formula>AND(R$9&gt;=8/24,R$9&lt;14/24)</formula>
    </cfRule>
    <cfRule type="expression" dxfId="421" priority="262">
      <formula>R$9&lt;8/24</formula>
    </cfRule>
  </conditionalFormatting>
  <conditionalFormatting sqref="AA83:AF86">
    <cfRule type="expression" dxfId="420" priority="255">
      <formula>AA$9&gt;=20/24</formula>
    </cfRule>
    <cfRule type="expression" dxfId="419" priority="256">
      <formula>AND(AA$9&gt;=14/24,AA$9&lt;20/24)</formula>
    </cfRule>
    <cfRule type="expression" dxfId="418" priority="257">
      <formula>AND(AA$9&gt;=8/24,AA$9&lt;14/24)</formula>
    </cfRule>
    <cfRule type="expression" dxfId="417" priority="258">
      <formula>AA$9&lt;8/24</formula>
    </cfRule>
  </conditionalFormatting>
  <conditionalFormatting sqref="E53:F58">
    <cfRule type="expression" dxfId="416" priority="251">
      <formula>E$9&gt;=20/24</formula>
    </cfRule>
    <cfRule type="expression" dxfId="415" priority="252">
      <formula>AND(E$9&gt;=14/24,E$9&lt;20/24)</formula>
    </cfRule>
    <cfRule type="expression" dxfId="414" priority="253">
      <formula>AND(E$9&gt;=8/24,E$9&lt;14/24)</formula>
    </cfRule>
    <cfRule type="expression" dxfId="413" priority="254">
      <formula>E$9&lt;8/24</formula>
    </cfRule>
  </conditionalFormatting>
  <conditionalFormatting sqref="B83:K86">
    <cfRule type="expression" dxfId="412" priority="247">
      <formula>B$9&gt;=20/24</formula>
    </cfRule>
    <cfRule type="expression" dxfId="411" priority="248">
      <formula>AND(B$9&gt;=14/24,B$9&lt;20/24)</formula>
    </cfRule>
    <cfRule type="expression" dxfId="410" priority="249">
      <formula>AND(B$9&gt;=8/24,B$9&lt;14/24)</formula>
    </cfRule>
    <cfRule type="expression" dxfId="409" priority="250">
      <formula>B$9&lt;8/24</formula>
    </cfRule>
  </conditionalFormatting>
  <conditionalFormatting sqref="L83:M86 O83:Q86">
    <cfRule type="expression" dxfId="408" priority="243">
      <formula>L$9&gt;=20/24</formula>
    </cfRule>
    <cfRule type="expression" dxfId="407" priority="244">
      <formula>AND(L$9&gt;=14/24,L$9&lt;20/24)</formula>
    </cfRule>
    <cfRule type="expression" dxfId="406" priority="245">
      <formula>AND(L$9&gt;=8/24,L$9&lt;14/24)</formula>
    </cfRule>
    <cfRule type="expression" dxfId="405" priority="246">
      <formula>L$9&lt;8/24</formula>
    </cfRule>
  </conditionalFormatting>
  <conditionalFormatting sqref="R83:Z86">
    <cfRule type="expression" dxfId="404" priority="239">
      <formula>R$9&gt;=20/24</formula>
    </cfRule>
    <cfRule type="expression" dxfId="403" priority="240">
      <formula>AND(R$9&gt;=14/24,R$9&lt;20/24)</formula>
    </cfRule>
    <cfRule type="expression" dxfId="402" priority="241">
      <formula>AND(R$9&gt;=8/24,R$9&lt;14/24)</formula>
    </cfRule>
    <cfRule type="expression" dxfId="401" priority="242">
      <formula>R$9&lt;8/24</formula>
    </cfRule>
  </conditionalFormatting>
  <conditionalFormatting sqref="B30:AF30 C42:AG42 E11:F20 E22:F27 J20 L20:Q21 G11:X11 G14:Q19 R14:R21 S14:S19 AA20:AA27 AA37:AB41 R38:Z41 G12:S13 B43:AF47 C29:AF29 T12:X19 E31:AF32 Y11:AA19 S20:Z21 C28:K28 R28:AF28 E33:AB36 AC33:AF41 AB11:AF27">
    <cfRule type="expression" dxfId="400" priority="238">
      <formula>B11&gt;$AG11</formula>
    </cfRule>
  </conditionalFormatting>
  <conditionalFormatting sqref="T192:AX192">
    <cfRule type="expression" dxfId="399" priority="234">
      <formula>T$9&gt;=20/24</formula>
    </cfRule>
    <cfRule type="expression" dxfId="398" priority="235">
      <formula>AND(T$9&gt;=14/24,T$9&lt;20/24)</formula>
    </cfRule>
    <cfRule type="expression" dxfId="397" priority="236">
      <formula>AND(T$9&gt;=8/24,T$9&lt;14/24)</formula>
    </cfRule>
    <cfRule type="expression" dxfId="396" priority="237">
      <formula>T$9&lt;8/24</formula>
    </cfRule>
  </conditionalFormatting>
  <conditionalFormatting sqref="A11:A86 A88:A180">
    <cfRule type="expression" dxfId="395" priority="233">
      <formula>$AH11=0</formula>
    </cfRule>
  </conditionalFormatting>
  <conditionalFormatting sqref="AA87:AF87">
    <cfRule type="expression" dxfId="394" priority="229">
      <formula>AA$9&gt;=20/24</formula>
    </cfRule>
    <cfRule type="expression" dxfId="393" priority="230">
      <formula>AND(AA$9&gt;=14/24,AA$9&lt;20/24)</formula>
    </cfRule>
    <cfRule type="expression" dxfId="392" priority="231">
      <formula>AND(AA$9&gt;=8/24,AA$9&lt;14/24)</formula>
    </cfRule>
    <cfRule type="expression" dxfId="391" priority="232">
      <formula>AA$9&lt;8/24</formula>
    </cfRule>
  </conditionalFormatting>
  <conditionalFormatting sqref="B87:K87">
    <cfRule type="expression" dxfId="390" priority="225">
      <formula>B$9&gt;=20/24</formula>
    </cfRule>
    <cfRule type="expression" dxfId="389" priority="226">
      <formula>AND(B$9&gt;=14/24,B$9&lt;20/24)</formula>
    </cfRule>
    <cfRule type="expression" dxfId="388" priority="227">
      <formula>AND(B$9&gt;=8/24,B$9&lt;14/24)</formula>
    </cfRule>
    <cfRule type="expression" dxfId="387" priority="228">
      <formula>B$9&lt;8/24</formula>
    </cfRule>
  </conditionalFormatting>
  <conditionalFormatting sqref="L87:M87 O87:Q87">
    <cfRule type="expression" dxfId="386" priority="221">
      <formula>L$9&gt;=20/24</formula>
    </cfRule>
    <cfRule type="expression" dxfId="385" priority="222">
      <formula>AND(L$9&gt;=14/24,L$9&lt;20/24)</formula>
    </cfRule>
    <cfRule type="expression" dxfId="384" priority="223">
      <formula>AND(L$9&gt;=8/24,L$9&lt;14/24)</formula>
    </cfRule>
    <cfRule type="expression" dxfId="383" priority="224">
      <formula>L$9&lt;8/24</formula>
    </cfRule>
  </conditionalFormatting>
  <conditionalFormatting sqref="R87:Z87">
    <cfRule type="expression" dxfId="382" priority="217">
      <formula>R$9&gt;=20/24</formula>
    </cfRule>
    <cfRule type="expression" dxfId="381" priority="218">
      <formula>AND(R$9&gt;=14/24,R$9&lt;20/24)</formula>
    </cfRule>
    <cfRule type="expression" dxfId="380" priority="219">
      <formula>AND(R$9&gt;=8/24,R$9&lt;14/24)</formula>
    </cfRule>
    <cfRule type="expression" dxfId="379" priority="220">
      <formula>R$9&lt;8/24</formula>
    </cfRule>
  </conditionalFormatting>
  <conditionalFormatting sqref="A87">
    <cfRule type="expression" dxfId="378" priority="216">
      <formula>$AH87=0</formula>
    </cfRule>
  </conditionalFormatting>
  <conditionalFormatting sqref="C28:K28 R28:AF28">
    <cfRule type="expression" dxfId="377" priority="212">
      <formula>C$9&gt;=20/24</formula>
    </cfRule>
    <cfRule type="expression" dxfId="376" priority="213">
      <formula>AND(C$9&gt;=14/24,C$9&lt;20/24)</formula>
    </cfRule>
    <cfRule type="expression" dxfId="375" priority="214">
      <formula>AND(C$9&gt;=8/24,C$9&lt;14/24)</formula>
    </cfRule>
    <cfRule type="expression" dxfId="374" priority="215">
      <formula>C$9&lt;8/24</formula>
    </cfRule>
  </conditionalFormatting>
  <conditionalFormatting sqref="R28:AA28">
    <cfRule type="expression" dxfId="373" priority="208">
      <formula>R$9&gt;=20/24</formula>
    </cfRule>
    <cfRule type="expression" dxfId="372" priority="209">
      <formula>AND(R$9&gt;=14/24,R$9&lt;20/24)</formula>
    </cfRule>
    <cfRule type="expression" dxfId="371" priority="210">
      <formula>AND(R$9&gt;=8/24,R$9&lt;14/24)</formula>
    </cfRule>
    <cfRule type="expression" dxfId="370" priority="211">
      <formula>R$9&lt;8/24</formula>
    </cfRule>
  </conditionalFormatting>
  <conditionalFormatting sqref="B16:D20 B22:D27 B21:F21">
    <cfRule type="expression" dxfId="369" priority="204">
      <formula>B$9&gt;=20/24</formula>
    </cfRule>
    <cfRule type="expression" dxfId="368" priority="205">
      <formula>AND(B$9&gt;=14/24,B$9&lt;20/24)</formula>
    </cfRule>
    <cfRule type="expression" dxfId="367" priority="206">
      <formula>AND(B$9&gt;=8/24,B$9&lt;14/24)</formula>
    </cfRule>
    <cfRule type="expression" dxfId="366" priority="207">
      <formula>B$9&lt;8/24</formula>
    </cfRule>
  </conditionalFormatting>
  <conditionalFormatting sqref="B11:B29 C11:D20 C22:D27 C21:F21">
    <cfRule type="expression" dxfId="365" priority="203">
      <formula>B11&gt;$AG11</formula>
    </cfRule>
  </conditionalFormatting>
  <conditionalFormatting sqref="B28">
    <cfRule type="expression" dxfId="364" priority="199">
      <formula>B$9&gt;=20/24</formula>
    </cfRule>
    <cfRule type="expression" dxfId="363" priority="200">
      <formula>AND(B$9&gt;=14/24,B$9&lt;20/24)</formula>
    </cfRule>
    <cfRule type="expression" dxfId="362" priority="201">
      <formula>AND(B$9&gt;=8/24,B$9&lt;14/24)</formula>
    </cfRule>
    <cfRule type="expression" dxfId="361" priority="202">
      <formula>B$9&lt;8/24</formula>
    </cfRule>
  </conditionalFormatting>
  <conditionalFormatting sqref="B31:B42 C31:D41 E37:K41">
    <cfRule type="expression" dxfId="360" priority="198">
      <formula>B31&gt;$AG31</formula>
    </cfRule>
  </conditionalFormatting>
  <conditionalFormatting sqref="B48:D50">
    <cfRule type="expression" dxfId="359" priority="194">
      <formula>B$9&gt;=20/24</formula>
    </cfRule>
    <cfRule type="expression" dxfId="358" priority="195">
      <formula>AND(B$9&gt;=14/24,B$9&lt;20/24)</formula>
    </cfRule>
    <cfRule type="expression" dxfId="357" priority="196">
      <formula>AND(B$9&gt;=8/24,B$9&lt;14/24)</formula>
    </cfRule>
    <cfRule type="expression" dxfId="356" priority="197">
      <formula>B$9&lt;8/24</formula>
    </cfRule>
  </conditionalFormatting>
  <conditionalFormatting sqref="B51:D51">
    <cfRule type="expression" dxfId="355" priority="190">
      <formula>B$9&gt;=20/24</formula>
    </cfRule>
    <cfRule type="expression" dxfId="354" priority="191">
      <formula>AND(B$9&gt;=14/24,B$9&lt;20/24)</formula>
    </cfRule>
    <cfRule type="expression" dxfId="353" priority="192">
      <formula>AND(B$9&gt;=8/24,B$9&lt;14/24)</formula>
    </cfRule>
    <cfRule type="expression" dxfId="352" priority="193">
      <formula>B$9&lt;8/24</formula>
    </cfRule>
  </conditionalFormatting>
  <conditionalFormatting sqref="B52:D58">
    <cfRule type="expression" dxfId="351" priority="186">
      <formula>B$9&gt;=20/24</formula>
    </cfRule>
    <cfRule type="expression" dxfId="350" priority="187">
      <formula>AND(B$9&gt;=14/24,B$9&lt;20/24)</formula>
    </cfRule>
    <cfRule type="expression" dxfId="349" priority="188">
      <formula>AND(B$9&gt;=8/24,B$9&lt;14/24)</formula>
    </cfRule>
    <cfRule type="expression" dxfId="348" priority="189">
      <formula>B$9&lt;8/24</formula>
    </cfRule>
  </conditionalFormatting>
  <conditionalFormatting sqref="G20 G22:G27">
    <cfRule type="expression" dxfId="347" priority="185">
      <formula>G20&gt;$AG20</formula>
    </cfRule>
  </conditionalFormatting>
  <conditionalFormatting sqref="G21">
    <cfRule type="expression" dxfId="346" priority="181">
      <formula>G$9&gt;=20/24</formula>
    </cfRule>
    <cfRule type="expression" dxfId="345" priority="182">
      <formula>AND(G$9&gt;=14/24,G$9&lt;20/24)</formula>
    </cfRule>
    <cfRule type="expression" dxfId="344" priority="183">
      <formula>AND(G$9&gt;=8/24,G$9&lt;14/24)</formula>
    </cfRule>
    <cfRule type="expression" dxfId="343" priority="184">
      <formula>G$9&lt;8/24</formula>
    </cfRule>
  </conditionalFormatting>
  <conditionalFormatting sqref="G21">
    <cfRule type="expression" dxfId="342" priority="180">
      <formula>G21&gt;$AG21</formula>
    </cfRule>
  </conditionalFormatting>
  <conditionalFormatting sqref="G51:G52">
    <cfRule type="expression" dxfId="341" priority="176">
      <formula>G$9&gt;=20/24</formula>
    </cfRule>
    <cfRule type="expression" dxfId="340" priority="177">
      <formula>AND(G$9&gt;=14/24,G$9&lt;20/24)</formula>
    </cfRule>
    <cfRule type="expression" dxfId="339" priority="178">
      <formula>AND(G$9&gt;=8/24,G$9&lt;14/24)</formula>
    </cfRule>
    <cfRule type="expression" dxfId="338" priority="179">
      <formula>G$9&lt;8/24</formula>
    </cfRule>
  </conditionalFormatting>
  <conditionalFormatting sqref="G53:G58">
    <cfRule type="expression" dxfId="337" priority="172">
      <formula>G$9&gt;=20/24</formula>
    </cfRule>
    <cfRule type="expression" dxfId="336" priority="173">
      <formula>AND(G$9&gt;=14/24,G$9&lt;20/24)</formula>
    </cfRule>
    <cfRule type="expression" dxfId="335" priority="174">
      <formula>AND(G$9&gt;=8/24,G$9&lt;14/24)</formula>
    </cfRule>
    <cfRule type="expression" dxfId="334" priority="175">
      <formula>G$9&lt;8/24</formula>
    </cfRule>
  </conditionalFormatting>
  <conditionalFormatting sqref="H20 H22:H27">
    <cfRule type="expression" dxfId="333" priority="171">
      <formula>H20&gt;$AG20</formula>
    </cfRule>
  </conditionalFormatting>
  <conditionalFormatting sqref="H21">
    <cfRule type="expression" dxfId="332" priority="167">
      <formula>H$9&gt;=20/24</formula>
    </cfRule>
    <cfRule type="expression" dxfId="331" priority="168">
      <formula>AND(H$9&gt;=14/24,H$9&lt;20/24)</formula>
    </cfRule>
    <cfRule type="expression" dxfId="330" priority="169">
      <formula>AND(H$9&gt;=8/24,H$9&lt;14/24)</formula>
    </cfRule>
    <cfRule type="expression" dxfId="329" priority="170">
      <formula>H$9&lt;8/24</formula>
    </cfRule>
  </conditionalFormatting>
  <conditionalFormatting sqref="H21">
    <cfRule type="expression" dxfId="328" priority="166">
      <formula>H21&gt;$AG21</formula>
    </cfRule>
  </conditionalFormatting>
  <conditionalFormatting sqref="H51:H52">
    <cfRule type="expression" dxfId="327" priority="162">
      <formula>H$9&gt;=20/24</formula>
    </cfRule>
    <cfRule type="expression" dxfId="326" priority="163">
      <formula>AND(H$9&gt;=14/24,H$9&lt;20/24)</formula>
    </cfRule>
    <cfRule type="expression" dxfId="325" priority="164">
      <formula>AND(H$9&gt;=8/24,H$9&lt;14/24)</formula>
    </cfRule>
    <cfRule type="expression" dxfId="324" priority="165">
      <formula>H$9&lt;8/24</formula>
    </cfRule>
  </conditionalFormatting>
  <conditionalFormatting sqref="H53:H58">
    <cfRule type="expression" dxfId="323" priority="158">
      <formula>H$9&gt;=20/24</formula>
    </cfRule>
    <cfRule type="expression" dxfId="322" priority="159">
      <formula>AND(H$9&gt;=14/24,H$9&lt;20/24)</formula>
    </cfRule>
    <cfRule type="expression" dxfId="321" priority="160">
      <formula>AND(H$9&gt;=8/24,H$9&lt;14/24)</formula>
    </cfRule>
    <cfRule type="expression" dxfId="320" priority="161">
      <formula>H$9&lt;8/24</formula>
    </cfRule>
  </conditionalFormatting>
  <conditionalFormatting sqref="I20 I22:I27">
    <cfRule type="expression" dxfId="319" priority="157">
      <formula>I20&gt;$AG20</formula>
    </cfRule>
  </conditionalFormatting>
  <conditionalFormatting sqref="I21">
    <cfRule type="expression" dxfId="318" priority="153">
      <formula>I$9&gt;=20/24</formula>
    </cfRule>
    <cfRule type="expression" dxfId="317" priority="154">
      <formula>AND(I$9&gt;=14/24,I$9&lt;20/24)</formula>
    </cfRule>
    <cfRule type="expression" dxfId="316" priority="155">
      <formula>AND(I$9&gt;=8/24,I$9&lt;14/24)</formula>
    </cfRule>
    <cfRule type="expression" dxfId="315" priority="156">
      <formula>I$9&lt;8/24</formula>
    </cfRule>
  </conditionalFormatting>
  <conditionalFormatting sqref="I21">
    <cfRule type="expression" dxfId="314" priority="152">
      <formula>I21&gt;$AG21</formula>
    </cfRule>
  </conditionalFormatting>
  <conditionalFormatting sqref="I51:I52">
    <cfRule type="expression" dxfId="313" priority="148">
      <formula>I$9&gt;=20/24</formula>
    </cfRule>
    <cfRule type="expression" dxfId="312" priority="149">
      <formula>AND(I$9&gt;=14/24,I$9&lt;20/24)</formula>
    </cfRule>
    <cfRule type="expression" dxfId="311" priority="150">
      <formula>AND(I$9&gt;=8/24,I$9&lt;14/24)</formula>
    </cfRule>
    <cfRule type="expression" dxfId="310" priority="151">
      <formula>I$9&lt;8/24</formula>
    </cfRule>
  </conditionalFormatting>
  <conditionalFormatting sqref="I53:I58">
    <cfRule type="expression" dxfId="309" priority="144">
      <formula>I$9&gt;=20/24</formula>
    </cfRule>
    <cfRule type="expression" dxfId="308" priority="145">
      <formula>AND(I$9&gt;=14/24,I$9&lt;20/24)</formula>
    </cfRule>
    <cfRule type="expression" dxfId="307" priority="146">
      <formula>AND(I$9&gt;=8/24,I$9&lt;14/24)</formula>
    </cfRule>
    <cfRule type="expression" dxfId="306" priority="147">
      <formula>I$9&lt;8/24</formula>
    </cfRule>
  </conditionalFormatting>
  <conditionalFormatting sqref="J22:J27">
    <cfRule type="expression" dxfId="305" priority="143">
      <formula>J22&gt;$AG22</formula>
    </cfRule>
  </conditionalFormatting>
  <conditionalFormatting sqref="J21">
    <cfRule type="expression" dxfId="304" priority="139">
      <formula>J$9&gt;=20/24</formula>
    </cfRule>
    <cfRule type="expression" dxfId="303" priority="140">
      <formula>AND(J$9&gt;=14/24,J$9&lt;20/24)</formula>
    </cfRule>
    <cfRule type="expression" dxfId="302" priority="141">
      <formula>AND(J$9&gt;=8/24,J$9&lt;14/24)</formula>
    </cfRule>
    <cfRule type="expression" dxfId="301" priority="142">
      <formula>J$9&lt;8/24</formula>
    </cfRule>
  </conditionalFormatting>
  <conditionalFormatting sqref="J21">
    <cfRule type="expression" dxfId="300" priority="138">
      <formula>J21&gt;$AG21</formula>
    </cfRule>
  </conditionalFormatting>
  <conditionalFormatting sqref="J51:J52">
    <cfRule type="expression" dxfId="299" priority="134">
      <formula>J$9&gt;=20/24</formula>
    </cfRule>
    <cfRule type="expression" dxfId="298" priority="135">
      <formula>AND(J$9&gt;=14/24,J$9&lt;20/24)</formula>
    </cfRule>
    <cfRule type="expression" dxfId="297" priority="136">
      <formula>AND(J$9&gt;=8/24,J$9&lt;14/24)</formula>
    </cfRule>
    <cfRule type="expression" dxfId="296" priority="137">
      <formula>J$9&lt;8/24</formula>
    </cfRule>
  </conditionalFormatting>
  <conditionalFormatting sqref="J53:J58">
    <cfRule type="expression" dxfId="295" priority="130">
      <formula>J$9&gt;=20/24</formula>
    </cfRule>
    <cfRule type="expression" dxfId="294" priority="131">
      <formula>AND(J$9&gt;=14/24,J$9&lt;20/24)</formula>
    </cfRule>
    <cfRule type="expression" dxfId="293" priority="132">
      <formula>AND(J$9&gt;=8/24,J$9&lt;14/24)</formula>
    </cfRule>
    <cfRule type="expression" dxfId="292" priority="133">
      <formula>J$9&lt;8/24</formula>
    </cfRule>
  </conditionalFormatting>
  <conditionalFormatting sqref="K20">
    <cfRule type="expression" dxfId="291" priority="129">
      <formula>K20&gt;$AG20</formula>
    </cfRule>
  </conditionalFormatting>
  <conditionalFormatting sqref="K22:K27">
    <cfRule type="expression" dxfId="290" priority="128">
      <formula>K22&gt;$AG22</formula>
    </cfRule>
  </conditionalFormatting>
  <conditionalFormatting sqref="K21">
    <cfRule type="expression" dxfId="289" priority="124">
      <formula>K$9&gt;=20/24</formula>
    </cfRule>
    <cfRule type="expression" dxfId="288" priority="125">
      <formula>AND(K$9&gt;=14/24,K$9&lt;20/24)</formula>
    </cfRule>
    <cfRule type="expression" dxfId="287" priority="126">
      <formula>AND(K$9&gt;=8/24,K$9&lt;14/24)</formula>
    </cfRule>
    <cfRule type="expression" dxfId="286" priority="127">
      <formula>K$9&lt;8/24</formula>
    </cfRule>
  </conditionalFormatting>
  <conditionalFormatting sqref="K21">
    <cfRule type="expression" dxfId="285" priority="123">
      <formula>K21&gt;$AG21</formula>
    </cfRule>
  </conditionalFormatting>
  <conditionalFormatting sqref="K51:K52">
    <cfRule type="expression" dxfId="284" priority="119">
      <formula>K$9&gt;=20/24</formula>
    </cfRule>
    <cfRule type="expression" dxfId="283" priority="120">
      <formula>AND(K$9&gt;=14/24,K$9&lt;20/24)</formula>
    </cfRule>
    <cfRule type="expression" dxfId="282" priority="121">
      <formula>AND(K$9&gt;=8/24,K$9&lt;14/24)</formula>
    </cfRule>
    <cfRule type="expression" dxfId="281" priority="122">
      <formula>K$9&lt;8/24</formula>
    </cfRule>
  </conditionalFormatting>
  <conditionalFormatting sqref="K53:K58">
    <cfRule type="expression" dxfId="280" priority="115">
      <formula>K$9&gt;=20/24</formula>
    </cfRule>
    <cfRule type="expression" dxfId="279" priority="116">
      <formula>AND(K$9&gt;=14/24,K$9&lt;20/24)</formula>
    </cfRule>
    <cfRule type="expression" dxfId="278" priority="117">
      <formula>AND(K$9&gt;=8/24,K$9&lt;14/24)</formula>
    </cfRule>
    <cfRule type="expression" dxfId="277" priority="118">
      <formula>K$9&lt;8/24</formula>
    </cfRule>
  </conditionalFormatting>
  <conditionalFormatting sqref="O72:O79">
    <cfRule type="expression" dxfId="276" priority="111">
      <formula>O$9&gt;=20/24</formula>
    </cfRule>
    <cfRule type="expression" dxfId="275" priority="112">
      <formula>AND(O$9&gt;=14/24,O$9&lt;20/24)</formula>
    </cfRule>
    <cfRule type="expression" dxfId="274" priority="113">
      <formula>AND(O$9&gt;=8/24,O$9&lt;14/24)</formula>
    </cfRule>
    <cfRule type="expression" dxfId="273" priority="114">
      <formula>O$9&lt;8/24</formula>
    </cfRule>
  </conditionalFormatting>
  <conditionalFormatting sqref="N83:N86">
    <cfRule type="expression" dxfId="272" priority="107">
      <formula>N$9&gt;=20/24</formula>
    </cfRule>
    <cfRule type="expression" dxfId="271" priority="108">
      <formula>AND(N$9&gt;=14/24,N$9&lt;20/24)</formula>
    </cfRule>
    <cfRule type="expression" dxfId="270" priority="109">
      <formula>AND(N$9&gt;=8/24,N$9&lt;14/24)</formula>
    </cfRule>
    <cfRule type="expression" dxfId="269" priority="110">
      <formula>N$9&lt;8/24</formula>
    </cfRule>
  </conditionalFormatting>
  <conditionalFormatting sqref="N87">
    <cfRule type="expression" dxfId="268" priority="103">
      <formula>N$9&gt;=20/24</formula>
    </cfRule>
    <cfRule type="expression" dxfId="267" priority="104">
      <formula>AND(N$9&gt;=14/24,N$9&lt;20/24)</formula>
    </cfRule>
    <cfRule type="expression" dxfId="266" priority="105">
      <formula>AND(N$9&gt;=8/24,N$9&lt;14/24)</formula>
    </cfRule>
    <cfRule type="expression" dxfId="265" priority="106">
      <formula>N$9&lt;8/24</formula>
    </cfRule>
  </conditionalFormatting>
  <conditionalFormatting sqref="R26">
    <cfRule type="expression" dxfId="264" priority="71">
      <formula>R$9&gt;=20/24</formula>
    </cfRule>
    <cfRule type="expression" dxfId="263" priority="72">
      <formula>AND(R$9&gt;=14/24,R$9&lt;20/24)</formula>
    </cfRule>
    <cfRule type="expression" dxfId="262" priority="73">
      <formula>AND(R$9&gt;=8/24,R$9&lt;14/24)</formula>
    </cfRule>
    <cfRule type="expression" dxfId="261" priority="74">
      <formula>R$9&lt;8/24</formula>
    </cfRule>
  </conditionalFormatting>
  <conditionalFormatting sqref="S26:Z26">
    <cfRule type="expression" dxfId="260" priority="67">
      <formula>S$9&gt;=20/24</formula>
    </cfRule>
    <cfRule type="expression" dxfId="259" priority="68">
      <formula>AND(S$9&gt;=14/24,S$9&lt;20/24)</formula>
    </cfRule>
    <cfRule type="expression" dxfId="258" priority="69">
      <formula>AND(S$9&gt;=8/24,S$9&lt;14/24)</formula>
    </cfRule>
    <cfRule type="expression" dxfId="257" priority="70">
      <formula>S$9&lt;8/24</formula>
    </cfRule>
  </conditionalFormatting>
  <conditionalFormatting sqref="R26:Z26">
    <cfRule type="expression" dxfId="256" priority="66">
      <formula>R26&gt;$AG26</formula>
    </cfRule>
  </conditionalFormatting>
  <conditionalFormatting sqref="R27">
    <cfRule type="expression" dxfId="255" priority="62">
      <formula>R$9&gt;=20/24</formula>
    </cfRule>
    <cfRule type="expression" dxfId="254" priority="63">
      <formula>AND(R$9&gt;=14/24,R$9&lt;20/24)</formula>
    </cfRule>
    <cfRule type="expression" dxfId="253" priority="64">
      <formula>AND(R$9&gt;=8/24,R$9&lt;14/24)</formula>
    </cfRule>
    <cfRule type="expression" dxfId="252" priority="65">
      <formula>R$9&lt;8/24</formula>
    </cfRule>
  </conditionalFormatting>
  <conditionalFormatting sqref="S27:Z27">
    <cfRule type="expression" dxfId="251" priority="58">
      <formula>S$9&gt;=20/24</formula>
    </cfRule>
    <cfRule type="expression" dxfId="250" priority="59">
      <formula>AND(S$9&gt;=14/24,S$9&lt;20/24)</formula>
    </cfRule>
    <cfRule type="expression" dxfId="249" priority="60">
      <formula>AND(S$9&gt;=8/24,S$9&lt;14/24)</formula>
    </cfRule>
    <cfRule type="expression" dxfId="248" priority="61">
      <formula>S$9&lt;8/24</formula>
    </cfRule>
  </conditionalFormatting>
  <conditionalFormatting sqref="R27:Z27">
    <cfRule type="expression" dxfId="247" priority="57">
      <formula>R27&gt;$AG27</formula>
    </cfRule>
  </conditionalFormatting>
  <conditionalFormatting sqref="R22:Z22">
    <cfRule type="expression" dxfId="246" priority="53">
      <formula>R$9&gt;=20/24</formula>
    </cfRule>
    <cfRule type="expression" dxfId="245" priority="54">
      <formula>AND(R$9&gt;=14/24,R$9&lt;20/24)</formula>
    </cfRule>
    <cfRule type="expression" dxfId="244" priority="55">
      <formula>AND(R$9&gt;=8/24,R$9&lt;14/24)</formula>
    </cfRule>
    <cfRule type="expression" dxfId="243" priority="56">
      <formula>R$9&lt;8/24</formula>
    </cfRule>
  </conditionalFormatting>
  <conditionalFormatting sqref="R22:Z22">
    <cfRule type="expression" dxfId="242" priority="52">
      <formula>R22&gt;$AG22</formula>
    </cfRule>
  </conditionalFormatting>
  <conditionalFormatting sqref="R24:Z24">
    <cfRule type="expression" dxfId="241" priority="48">
      <formula>R$9&gt;=20/24</formula>
    </cfRule>
    <cfRule type="expression" dxfId="240" priority="49">
      <formula>AND(R$9&gt;=14/24,R$9&lt;20/24)</formula>
    </cfRule>
    <cfRule type="expression" dxfId="239" priority="50">
      <formula>AND(R$9&gt;=8/24,R$9&lt;14/24)</formula>
    </cfRule>
    <cfRule type="expression" dxfId="238" priority="51">
      <formula>R$9&lt;8/24</formula>
    </cfRule>
  </conditionalFormatting>
  <conditionalFormatting sqref="R24:Z24">
    <cfRule type="expression" dxfId="237" priority="47">
      <formula>R24&gt;$AG24</formula>
    </cfRule>
  </conditionalFormatting>
  <conditionalFormatting sqref="R23:Z23">
    <cfRule type="expression" dxfId="236" priority="43">
      <formula>R$9&gt;=20/24</formula>
    </cfRule>
    <cfRule type="expression" dxfId="235" priority="44">
      <formula>AND(R$9&gt;=14/24,R$9&lt;20/24)</formula>
    </cfRule>
    <cfRule type="expression" dxfId="234" priority="45">
      <formula>AND(R$9&gt;=8/24,R$9&lt;14/24)</formula>
    </cfRule>
    <cfRule type="expression" dxfId="233" priority="46">
      <formula>R$9&lt;8/24</formula>
    </cfRule>
  </conditionalFormatting>
  <conditionalFormatting sqref="R23:Z23">
    <cfRule type="expression" dxfId="232" priority="42">
      <formula>R23&gt;$AG23</formula>
    </cfRule>
  </conditionalFormatting>
  <conditionalFormatting sqref="R25:Z25">
    <cfRule type="expression" dxfId="231" priority="38">
      <formula>R$9&gt;=20/24</formula>
    </cfRule>
    <cfRule type="expression" dxfId="230" priority="39">
      <formula>AND(R$9&gt;=14/24,R$9&lt;20/24)</formula>
    </cfRule>
    <cfRule type="expression" dxfId="229" priority="40">
      <formula>AND(R$9&gt;=8/24,R$9&lt;14/24)</formula>
    </cfRule>
    <cfRule type="expression" dxfId="228" priority="41">
      <formula>R$9&lt;8/24</formula>
    </cfRule>
  </conditionalFormatting>
  <conditionalFormatting sqref="R25:Z25">
    <cfRule type="expression" dxfId="227" priority="37">
      <formula>R25&gt;$AG25</formula>
    </cfRule>
  </conditionalFormatting>
  <conditionalFormatting sqref="R37 V37:Z37">
    <cfRule type="expression" dxfId="226" priority="33">
      <formula>R$9&gt;=20/24</formula>
    </cfRule>
    <cfRule type="expression" dxfId="225" priority="34">
      <formula>AND(R$9&gt;=14/24,R$9&lt;20/24)</formula>
    </cfRule>
    <cfRule type="expression" dxfId="224" priority="35">
      <formula>AND(R$9&gt;=8/24,R$9&lt;14/24)</formula>
    </cfRule>
    <cfRule type="expression" dxfId="223" priority="36">
      <formula>R$9&lt;8/24</formula>
    </cfRule>
  </conditionalFormatting>
  <conditionalFormatting sqref="S37:U37">
    <cfRule type="expression" dxfId="222" priority="29">
      <formula>S$9&gt;=20/24</formula>
    </cfRule>
    <cfRule type="expression" dxfId="221" priority="30">
      <formula>AND(S$9&gt;=14/24,S$9&lt;20/24)</formula>
    </cfRule>
    <cfRule type="expression" dxfId="220" priority="31">
      <formula>AND(S$9&gt;=8/24,S$9&lt;14/24)</formula>
    </cfRule>
    <cfRule type="expression" dxfId="219" priority="32">
      <formula>S$9&lt;8/24</formula>
    </cfRule>
  </conditionalFormatting>
  <conditionalFormatting sqref="R37:Z37">
    <cfRule type="expression" dxfId="218" priority="28">
      <formula>R37&gt;$AG37</formula>
    </cfRule>
  </conditionalFormatting>
  <conditionalFormatting sqref="V15">
    <cfRule type="expression" dxfId="217" priority="24">
      <formula>V$9&gt;=20/24</formula>
    </cfRule>
    <cfRule type="expression" dxfId="216" priority="25">
      <formula>AND(V$9&gt;=14/24,V$9&lt;20/24)</formula>
    </cfRule>
    <cfRule type="expression" dxfId="215" priority="26">
      <formula>AND(V$9&gt;=8/24,V$9&lt;14/24)</formula>
    </cfRule>
    <cfRule type="expression" dxfId="214" priority="27">
      <formula>V$9&lt;8/24</formula>
    </cfRule>
  </conditionalFormatting>
  <conditionalFormatting sqref="M37:Q37">
    <cfRule type="expression" dxfId="213" priority="20">
      <formula>M$9&gt;=20/24</formula>
    </cfRule>
    <cfRule type="expression" dxfId="212" priority="21">
      <formula>AND(M$9&gt;=14/24,M$9&lt;20/24)</formula>
    </cfRule>
    <cfRule type="expression" dxfId="211" priority="22">
      <formula>AND(M$9&gt;=8/24,M$9&lt;14/24)</formula>
    </cfRule>
    <cfRule type="expression" dxfId="210" priority="23">
      <formula>M$9&lt;8/24</formula>
    </cfRule>
  </conditionalFormatting>
  <conditionalFormatting sqref="L37">
    <cfRule type="expression" dxfId="209" priority="16">
      <formula>L$9&gt;=20/24</formula>
    </cfRule>
    <cfRule type="expression" dxfId="208" priority="17">
      <formula>AND(L$9&gt;=14/24,L$9&lt;20/24)</formula>
    </cfRule>
    <cfRule type="expression" dxfId="207" priority="18">
      <formula>AND(L$9&gt;=8/24,L$9&lt;14/24)</formula>
    </cfRule>
    <cfRule type="expression" dxfId="206" priority="19">
      <formula>L$9&lt;8/24</formula>
    </cfRule>
  </conditionalFormatting>
  <conditionalFormatting sqref="L37:Q37">
    <cfRule type="expression" dxfId="205" priority="15">
      <formula>L37&gt;$AG37</formula>
    </cfRule>
  </conditionalFormatting>
  <conditionalFormatting sqref="M38:Q41">
    <cfRule type="expression" dxfId="204" priority="11">
      <formula>M$9&gt;=20/24</formula>
    </cfRule>
    <cfRule type="expression" dxfId="203" priority="12">
      <formula>AND(M$9&gt;=14/24,M$9&lt;20/24)</formula>
    </cfRule>
    <cfRule type="expression" dxfId="202" priority="13">
      <formula>AND(M$9&gt;=8/24,M$9&lt;14/24)</formula>
    </cfRule>
    <cfRule type="expression" dxfId="201" priority="14">
      <formula>M$9&lt;8/24</formula>
    </cfRule>
  </conditionalFormatting>
  <conditionalFormatting sqref="L38:L41">
    <cfRule type="expression" dxfId="200" priority="7">
      <formula>L$9&gt;=20/24</formula>
    </cfRule>
    <cfRule type="expression" dxfId="199" priority="8">
      <formula>AND(L$9&gt;=14/24,L$9&lt;20/24)</formula>
    </cfRule>
    <cfRule type="expression" dxfId="198" priority="9">
      <formula>AND(L$9&gt;=8/24,L$9&lt;14/24)</formula>
    </cfRule>
    <cfRule type="expression" dxfId="197" priority="10">
      <formula>L$9&lt;8/24</formula>
    </cfRule>
  </conditionalFormatting>
  <conditionalFormatting sqref="L38:Q41">
    <cfRule type="expression" dxfId="196" priority="6">
      <formula>L38&gt;$AG38</formula>
    </cfRule>
  </conditionalFormatting>
  <conditionalFormatting sqref="L22:Q28">
    <cfRule type="expression" dxfId="195" priority="2">
      <formula>L$9&gt;=20/24</formula>
    </cfRule>
    <cfRule type="expression" dxfId="194" priority="3">
      <formula>AND(L$9&gt;=14/24,L$9&lt;20/24)</formula>
    </cfRule>
    <cfRule type="expression" dxfId="193" priority="4">
      <formula>AND(L$9&gt;=8/24,L$9&lt;14/24)</formula>
    </cfRule>
    <cfRule type="expression" dxfId="192" priority="5">
      <formula>L$9&lt;8/24</formula>
    </cfRule>
  </conditionalFormatting>
  <conditionalFormatting sqref="L22:Q28">
    <cfRule type="expression" dxfId="191" priority="1">
      <formula>L22&gt;$AG22</formula>
    </cfRule>
  </conditionalFormatting>
  <pageMargins left="0.2" right="0.2" top="0.75" bottom="0.75" header="0.3" footer="0.3"/>
  <pageSetup scale="55" orientation="landscape" horizontalDpi="300" verticalDpi="3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B24" sqref="B2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 t="s">
        <v>1</v>
      </c>
      <c r="AH1" s="311"/>
      <c r="AI1" s="311"/>
      <c r="AL1" s="2"/>
      <c r="AM1" s="3"/>
    </row>
    <row r="2" spans="1:88" ht="20.25" x14ac:dyDescent="0.25">
      <c r="A2" s="4"/>
      <c r="B2" s="312" t="s">
        <v>2</v>
      </c>
      <c r="C2" s="5"/>
      <c r="D2" s="314" t="s">
        <v>3</v>
      </c>
      <c r="E2" s="5"/>
      <c r="F2" s="314" t="s">
        <v>4</v>
      </c>
      <c r="G2" s="5"/>
      <c r="H2" s="314" t="s">
        <v>5</v>
      </c>
      <c r="I2" s="6"/>
      <c r="J2" s="316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313"/>
      <c r="C3" s="18"/>
      <c r="D3" s="315"/>
      <c r="E3" s="18"/>
      <c r="F3" s="315"/>
      <c r="G3" s="18"/>
      <c r="H3" s="315"/>
      <c r="I3" s="19"/>
      <c r="J3" s="316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sample</v>
      </c>
      <c r="D4" s="324" t="str">
        <f ca="1">IFERROR(DATE(2021,5,14)+C4,"")</f>
        <v/>
      </c>
      <c r="E4" s="324"/>
      <c r="F4" s="324"/>
      <c r="G4" s="324"/>
      <c r="H4" s="324"/>
      <c r="I4" s="324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0</v>
      </c>
      <c r="C5" s="32">
        <f t="shared" ref="C5:AF5" si="0">C59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33"/>
      <c r="E6" s="33"/>
      <c r="F6" s="33"/>
      <c r="G6" s="33"/>
      <c r="H6" s="33"/>
      <c r="I6" s="33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154MW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4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5" t="str">
        <f>"Base Load="&amp;ROUND(MIN($B$7:$AF$7),0)</f>
        <v>Base Load=154</v>
      </c>
      <c r="B7" s="36">
        <f t="shared" ref="B7:AF7" si="1">B65</f>
        <v>153.54</v>
      </c>
      <c r="C7" s="36">
        <f t="shared" si="1"/>
        <v>153.54</v>
      </c>
      <c r="D7" s="36">
        <f t="shared" si="1"/>
        <v>153.54</v>
      </c>
      <c r="E7" s="36">
        <f t="shared" si="1"/>
        <v>153.54</v>
      </c>
      <c r="F7" s="36">
        <f t="shared" si="1"/>
        <v>153.54</v>
      </c>
      <c r="G7" s="36">
        <f t="shared" si="1"/>
        <v>153.54</v>
      </c>
      <c r="H7" s="36">
        <f t="shared" si="1"/>
        <v>153.54</v>
      </c>
      <c r="I7" s="36">
        <f t="shared" si="1"/>
        <v>153.54</v>
      </c>
      <c r="J7" s="36">
        <f t="shared" si="1"/>
        <v>153.54</v>
      </c>
      <c r="K7" s="36">
        <f t="shared" si="1"/>
        <v>153.54</v>
      </c>
      <c r="L7" s="36">
        <f>L65</f>
        <v>153.54</v>
      </c>
      <c r="M7" s="36">
        <f t="shared" si="1"/>
        <v>153.54</v>
      </c>
      <c r="N7" s="36">
        <f t="shared" si="1"/>
        <v>153.54</v>
      </c>
      <c r="O7" s="36">
        <f t="shared" si="1"/>
        <v>153.54</v>
      </c>
      <c r="P7" s="36">
        <f t="shared" si="1"/>
        <v>153.54</v>
      </c>
      <c r="Q7" s="36">
        <f t="shared" si="1"/>
        <v>153.54</v>
      </c>
      <c r="R7" s="36">
        <f t="shared" si="1"/>
        <v>153.54</v>
      </c>
      <c r="S7" s="36">
        <f t="shared" si="1"/>
        <v>153.54</v>
      </c>
      <c r="T7" s="36">
        <f t="shared" si="1"/>
        <v>153.54</v>
      </c>
      <c r="U7" s="36">
        <f t="shared" si="1"/>
        <v>153.54</v>
      </c>
      <c r="V7" s="36">
        <f t="shared" si="1"/>
        <v>153.54</v>
      </c>
      <c r="W7" s="36">
        <f t="shared" si="1"/>
        <v>153.54</v>
      </c>
      <c r="X7" s="36">
        <f t="shared" si="1"/>
        <v>153.54</v>
      </c>
      <c r="Y7" s="36">
        <f t="shared" si="1"/>
        <v>153.54</v>
      </c>
      <c r="Z7" s="36">
        <f t="shared" si="1"/>
        <v>153.54</v>
      </c>
      <c r="AA7" s="36">
        <f t="shared" si="1"/>
        <v>153.54</v>
      </c>
      <c r="AB7" s="36">
        <f t="shared" si="1"/>
        <v>153.54</v>
      </c>
      <c r="AC7" s="36">
        <f t="shared" si="1"/>
        <v>153.54</v>
      </c>
      <c r="AD7" s="36">
        <f t="shared" si="1"/>
        <v>153.54</v>
      </c>
      <c r="AE7" s="36">
        <f t="shared" si="1"/>
        <v>153.54</v>
      </c>
      <c r="AF7" s="36">
        <f t="shared" si="1"/>
        <v>153.54</v>
      </c>
      <c r="AG7" s="37"/>
      <c r="AH7" s="38"/>
      <c r="AI7" s="39"/>
      <c r="AL7" s="40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1"/>
      <c r="B8" s="325" t="s">
        <v>13</v>
      </c>
      <c r="C8" s="326"/>
      <c r="D8" s="326"/>
      <c r="E8" s="326"/>
      <c r="F8" s="326"/>
      <c r="G8" s="326"/>
      <c r="H8" s="326"/>
      <c r="I8" s="326"/>
      <c r="J8" s="326"/>
      <c r="K8" s="327"/>
      <c r="L8" s="328" t="s">
        <v>14</v>
      </c>
      <c r="M8" s="329"/>
      <c r="N8" s="329"/>
      <c r="O8" s="329"/>
      <c r="P8" s="329"/>
      <c r="Q8" s="329"/>
      <c r="R8" s="328" t="s">
        <v>15</v>
      </c>
      <c r="S8" s="329"/>
      <c r="T8" s="329"/>
      <c r="U8" s="329"/>
      <c r="V8" s="329"/>
      <c r="W8" s="329"/>
      <c r="X8" s="329"/>
      <c r="Y8" s="329"/>
      <c r="Z8" s="329"/>
      <c r="AA8" s="317" t="s">
        <v>16</v>
      </c>
      <c r="AB8" s="318"/>
      <c r="AC8" s="318"/>
      <c r="AD8" s="318"/>
      <c r="AE8" s="318"/>
      <c r="AF8" s="319"/>
      <c r="AG8" s="42"/>
      <c r="AH8" s="43"/>
      <c r="AI8" s="44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320" t="s">
        <v>17</v>
      </c>
      <c r="B9" s="322">
        <v>4.1666666666666664E-2</v>
      </c>
      <c r="C9" s="322">
        <v>8.3333333333333301E-2</v>
      </c>
      <c r="D9" s="322">
        <v>0.125</v>
      </c>
      <c r="E9" s="322">
        <v>0.16666666666666699</v>
      </c>
      <c r="F9" s="322">
        <v>0.20833333333333301</v>
      </c>
      <c r="G9" s="322">
        <v>0.22916666666666666</v>
      </c>
      <c r="H9" s="322">
        <v>0.25</v>
      </c>
      <c r="I9" s="322">
        <v>0.27083333333333331</v>
      </c>
      <c r="J9" s="322">
        <v>0.29166666666666669</v>
      </c>
      <c r="K9" s="322">
        <v>0.3125</v>
      </c>
      <c r="L9" s="330">
        <v>0.33333333333333331</v>
      </c>
      <c r="M9" s="330">
        <v>0.375</v>
      </c>
      <c r="N9" s="330">
        <v>0.41666666666666702</v>
      </c>
      <c r="O9" s="330">
        <v>0.45833333333333298</v>
      </c>
      <c r="P9" s="330">
        <v>0.5</v>
      </c>
      <c r="Q9" s="330">
        <v>0.54166666666666696</v>
      </c>
      <c r="R9" s="330">
        <v>0.58333333333333304</v>
      </c>
      <c r="S9" s="330">
        <v>0.625</v>
      </c>
      <c r="T9" s="330">
        <v>0.66666666666666696</v>
      </c>
      <c r="U9" s="330">
        <v>0.70833333333333304</v>
      </c>
      <c r="V9" s="330">
        <v>0.72916666666666663</v>
      </c>
      <c r="W9" s="330">
        <v>0.75</v>
      </c>
      <c r="X9" s="330">
        <v>0.77083333333333337</v>
      </c>
      <c r="Y9" s="330">
        <v>0.79166666666666663</v>
      </c>
      <c r="Z9" s="330">
        <v>0.8125</v>
      </c>
      <c r="AA9" s="322">
        <v>0.83333333333333337</v>
      </c>
      <c r="AB9" s="322">
        <v>0.85416666666666663</v>
      </c>
      <c r="AC9" s="322">
        <v>0.875</v>
      </c>
      <c r="AD9" s="322">
        <v>0.91666666666666696</v>
      </c>
      <c r="AE9" s="322">
        <v>0.95833333333333304</v>
      </c>
      <c r="AF9" s="322">
        <v>1</v>
      </c>
      <c r="AG9" s="332" t="s">
        <v>1</v>
      </c>
      <c r="AH9" s="45"/>
      <c r="AI9" s="44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321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31"/>
      <c r="S10" s="331"/>
      <c r="T10" s="331"/>
      <c r="U10" s="331"/>
      <c r="V10" s="331"/>
      <c r="W10" s="331"/>
      <c r="X10" s="331"/>
      <c r="Y10" s="331"/>
      <c r="Z10" s="331"/>
      <c r="AA10" s="323"/>
      <c r="AB10" s="323"/>
      <c r="AC10" s="323"/>
      <c r="AD10" s="323"/>
      <c r="AE10" s="323"/>
      <c r="AF10" s="323"/>
      <c r="AG10" s="333"/>
      <c r="AH10" s="46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7" t="s">
        <v>18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9"/>
      <c r="N11" s="49"/>
      <c r="O11" s="49"/>
      <c r="P11" s="49"/>
      <c r="Q11" s="49"/>
      <c r="R11" s="50"/>
      <c r="S11" s="50"/>
      <c r="T11" s="50"/>
      <c r="U11" s="50"/>
      <c r="V11" s="50"/>
      <c r="W11" s="50"/>
      <c r="X11" s="50"/>
      <c r="Y11" s="50"/>
      <c r="Z11" s="50"/>
      <c r="AA11" s="48"/>
      <c r="AB11" s="48"/>
      <c r="AC11" s="48"/>
      <c r="AD11" s="48"/>
      <c r="AE11" s="48"/>
      <c r="AF11" s="48"/>
      <c r="AG11" s="51">
        <v>60</v>
      </c>
      <c r="AH11" s="52">
        <f>MAX(B11:AF11)</f>
        <v>0</v>
      </c>
      <c r="AI11" s="53">
        <f>MIN(B11:AF11)</f>
        <v>0</v>
      </c>
      <c r="AK11" s="54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5" t="s">
        <v>19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6"/>
      <c r="AB12" s="56"/>
      <c r="AC12" s="56"/>
      <c r="AD12" s="56"/>
      <c r="AE12" s="56"/>
      <c r="AF12" s="56"/>
      <c r="AG12" s="57">
        <v>50</v>
      </c>
      <c r="AH12" s="52">
        <f t="shared" ref="AH12:AH77" si="2">MAX(B12:AF12)</f>
        <v>0</v>
      </c>
      <c r="AI12" s="53">
        <f t="shared" ref="AI12:AI77" si="3">MIN(B12:AF12)</f>
        <v>0</v>
      </c>
      <c r="AK12" s="54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8" t="s">
        <v>20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6"/>
      <c r="AB13" s="56"/>
      <c r="AC13" s="56"/>
      <c r="AD13" s="56"/>
      <c r="AE13" s="56"/>
      <c r="AF13" s="56"/>
      <c r="AG13" s="59">
        <v>45</v>
      </c>
      <c r="AH13" s="52">
        <f t="shared" si="2"/>
        <v>0</v>
      </c>
      <c r="AI13" s="53">
        <f t="shared" si="3"/>
        <v>0</v>
      </c>
      <c r="AK13" s="54"/>
      <c r="AL13" s="31"/>
      <c r="AM13" s="26"/>
      <c r="AN13" s="26"/>
      <c r="AO13" s="26"/>
      <c r="AP13" s="26"/>
      <c r="AQ13" s="60"/>
      <c r="AR13" s="61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8" t="s">
        <v>21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6"/>
      <c r="AB14" s="56"/>
      <c r="AC14" s="56"/>
      <c r="AD14" s="56"/>
      <c r="AE14" s="56"/>
      <c r="AF14" s="56"/>
      <c r="AG14" s="59">
        <v>25</v>
      </c>
      <c r="AH14" s="52">
        <f t="shared" si="2"/>
        <v>0</v>
      </c>
      <c r="AI14" s="53">
        <f t="shared" si="3"/>
        <v>0</v>
      </c>
      <c r="AK14" s="54"/>
      <c r="AL14" s="31"/>
      <c r="AO14" s="26"/>
      <c r="AP14" s="26"/>
      <c r="AQ14" s="60"/>
      <c r="AR14" s="61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8" t="s">
        <v>22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6"/>
      <c r="AB15" s="56"/>
      <c r="AC15" s="56"/>
      <c r="AD15" s="56"/>
      <c r="AE15" s="56"/>
      <c r="AF15" s="56"/>
      <c r="AG15" s="59">
        <v>25</v>
      </c>
      <c r="AH15" s="52">
        <f t="shared" si="2"/>
        <v>0</v>
      </c>
      <c r="AI15" s="53">
        <f t="shared" si="3"/>
        <v>0</v>
      </c>
      <c r="AK15" s="54"/>
      <c r="AL15" s="31"/>
      <c r="AO15" s="26"/>
      <c r="AP15" s="26"/>
      <c r="AQ15" s="60"/>
      <c r="AR15" s="61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8" t="s">
        <v>23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59">
        <v>23.5</v>
      </c>
      <c r="AH16" s="52">
        <f t="shared" si="2"/>
        <v>0</v>
      </c>
      <c r="AI16" s="53">
        <f t="shared" si="3"/>
        <v>0</v>
      </c>
      <c r="AK16" s="54"/>
      <c r="AL16" s="31"/>
      <c r="AO16" s="26"/>
      <c r="AP16" s="26"/>
      <c r="AQ16" s="60"/>
      <c r="AR16" s="61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8" t="s">
        <v>24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9">
        <v>22.1</v>
      </c>
      <c r="AH17" s="52">
        <f t="shared" si="2"/>
        <v>0</v>
      </c>
      <c r="AI17" s="53">
        <f t="shared" si="3"/>
        <v>0</v>
      </c>
      <c r="AK17" s="54"/>
      <c r="AL17" s="31"/>
      <c r="AO17" s="26"/>
      <c r="AP17" s="26"/>
      <c r="AQ17" s="60"/>
      <c r="AR17" s="61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8" t="s">
        <v>25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59">
        <v>22.1</v>
      </c>
      <c r="AH18" s="52">
        <f t="shared" si="2"/>
        <v>0</v>
      </c>
      <c r="AI18" s="53">
        <f t="shared" si="3"/>
        <v>0</v>
      </c>
      <c r="AK18" s="54"/>
      <c r="AL18" s="31"/>
      <c r="AO18" s="26"/>
      <c r="AP18" s="26"/>
      <c r="AQ18" s="60"/>
      <c r="AR18" s="62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8" t="s">
        <v>26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9">
        <v>22</v>
      </c>
      <c r="AH19" s="52">
        <f t="shared" si="2"/>
        <v>0</v>
      </c>
      <c r="AI19" s="53">
        <f t="shared" si="3"/>
        <v>0</v>
      </c>
      <c r="AK19" s="54"/>
      <c r="AL19" s="31"/>
      <c r="AO19" s="26"/>
      <c r="AP19" s="26"/>
      <c r="AQ19" s="60"/>
      <c r="AR19" s="63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8" t="s">
        <v>27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59">
        <v>22</v>
      </c>
      <c r="AH20" s="52">
        <f t="shared" si="2"/>
        <v>0</v>
      </c>
      <c r="AI20" s="53">
        <f t="shared" si="3"/>
        <v>0</v>
      </c>
      <c r="AK20" s="54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8" t="s">
        <v>28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59">
        <v>14.9</v>
      </c>
      <c r="AH21" s="52">
        <f t="shared" si="2"/>
        <v>0</v>
      </c>
      <c r="AI21" s="53">
        <f t="shared" si="3"/>
        <v>0</v>
      </c>
      <c r="AK21" s="54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8" t="s">
        <v>29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9">
        <v>13.6</v>
      </c>
      <c r="AH22" s="52">
        <f t="shared" si="2"/>
        <v>0</v>
      </c>
      <c r="AI22" s="53">
        <f t="shared" si="3"/>
        <v>0</v>
      </c>
      <c r="AK22" s="54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8" t="s">
        <v>30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9">
        <v>13</v>
      </c>
      <c r="AH23" s="52">
        <f t="shared" si="2"/>
        <v>0</v>
      </c>
      <c r="AI23" s="53">
        <f t="shared" si="3"/>
        <v>0</v>
      </c>
      <c r="AK23" s="54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4" customFormat="1" x14ac:dyDescent="0.25">
      <c r="A24" s="58" t="s">
        <v>31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9">
        <v>12</v>
      </c>
      <c r="AH24" s="52">
        <f t="shared" si="2"/>
        <v>0</v>
      </c>
      <c r="AI24" s="53">
        <f t="shared" si="3"/>
        <v>0</v>
      </c>
      <c r="AJ24" s="1"/>
      <c r="AK24" s="54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4" customFormat="1" x14ac:dyDescent="0.25">
      <c r="A25" s="58" t="s">
        <v>32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9">
        <v>12</v>
      </c>
      <c r="AH25" s="52">
        <f>MAX(B25:AF25)</f>
        <v>0</v>
      </c>
      <c r="AI25" s="53">
        <f>MIN(B25:AF25)</f>
        <v>0</v>
      </c>
      <c r="AJ25" s="1"/>
      <c r="AK25" s="54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4" customFormat="1" x14ac:dyDescent="0.25">
      <c r="A26" s="58" t="s">
        <v>33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9">
        <v>12</v>
      </c>
      <c r="AH26" s="52">
        <f>MAX(B26:AF26)</f>
        <v>0</v>
      </c>
      <c r="AI26" s="53">
        <f>MIN(B26:AF26)</f>
        <v>0</v>
      </c>
      <c r="AJ26" s="1"/>
      <c r="AK26" s="54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8" t="s">
        <v>34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9">
        <v>10</v>
      </c>
      <c r="AH27" s="52">
        <f t="shared" si="2"/>
        <v>0</v>
      </c>
      <c r="AI27" s="53">
        <f t="shared" si="3"/>
        <v>0</v>
      </c>
      <c r="AK27" s="54"/>
    </row>
    <row r="28" spans="1:88" x14ac:dyDescent="0.25">
      <c r="A28" s="65" t="s">
        <v>35</v>
      </c>
      <c r="B28" s="56">
        <v>150</v>
      </c>
      <c r="C28" s="56">
        <v>150</v>
      </c>
      <c r="D28" s="56">
        <v>150</v>
      </c>
      <c r="E28" s="56">
        <v>150</v>
      </c>
      <c r="F28" s="56">
        <v>150</v>
      </c>
      <c r="G28" s="56">
        <v>150</v>
      </c>
      <c r="H28" s="56">
        <v>150</v>
      </c>
      <c r="I28" s="56">
        <v>150</v>
      </c>
      <c r="J28" s="56">
        <v>150</v>
      </c>
      <c r="K28" s="56">
        <v>150</v>
      </c>
      <c r="L28" s="56">
        <v>150</v>
      </c>
      <c r="M28" s="56">
        <v>150</v>
      </c>
      <c r="N28" s="56">
        <v>150</v>
      </c>
      <c r="O28" s="56">
        <v>150</v>
      </c>
      <c r="P28" s="56">
        <v>150</v>
      </c>
      <c r="Q28" s="56">
        <v>150</v>
      </c>
      <c r="R28" s="56">
        <v>150</v>
      </c>
      <c r="S28" s="56">
        <v>150</v>
      </c>
      <c r="T28" s="56">
        <v>150</v>
      </c>
      <c r="U28" s="56">
        <v>150</v>
      </c>
      <c r="V28" s="56">
        <v>150</v>
      </c>
      <c r="W28" s="56">
        <v>150</v>
      </c>
      <c r="X28" s="56">
        <v>150</v>
      </c>
      <c r="Y28" s="56">
        <v>150</v>
      </c>
      <c r="Z28" s="56">
        <v>150</v>
      </c>
      <c r="AA28" s="56">
        <v>150</v>
      </c>
      <c r="AB28" s="56">
        <v>150</v>
      </c>
      <c r="AC28" s="56">
        <v>150</v>
      </c>
      <c r="AD28" s="56">
        <v>150</v>
      </c>
      <c r="AE28" s="56">
        <v>150</v>
      </c>
      <c r="AF28" s="56">
        <v>150</v>
      </c>
      <c r="AG28" s="59">
        <v>85</v>
      </c>
      <c r="AH28" s="52">
        <f t="shared" si="2"/>
        <v>150</v>
      </c>
      <c r="AI28" s="53">
        <f t="shared" si="3"/>
        <v>150</v>
      </c>
      <c r="AK28" s="54"/>
    </row>
    <row r="29" spans="1:88" ht="15.75" thickBot="1" x14ac:dyDescent="0.3">
      <c r="A29" s="66" t="s">
        <v>36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56"/>
      <c r="AF29" s="56"/>
      <c r="AG29" s="59">
        <v>240</v>
      </c>
      <c r="AH29" s="52">
        <f t="shared" si="2"/>
        <v>0</v>
      </c>
      <c r="AI29" s="53">
        <f t="shared" si="3"/>
        <v>0</v>
      </c>
      <c r="AK29" s="54"/>
    </row>
    <row r="30" spans="1:88" ht="15.75" thickBot="1" x14ac:dyDescent="0.3">
      <c r="A30" s="68" t="s">
        <v>37</v>
      </c>
      <c r="B30" s="69">
        <f>SUM(B11:B28)</f>
        <v>150</v>
      </c>
      <c r="C30" s="69">
        <f t="shared" ref="C30:AF30" si="4">SUM(C11:C28)</f>
        <v>150</v>
      </c>
      <c r="D30" s="69">
        <f t="shared" si="4"/>
        <v>150</v>
      </c>
      <c r="E30" s="69">
        <f t="shared" si="4"/>
        <v>150</v>
      </c>
      <c r="F30" s="69">
        <f t="shared" si="4"/>
        <v>150</v>
      </c>
      <c r="G30" s="69">
        <f t="shared" si="4"/>
        <v>150</v>
      </c>
      <c r="H30" s="69">
        <f t="shared" si="4"/>
        <v>150</v>
      </c>
      <c r="I30" s="69">
        <f t="shared" si="4"/>
        <v>150</v>
      </c>
      <c r="J30" s="69">
        <f t="shared" si="4"/>
        <v>150</v>
      </c>
      <c r="K30" s="69">
        <f t="shared" si="4"/>
        <v>150</v>
      </c>
      <c r="L30" s="69">
        <f t="shared" si="4"/>
        <v>150</v>
      </c>
      <c r="M30" s="69">
        <f t="shared" si="4"/>
        <v>150</v>
      </c>
      <c r="N30" s="69">
        <f t="shared" si="4"/>
        <v>150</v>
      </c>
      <c r="O30" s="69">
        <f t="shared" si="4"/>
        <v>150</v>
      </c>
      <c r="P30" s="69">
        <f t="shared" si="4"/>
        <v>150</v>
      </c>
      <c r="Q30" s="69">
        <f t="shared" si="4"/>
        <v>150</v>
      </c>
      <c r="R30" s="69">
        <f t="shared" si="4"/>
        <v>150</v>
      </c>
      <c r="S30" s="69">
        <f t="shared" si="4"/>
        <v>150</v>
      </c>
      <c r="T30" s="69">
        <f t="shared" si="4"/>
        <v>150</v>
      </c>
      <c r="U30" s="69">
        <f t="shared" si="4"/>
        <v>150</v>
      </c>
      <c r="V30" s="69">
        <f>SUM(V11:V28)</f>
        <v>150</v>
      </c>
      <c r="W30" s="69">
        <f t="shared" si="4"/>
        <v>150</v>
      </c>
      <c r="X30" s="69">
        <f t="shared" si="4"/>
        <v>150</v>
      </c>
      <c r="Y30" s="69">
        <f t="shared" si="4"/>
        <v>150</v>
      </c>
      <c r="Z30" s="69">
        <f t="shared" si="4"/>
        <v>150</v>
      </c>
      <c r="AA30" s="69">
        <f t="shared" si="4"/>
        <v>150</v>
      </c>
      <c r="AB30" s="69">
        <f t="shared" si="4"/>
        <v>150</v>
      </c>
      <c r="AC30" s="69">
        <f t="shared" si="4"/>
        <v>150</v>
      </c>
      <c r="AD30" s="69">
        <f t="shared" si="4"/>
        <v>150</v>
      </c>
      <c r="AE30" s="69">
        <f t="shared" si="4"/>
        <v>150</v>
      </c>
      <c r="AF30" s="69">
        <f t="shared" si="4"/>
        <v>150</v>
      </c>
      <c r="AG30" s="59">
        <f>SUM(AG11:AG29)</f>
        <v>729.2</v>
      </c>
      <c r="AH30" s="52">
        <f t="shared" si="2"/>
        <v>150</v>
      </c>
      <c r="AI30" s="53">
        <f t="shared" si="3"/>
        <v>150</v>
      </c>
      <c r="AK30" s="54"/>
    </row>
    <row r="31" spans="1:88" x14ac:dyDescent="0.25">
      <c r="A31" s="55" t="s">
        <v>38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8"/>
      <c r="AB31" s="48"/>
      <c r="AC31" s="48"/>
      <c r="AD31" s="48"/>
      <c r="AE31" s="48"/>
      <c r="AF31" s="48"/>
      <c r="AG31" s="57">
        <v>144</v>
      </c>
      <c r="AH31" s="52">
        <f t="shared" si="2"/>
        <v>0</v>
      </c>
      <c r="AI31" s="53">
        <f t="shared" si="3"/>
        <v>0</v>
      </c>
      <c r="AK31" s="54"/>
    </row>
    <row r="32" spans="1:88" x14ac:dyDescent="0.25">
      <c r="A32" s="58" t="s">
        <v>39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56"/>
      <c r="AB32" s="56"/>
      <c r="AC32" s="56"/>
      <c r="AD32" s="56"/>
      <c r="AE32" s="56"/>
      <c r="AF32" s="56"/>
      <c r="AG32" s="59">
        <v>70</v>
      </c>
      <c r="AH32" s="52">
        <f t="shared" si="2"/>
        <v>0</v>
      </c>
      <c r="AI32" s="53">
        <f t="shared" si="3"/>
        <v>0</v>
      </c>
      <c r="AK32" s="54"/>
    </row>
    <row r="33" spans="1:41" x14ac:dyDescent="0.25">
      <c r="A33" s="58" t="s">
        <v>40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56"/>
      <c r="AB33" s="56"/>
      <c r="AC33" s="56"/>
      <c r="AD33" s="56"/>
      <c r="AE33" s="56"/>
      <c r="AF33" s="56"/>
      <c r="AG33" s="59">
        <v>69</v>
      </c>
      <c r="AH33" s="52">
        <f t="shared" si="2"/>
        <v>0</v>
      </c>
      <c r="AI33" s="53">
        <f t="shared" si="3"/>
        <v>0</v>
      </c>
      <c r="AK33" s="54"/>
    </row>
    <row r="34" spans="1:41" x14ac:dyDescent="0.25">
      <c r="A34" s="58" t="s">
        <v>41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56"/>
      <c r="AB34" s="56"/>
      <c r="AC34" s="56"/>
      <c r="AD34" s="56"/>
      <c r="AE34" s="56"/>
      <c r="AF34" s="56"/>
      <c r="AG34" s="59">
        <v>60</v>
      </c>
      <c r="AH34" s="52">
        <f t="shared" si="2"/>
        <v>0</v>
      </c>
      <c r="AI34" s="53">
        <f t="shared" si="3"/>
        <v>0</v>
      </c>
      <c r="AK34" s="54"/>
    </row>
    <row r="35" spans="1:41" x14ac:dyDescent="0.25">
      <c r="A35" s="58" t="s">
        <v>42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70"/>
      <c r="W35" s="70"/>
      <c r="X35" s="70"/>
      <c r="Y35" s="70"/>
      <c r="Z35" s="70"/>
      <c r="AA35" s="56"/>
      <c r="AB35" s="56"/>
      <c r="AC35" s="56"/>
      <c r="AD35" s="56"/>
      <c r="AE35" s="56"/>
      <c r="AF35" s="56"/>
      <c r="AG35" s="59">
        <v>30</v>
      </c>
      <c r="AH35" s="52">
        <f t="shared" si="2"/>
        <v>0</v>
      </c>
      <c r="AI35" s="53">
        <f t="shared" si="3"/>
        <v>0</v>
      </c>
      <c r="AK35" s="54"/>
    </row>
    <row r="36" spans="1:41" x14ac:dyDescent="0.25">
      <c r="A36" s="58" t="s">
        <v>43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56"/>
      <c r="AB36" s="56"/>
      <c r="AC36" s="56"/>
      <c r="AD36" s="56"/>
      <c r="AE36" s="56"/>
      <c r="AF36" s="56"/>
      <c r="AG36" s="59">
        <v>24</v>
      </c>
      <c r="AH36" s="52">
        <f t="shared" si="2"/>
        <v>0</v>
      </c>
      <c r="AI36" s="53">
        <f t="shared" si="3"/>
        <v>0</v>
      </c>
      <c r="AK36" s="54"/>
    </row>
    <row r="37" spans="1:41" x14ac:dyDescent="0.25">
      <c r="A37" s="58" t="s">
        <v>44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56"/>
      <c r="AB37" s="56"/>
      <c r="AC37" s="56"/>
      <c r="AD37" s="56"/>
      <c r="AE37" s="56"/>
      <c r="AF37" s="56"/>
      <c r="AG37" s="59">
        <v>15</v>
      </c>
      <c r="AH37" s="52">
        <f t="shared" si="2"/>
        <v>0</v>
      </c>
      <c r="AI37" s="53">
        <f t="shared" si="3"/>
        <v>0</v>
      </c>
      <c r="AK37" s="54"/>
    </row>
    <row r="38" spans="1:41" x14ac:dyDescent="0.25">
      <c r="A38" s="58" t="s">
        <v>45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56"/>
      <c r="AB38" s="56"/>
      <c r="AC38" s="56"/>
      <c r="AD38" s="56"/>
      <c r="AE38" s="56"/>
      <c r="AF38" s="56"/>
      <c r="AG38" s="59">
        <v>14.1</v>
      </c>
      <c r="AH38" s="52">
        <f t="shared" si="2"/>
        <v>0</v>
      </c>
      <c r="AI38" s="53">
        <f t="shared" si="3"/>
        <v>0</v>
      </c>
      <c r="AK38" s="54"/>
      <c r="AL38" s="64"/>
      <c r="AO38" s="64"/>
    </row>
    <row r="39" spans="1:41" s="64" customFormat="1" x14ac:dyDescent="0.25">
      <c r="A39" s="72" t="s">
        <v>46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56"/>
      <c r="AB39" s="56"/>
      <c r="AC39" s="56"/>
      <c r="AD39" s="56"/>
      <c r="AE39" s="56"/>
      <c r="AF39" s="56"/>
      <c r="AG39" s="59">
        <v>14</v>
      </c>
      <c r="AH39" s="52">
        <f t="shared" si="2"/>
        <v>0</v>
      </c>
      <c r="AI39" s="53">
        <f t="shared" si="3"/>
        <v>0</v>
      </c>
      <c r="AJ39" s="1"/>
      <c r="AK39" s="54"/>
      <c r="AL39"/>
      <c r="AM39"/>
      <c r="AN39"/>
      <c r="AO39"/>
    </row>
    <row r="40" spans="1:41" x14ac:dyDescent="0.25">
      <c r="A40" s="58" t="s">
        <v>47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56"/>
      <c r="AB40" s="56"/>
      <c r="AC40" s="56"/>
      <c r="AD40" s="56"/>
      <c r="AE40" s="56"/>
      <c r="AF40" s="56"/>
      <c r="AG40" s="59">
        <v>10.050000000000001</v>
      </c>
      <c r="AH40" s="52">
        <f t="shared" si="2"/>
        <v>0</v>
      </c>
      <c r="AI40" s="53">
        <f t="shared" si="3"/>
        <v>0</v>
      </c>
      <c r="AK40" s="54"/>
    </row>
    <row r="41" spans="1:41" x14ac:dyDescent="0.25">
      <c r="A41" s="58" t="s">
        <v>48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6"/>
      <c r="AB41" s="56"/>
      <c r="AC41" s="56"/>
      <c r="AD41" s="56"/>
      <c r="AE41" s="56"/>
      <c r="AF41" s="56"/>
      <c r="AG41" s="59">
        <v>6.2</v>
      </c>
      <c r="AH41" s="52">
        <f t="shared" si="2"/>
        <v>0</v>
      </c>
      <c r="AI41" s="53">
        <f t="shared" si="3"/>
        <v>0</v>
      </c>
      <c r="AK41" s="54"/>
    </row>
    <row r="42" spans="1:41" ht="15.75" thickBot="1" x14ac:dyDescent="0.3">
      <c r="A42" s="65" t="s">
        <v>49</v>
      </c>
      <c r="B42" s="73">
        <f>B179</f>
        <v>3.54</v>
      </c>
      <c r="C42" s="73">
        <f t="shared" ref="C42:AF42" si="5">C179</f>
        <v>3.54</v>
      </c>
      <c r="D42" s="73">
        <f t="shared" si="5"/>
        <v>3.54</v>
      </c>
      <c r="E42" s="73">
        <f t="shared" si="5"/>
        <v>3.54</v>
      </c>
      <c r="F42" s="73">
        <f t="shared" si="5"/>
        <v>3.54</v>
      </c>
      <c r="G42" s="73">
        <f t="shared" si="5"/>
        <v>3.54</v>
      </c>
      <c r="H42" s="73">
        <f t="shared" si="5"/>
        <v>3.54</v>
      </c>
      <c r="I42" s="73">
        <f t="shared" si="5"/>
        <v>3.54</v>
      </c>
      <c r="J42" s="73">
        <f t="shared" si="5"/>
        <v>3.54</v>
      </c>
      <c r="K42" s="73">
        <f t="shared" si="5"/>
        <v>3.54</v>
      </c>
      <c r="L42" s="73">
        <f t="shared" si="5"/>
        <v>3.54</v>
      </c>
      <c r="M42" s="73">
        <f t="shared" si="5"/>
        <v>3.54</v>
      </c>
      <c r="N42" s="73">
        <f t="shared" si="5"/>
        <v>3.54</v>
      </c>
      <c r="O42" s="73">
        <f t="shared" si="5"/>
        <v>3.54</v>
      </c>
      <c r="P42" s="73">
        <f t="shared" si="5"/>
        <v>3.54</v>
      </c>
      <c r="Q42" s="73">
        <f t="shared" si="5"/>
        <v>3.54</v>
      </c>
      <c r="R42" s="73">
        <f t="shared" si="5"/>
        <v>3.54</v>
      </c>
      <c r="S42" s="73">
        <f t="shared" si="5"/>
        <v>3.54</v>
      </c>
      <c r="T42" s="73">
        <f t="shared" si="5"/>
        <v>3.54</v>
      </c>
      <c r="U42" s="73">
        <f t="shared" si="5"/>
        <v>3.54</v>
      </c>
      <c r="V42" s="73">
        <f t="shared" si="5"/>
        <v>3.54</v>
      </c>
      <c r="W42" s="73">
        <f t="shared" si="5"/>
        <v>3.54</v>
      </c>
      <c r="X42" s="73">
        <f t="shared" si="5"/>
        <v>3.54</v>
      </c>
      <c r="Y42" s="73">
        <f t="shared" si="5"/>
        <v>3.54</v>
      </c>
      <c r="Z42" s="73">
        <f t="shared" si="5"/>
        <v>3.54</v>
      </c>
      <c r="AA42" s="73">
        <f t="shared" si="5"/>
        <v>3.54</v>
      </c>
      <c r="AB42" s="73">
        <f t="shared" si="5"/>
        <v>3.54</v>
      </c>
      <c r="AC42" s="73">
        <f t="shared" si="5"/>
        <v>3.54</v>
      </c>
      <c r="AD42" s="73">
        <f t="shared" si="5"/>
        <v>3.54</v>
      </c>
      <c r="AE42" s="73">
        <f t="shared" si="5"/>
        <v>3.54</v>
      </c>
      <c r="AF42" s="73">
        <f t="shared" si="5"/>
        <v>3.54</v>
      </c>
      <c r="AG42" s="73">
        <f>AG179</f>
        <v>8.56</v>
      </c>
      <c r="AH42" s="52">
        <f t="shared" si="2"/>
        <v>3.54</v>
      </c>
      <c r="AI42" s="53">
        <f t="shared" si="3"/>
        <v>3.54</v>
      </c>
      <c r="AK42" s="54"/>
    </row>
    <row r="43" spans="1:41" ht="15.75" thickBot="1" x14ac:dyDescent="0.3">
      <c r="A43" s="68" t="s">
        <v>50</v>
      </c>
      <c r="B43" s="69">
        <f t="shared" ref="B43:AF43" si="6">SUM(B31:B42)</f>
        <v>3.54</v>
      </c>
      <c r="C43" s="69">
        <f t="shared" si="6"/>
        <v>3.54</v>
      </c>
      <c r="D43" s="69">
        <f t="shared" si="6"/>
        <v>3.54</v>
      </c>
      <c r="E43" s="69">
        <f t="shared" si="6"/>
        <v>3.54</v>
      </c>
      <c r="F43" s="69">
        <f t="shared" si="6"/>
        <v>3.54</v>
      </c>
      <c r="G43" s="69">
        <f t="shared" si="6"/>
        <v>3.54</v>
      </c>
      <c r="H43" s="69">
        <f t="shared" si="6"/>
        <v>3.54</v>
      </c>
      <c r="I43" s="69">
        <f t="shared" si="6"/>
        <v>3.54</v>
      </c>
      <c r="J43" s="69">
        <f t="shared" si="6"/>
        <v>3.54</v>
      </c>
      <c r="K43" s="69">
        <f t="shared" si="6"/>
        <v>3.54</v>
      </c>
      <c r="L43" s="69">
        <f t="shared" si="6"/>
        <v>3.54</v>
      </c>
      <c r="M43" s="69">
        <f t="shared" si="6"/>
        <v>3.54</v>
      </c>
      <c r="N43" s="69">
        <f t="shared" si="6"/>
        <v>3.54</v>
      </c>
      <c r="O43" s="69">
        <f t="shared" si="6"/>
        <v>3.54</v>
      </c>
      <c r="P43" s="69">
        <f t="shared" si="6"/>
        <v>3.54</v>
      </c>
      <c r="Q43" s="69">
        <f t="shared" si="6"/>
        <v>3.54</v>
      </c>
      <c r="R43" s="69">
        <f t="shared" si="6"/>
        <v>3.54</v>
      </c>
      <c r="S43" s="69">
        <f t="shared" si="6"/>
        <v>3.54</v>
      </c>
      <c r="T43" s="69">
        <f t="shared" si="6"/>
        <v>3.54</v>
      </c>
      <c r="U43" s="69">
        <f t="shared" si="6"/>
        <v>3.54</v>
      </c>
      <c r="V43" s="69">
        <f t="shared" si="6"/>
        <v>3.54</v>
      </c>
      <c r="W43" s="69">
        <f t="shared" si="6"/>
        <v>3.54</v>
      </c>
      <c r="X43" s="69">
        <f t="shared" si="6"/>
        <v>3.54</v>
      </c>
      <c r="Y43" s="69">
        <f t="shared" si="6"/>
        <v>3.54</v>
      </c>
      <c r="Z43" s="69">
        <f t="shared" si="6"/>
        <v>3.54</v>
      </c>
      <c r="AA43" s="69">
        <f t="shared" si="6"/>
        <v>3.54</v>
      </c>
      <c r="AB43" s="69">
        <f t="shared" si="6"/>
        <v>3.54</v>
      </c>
      <c r="AC43" s="69">
        <f t="shared" si="6"/>
        <v>3.54</v>
      </c>
      <c r="AD43" s="69">
        <f t="shared" si="6"/>
        <v>3.54</v>
      </c>
      <c r="AE43" s="69">
        <f t="shared" si="6"/>
        <v>3.54</v>
      </c>
      <c r="AF43" s="69">
        <f t="shared" si="6"/>
        <v>3.54</v>
      </c>
      <c r="AG43" s="74">
        <f>SUM(AG31:AG42)</f>
        <v>464.91</v>
      </c>
      <c r="AH43" s="52">
        <f t="shared" si="2"/>
        <v>3.54</v>
      </c>
      <c r="AI43" s="53">
        <f t="shared" si="3"/>
        <v>3.54</v>
      </c>
      <c r="AK43" s="54"/>
    </row>
    <row r="44" spans="1:41" x14ac:dyDescent="0.25">
      <c r="A44" s="55" t="s">
        <v>51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75"/>
      <c r="M44" s="75"/>
      <c r="N44" s="75"/>
      <c r="O44" s="75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7">
        <v>60</v>
      </c>
      <c r="AH44" s="52">
        <f t="shared" si="2"/>
        <v>0</v>
      </c>
      <c r="AI44" s="53">
        <f t="shared" si="3"/>
        <v>0</v>
      </c>
      <c r="AK44" s="54"/>
    </row>
    <row r="45" spans="1:41" x14ac:dyDescent="0.25">
      <c r="A45" s="58" t="s">
        <v>52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75"/>
      <c r="M45" s="75"/>
      <c r="N45" s="75"/>
      <c r="O45" s="75"/>
      <c r="P45" s="70"/>
      <c r="Q45" s="70"/>
      <c r="R45" s="49"/>
      <c r="S45" s="49"/>
      <c r="T45" s="49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59">
        <v>32</v>
      </c>
      <c r="AH45" s="52">
        <f t="shared" si="2"/>
        <v>0</v>
      </c>
      <c r="AI45" s="53">
        <f t="shared" si="3"/>
        <v>0</v>
      </c>
      <c r="AK45" s="54"/>
    </row>
    <row r="46" spans="1:41" ht="15.75" thickBot="1" x14ac:dyDescent="0.3">
      <c r="A46" s="72" t="s">
        <v>53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6"/>
      <c r="M46" s="76"/>
      <c r="N46" s="76"/>
      <c r="O46" s="76"/>
      <c r="P46" s="77"/>
      <c r="Q46" s="77"/>
      <c r="R46" s="49"/>
      <c r="S46" s="49"/>
      <c r="T46" s="49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8">
        <v>14</v>
      </c>
      <c r="AH46" s="52">
        <f t="shared" si="2"/>
        <v>0</v>
      </c>
      <c r="AI46" s="53">
        <f t="shared" si="3"/>
        <v>0</v>
      </c>
      <c r="AK46" s="54"/>
    </row>
    <row r="47" spans="1:41" ht="15.75" thickBot="1" x14ac:dyDescent="0.3">
      <c r="A47" s="68" t="s">
        <v>54</v>
      </c>
      <c r="B47" s="69">
        <f>SUM(B44:B46)</f>
        <v>0</v>
      </c>
      <c r="C47" s="69">
        <f t="shared" ref="C47:AF47" si="7">SUM(C44:C46)</f>
        <v>0</v>
      </c>
      <c r="D47" s="69">
        <f t="shared" si="7"/>
        <v>0</v>
      </c>
      <c r="E47" s="69">
        <f t="shared" si="7"/>
        <v>0</v>
      </c>
      <c r="F47" s="69">
        <f t="shared" si="7"/>
        <v>0</v>
      </c>
      <c r="G47" s="69">
        <f t="shared" si="7"/>
        <v>0</v>
      </c>
      <c r="H47" s="69">
        <f t="shared" si="7"/>
        <v>0</v>
      </c>
      <c r="I47" s="69">
        <f t="shared" si="7"/>
        <v>0</v>
      </c>
      <c r="J47" s="69">
        <f t="shared" si="7"/>
        <v>0</v>
      </c>
      <c r="K47" s="69">
        <f t="shared" si="7"/>
        <v>0</v>
      </c>
      <c r="L47" s="69">
        <f t="shared" si="7"/>
        <v>0</v>
      </c>
      <c r="M47" s="69">
        <f t="shared" si="7"/>
        <v>0</v>
      </c>
      <c r="N47" s="69">
        <f t="shared" si="7"/>
        <v>0</v>
      </c>
      <c r="O47" s="69">
        <f t="shared" si="7"/>
        <v>0</v>
      </c>
      <c r="P47" s="69">
        <f t="shared" si="7"/>
        <v>0</v>
      </c>
      <c r="Q47" s="69">
        <f t="shared" si="7"/>
        <v>0</v>
      </c>
      <c r="R47" s="69">
        <f t="shared" si="7"/>
        <v>0</v>
      </c>
      <c r="S47" s="69">
        <f t="shared" si="7"/>
        <v>0</v>
      </c>
      <c r="T47" s="69">
        <f t="shared" si="7"/>
        <v>0</v>
      </c>
      <c r="U47" s="69">
        <f t="shared" si="7"/>
        <v>0</v>
      </c>
      <c r="V47" s="69">
        <f t="shared" si="7"/>
        <v>0</v>
      </c>
      <c r="W47" s="69">
        <f t="shared" si="7"/>
        <v>0</v>
      </c>
      <c r="X47" s="69">
        <f t="shared" si="7"/>
        <v>0</v>
      </c>
      <c r="Y47" s="69">
        <f t="shared" si="7"/>
        <v>0</v>
      </c>
      <c r="Z47" s="69">
        <f t="shared" si="7"/>
        <v>0</v>
      </c>
      <c r="AA47" s="69">
        <f t="shared" si="7"/>
        <v>0</v>
      </c>
      <c r="AB47" s="69">
        <f t="shared" si="7"/>
        <v>0</v>
      </c>
      <c r="AC47" s="69">
        <f t="shared" si="7"/>
        <v>0</v>
      </c>
      <c r="AD47" s="69">
        <f t="shared" si="7"/>
        <v>0</v>
      </c>
      <c r="AE47" s="69">
        <f t="shared" si="7"/>
        <v>0</v>
      </c>
      <c r="AF47" s="69">
        <f t="shared" si="7"/>
        <v>0</v>
      </c>
      <c r="AG47" s="74">
        <f>SUM(AG44:AG46)</f>
        <v>106</v>
      </c>
      <c r="AH47" s="52">
        <f t="shared" si="2"/>
        <v>0</v>
      </c>
      <c r="AI47" s="53">
        <f t="shared" si="3"/>
        <v>0</v>
      </c>
      <c r="AK47" s="54"/>
    </row>
    <row r="48" spans="1:41" x14ac:dyDescent="0.25">
      <c r="A48" s="55" t="s">
        <v>55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57"/>
      <c r="AH48" s="52">
        <f t="shared" si="2"/>
        <v>0</v>
      </c>
      <c r="AI48" s="53">
        <f t="shared" si="3"/>
        <v>0</v>
      </c>
      <c r="AK48" s="54"/>
    </row>
    <row r="49" spans="1:37" x14ac:dyDescent="0.25">
      <c r="A49" s="58" t="s">
        <v>56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49"/>
      <c r="M49" s="49"/>
      <c r="N49" s="49"/>
      <c r="O49" s="49"/>
      <c r="P49" s="49"/>
      <c r="Q49" s="49"/>
      <c r="R49" s="49"/>
      <c r="S49" s="49"/>
      <c r="T49" s="49"/>
      <c r="U49" s="79"/>
      <c r="V49" s="79"/>
      <c r="W49" s="79"/>
      <c r="X49" s="79"/>
      <c r="Y49" s="79"/>
      <c r="Z49" s="79"/>
      <c r="AA49" s="70"/>
      <c r="AB49" s="70"/>
      <c r="AC49" s="70"/>
      <c r="AD49" s="70"/>
      <c r="AE49" s="70"/>
      <c r="AF49" s="70"/>
      <c r="AG49" s="59"/>
      <c r="AH49" s="52">
        <f t="shared" si="2"/>
        <v>0</v>
      </c>
      <c r="AI49" s="53">
        <f t="shared" si="3"/>
        <v>0</v>
      </c>
      <c r="AK49" s="54"/>
    </row>
    <row r="50" spans="1:37" x14ac:dyDescent="0.25">
      <c r="A50" s="58" t="s">
        <v>57</v>
      </c>
      <c r="B50" s="70"/>
      <c r="C50" s="70"/>
      <c r="D50" s="70"/>
      <c r="E50" s="70"/>
      <c r="F50" s="70"/>
      <c r="G50" s="49"/>
      <c r="H50" s="49"/>
      <c r="I50" s="49"/>
      <c r="J50" s="49"/>
      <c r="K50" s="49"/>
      <c r="L50" s="70"/>
      <c r="M50" s="70"/>
      <c r="N50" s="70"/>
      <c r="O50" s="70"/>
      <c r="P50" s="70"/>
      <c r="Q50" s="70"/>
      <c r="R50" s="70"/>
      <c r="S50" s="70"/>
      <c r="T50" s="70"/>
      <c r="U50" s="80"/>
      <c r="V50" s="80"/>
      <c r="W50" s="80"/>
      <c r="X50" s="80"/>
      <c r="Y50" s="80"/>
      <c r="Z50" s="80"/>
      <c r="AA50" s="70"/>
      <c r="AB50" s="70"/>
      <c r="AC50" s="70"/>
      <c r="AD50" s="70"/>
      <c r="AE50" s="70"/>
      <c r="AF50" s="70"/>
      <c r="AG50" s="81"/>
      <c r="AH50" s="52">
        <f t="shared" si="2"/>
        <v>0</v>
      </c>
      <c r="AI50" s="53">
        <f t="shared" si="3"/>
        <v>0</v>
      </c>
      <c r="AK50" s="54"/>
    </row>
    <row r="51" spans="1:37" x14ac:dyDescent="0.25">
      <c r="A51" s="58" t="s">
        <v>58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82"/>
      <c r="AB51" s="82"/>
      <c r="AC51" s="82"/>
      <c r="AD51" s="82"/>
      <c r="AE51" s="82"/>
      <c r="AF51" s="82"/>
      <c r="AG51" s="81"/>
      <c r="AH51" s="52">
        <f t="shared" si="2"/>
        <v>0</v>
      </c>
      <c r="AI51" s="53">
        <f t="shared" si="3"/>
        <v>0</v>
      </c>
      <c r="AK51" s="54"/>
    </row>
    <row r="52" spans="1:37" x14ac:dyDescent="0.25">
      <c r="A52" s="58" t="s">
        <v>59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81"/>
      <c r="AH52" s="52">
        <f t="shared" si="2"/>
        <v>0</v>
      </c>
      <c r="AI52" s="53">
        <f t="shared" si="3"/>
        <v>0</v>
      </c>
      <c r="AK52" s="54"/>
    </row>
    <row r="53" spans="1:37" x14ac:dyDescent="0.25">
      <c r="A53" s="58" t="s">
        <v>60</v>
      </c>
      <c r="B53" s="82"/>
      <c r="C53" s="70"/>
      <c r="D53" s="70"/>
      <c r="E53" s="70"/>
      <c r="F53" s="70"/>
      <c r="G53" s="70"/>
      <c r="H53" s="70"/>
      <c r="I53" s="70"/>
      <c r="J53" s="70"/>
      <c r="K53" s="70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1"/>
      <c r="AH53" s="52">
        <f t="shared" si="2"/>
        <v>0</v>
      </c>
      <c r="AI53" s="53">
        <f t="shared" si="3"/>
        <v>0</v>
      </c>
      <c r="AK53" s="54"/>
    </row>
    <row r="54" spans="1:37" x14ac:dyDescent="0.25">
      <c r="A54" s="58" t="s">
        <v>61</v>
      </c>
      <c r="B54" s="82"/>
      <c r="C54" s="70"/>
      <c r="D54" s="70"/>
      <c r="E54" s="70"/>
      <c r="F54" s="70"/>
      <c r="G54" s="49"/>
      <c r="H54" s="49"/>
      <c r="I54" s="49"/>
      <c r="J54" s="49"/>
      <c r="K54" s="49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1"/>
      <c r="AH54" s="52">
        <f t="shared" si="2"/>
        <v>0</v>
      </c>
      <c r="AI54" s="53">
        <f t="shared" si="3"/>
        <v>0</v>
      </c>
      <c r="AK54" s="54"/>
    </row>
    <row r="55" spans="1:37" x14ac:dyDescent="0.25">
      <c r="A55" s="58" t="s">
        <v>62</v>
      </c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1"/>
      <c r="AH55" s="52">
        <f t="shared" si="2"/>
        <v>0</v>
      </c>
      <c r="AI55" s="53">
        <f t="shared" si="3"/>
        <v>0</v>
      </c>
      <c r="AK55" s="54"/>
    </row>
    <row r="56" spans="1:37" x14ac:dyDescent="0.25">
      <c r="A56" s="58" t="s">
        <v>63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1"/>
      <c r="AH56" s="52">
        <f t="shared" si="2"/>
        <v>0</v>
      </c>
      <c r="AI56" s="53">
        <f t="shared" si="3"/>
        <v>0</v>
      </c>
      <c r="AK56" s="54"/>
    </row>
    <row r="57" spans="1:37" x14ac:dyDescent="0.25">
      <c r="A57" s="84" t="s">
        <v>64</v>
      </c>
      <c r="B57" s="82"/>
      <c r="C57" s="70"/>
      <c r="D57" s="70"/>
      <c r="E57" s="70"/>
      <c r="F57" s="70"/>
      <c r="G57" s="70"/>
      <c r="H57" s="70"/>
      <c r="I57" s="70"/>
      <c r="J57" s="70"/>
      <c r="K57" s="70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6"/>
      <c r="AH57" s="52">
        <f t="shared" si="2"/>
        <v>0</v>
      </c>
      <c r="AI57" s="53">
        <f t="shared" si="3"/>
        <v>0</v>
      </c>
      <c r="AK57" s="54"/>
    </row>
    <row r="58" spans="1:37" ht="15.75" thickBot="1" x14ac:dyDescent="0.3">
      <c r="A58" s="84" t="s">
        <v>65</v>
      </c>
      <c r="B58" s="82"/>
      <c r="C58" s="70"/>
      <c r="D58" s="70"/>
      <c r="E58" s="70"/>
      <c r="F58" s="70"/>
      <c r="G58" s="49"/>
      <c r="H58" s="49"/>
      <c r="I58" s="49"/>
      <c r="J58" s="49"/>
      <c r="K58" s="49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6"/>
      <c r="AH58" s="52">
        <f t="shared" si="2"/>
        <v>0</v>
      </c>
      <c r="AI58" s="53">
        <f t="shared" si="3"/>
        <v>0</v>
      </c>
      <c r="AK58" s="54"/>
    </row>
    <row r="59" spans="1:37" ht="15.75" thickBot="1" x14ac:dyDescent="0.3">
      <c r="A59" s="68" t="s">
        <v>66</v>
      </c>
      <c r="B59" s="69">
        <f>SUM(B48:B58)</f>
        <v>0</v>
      </c>
      <c r="C59" s="69">
        <f t="shared" ref="C59:AF59" si="8">SUM(C48:C58)</f>
        <v>0</v>
      </c>
      <c r="D59" s="69">
        <f t="shared" si="8"/>
        <v>0</v>
      </c>
      <c r="E59" s="69">
        <f t="shared" si="8"/>
        <v>0</v>
      </c>
      <c r="F59" s="69">
        <f t="shared" si="8"/>
        <v>0</v>
      </c>
      <c r="G59" s="69">
        <f t="shared" si="8"/>
        <v>0</v>
      </c>
      <c r="H59" s="69">
        <f t="shared" si="8"/>
        <v>0</v>
      </c>
      <c r="I59" s="69">
        <f t="shared" si="8"/>
        <v>0</v>
      </c>
      <c r="J59" s="69">
        <f t="shared" si="8"/>
        <v>0</v>
      </c>
      <c r="K59" s="69">
        <f t="shared" si="8"/>
        <v>0</v>
      </c>
      <c r="L59" s="69">
        <f t="shared" si="8"/>
        <v>0</v>
      </c>
      <c r="M59" s="69">
        <f t="shared" si="8"/>
        <v>0</v>
      </c>
      <c r="N59" s="69">
        <f t="shared" si="8"/>
        <v>0</v>
      </c>
      <c r="O59" s="69">
        <f t="shared" si="8"/>
        <v>0</v>
      </c>
      <c r="P59" s="69">
        <f t="shared" si="8"/>
        <v>0</v>
      </c>
      <c r="Q59" s="69">
        <f t="shared" si="8"/>
        <v>0</v>
      </c>
      <c r="R59" s="69">
        <f t="shared" si="8"/>
        <v>0</v>
      </c>
      <c r="S59" s="69">
        <f t="shared" si="8"/>
        <v>0</v>
      </c>
      <c r="T59" s="69">
        <f t="shared" si="8"/>
        <v>0</v>
      </c>
      <c r="U59" s="69">
        <f t="shared" si="8"/>
        <v>0</v>
      </c>
      <c r="V59" s="69">
        <f t="shared" si="8"/>
        <v>0</v>
      </c>
      <c r="W59" s="69">
        <f t="shared" si="8"/>
        <v>0</v>
      </c>
      <c r="X59" s="69">
        <f t="shared" si="8"/>
        <v>0</v>
      </c>
      <c r="Y59" s="69">
        <f t="shared" si="8"/>
        <v>0</v>
      </c>
      <c r="Z59" s="69">
        <f t="shared" si="8"/>
        <v>0</v>
      </c>
      <c r="AA59" s="69">
        <f t="shared" si="8"/>
        <v>0</v>
      </c>
      <c r="AB59" s="69">
        <f t="shared" si="8"/>
        <v>0</v>
      </c>
      <c r="AC59" s="69">
        <f t="shared" si="8"/>
        <v>0</v>
      </c>
      <c r="AD59" s="69">
        <f t="shared" si="8"/>
        <v>0</v>
      </c>
      <c r="AE59" s="69">
        <f t="shared" si="8"/>
        <v>0</v>
      </c>
      <c r="AF59" s="69">
        <f t="shared" si="8"/>
        <v>0</v>
      </c>
      <c r="AG59" s="74">
        <f>SUM(AG48:AG58)</f>
        <v>0</v>
      </c>
      <c r="AH59" s="52">
        <f t="shared" si="2"/>
        <v>0</v>
      </c>
      <c r="AI59" s="53">
        <f t="shared" si="3"/>
        <v>0</v>
      </c>
      <c r="AK59" s="54"/>
    </row>
    <row r="60" spans="1:37" x14ac:dyDescent="0.25">
      <c r="A60" s="55" t="s">
        <v>67</v>
      </c>
      <c r="B60" s="82">
        <v>0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  <c r="V60" s="85">
        <v>0</v>
      </c>
      <c r="W60" s="85">
        <v>0</v>
      </c>
      <c r="X60" s="85">
        <v>0</v>
      </c>
      <c r="Y60" s="85">
        <v>0</v>
      </c>
      <c r="Z60" s="85">
        <v>0</v>
      </c>
      <c r="AA60" s="82">
        <v>0</v>
      </c>
      <c r="AB60" s="82">
        <v>0</v>
      </c>
      <c r="AC60" s="82">
        <v>0</v>
      </c>
      <c r="AD60" s="82">
        <v>0</v>
      </c>
      <c r="AE60" s="82">
        <v>0</v>
      </c>
      <c r="AF60" s="82">
        <v>0</v>
      </c>
      <c r="AG60" s="87">
        <v>39</v>
      </c>
      <c r="AH60" s="52">
        <f t="shared" si="2"/>
        <v>0</v>
      </c>
      <c r="AI60" s="53">
        <f t="shared" si="3"/>
        <v>0</v>
      </c>
      <c r="AK60" s="54"/>
    </row>
    <row r="61" spans="1:37" x14ac:dyDescent="0.25">
      <c r="A61" s="58" t="s">
        <v>68</v>
      </c>
      <c r="B61" s="83">
        <v>0</v>
      </c>
      <c r="C61" s="83">
        <v>0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  <c r="V61" s="85">
        <v>0</v>
      </c>
      <c r="W61" s="85">
        <v>0</v>
      </c>
      <c r="X61" s="85">
        <v>0</v>
      </c>
      <c r="Y61" s="85">
        <v>0</v>
      </c>
      <c r="Z61" s="85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1">
        <v>14.4</v>
      </c>
      <c r="AH61" s="52">
        <f t="shared" si="2"/>
        <v>0</v>
      </c>
      <c r="AI61" s="53">
        <f t="shared" si="3"/>
        <v>0</v>
      </c>
      <c r="AK61" s="54"/>
    </row>
    <row r="62" spans="1:37" ht="15.75" thickBot="1" x14ac:dyDescent="0.3">
      <c r="A62" s="84" t="s">
        <v>69</v>
      </c>
      <c r="B62" s="82">
        <v>0</v>
      </c>
      <c r="C62" s="82">
        <v>0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  <c r="X62" s="85">
        <v>0</v>
      </c>
      <c r="Y62" s="85">
        <v>0</v>
      </c>
      <c r="Z62" s="85">
        <v>0</v>
      </c>
      <c r="AA62" s="85">
        <v>0</v>
      </c>
      <c r="AB62" s="85">
        <v>0</v>
      </c>
      <c r="AC62" s="85">
        <v>0</v>
      </c>
      <c r="AD62" s="85">
        <v>0</v>
      </c>
      <c r="AE62" s="85">
        <v>0</v>
      </c>
      <c r="AF62" s="85">
        <v>0</v>
      </c>
      <c r="AG62" s="86">
        <v>2</v>
      </c>
      <c r="AH62" s="52">
        <f t="shared" si="2"/>
        <v>0</v>
      </c>
      <c r="AI62" s="53">
        <f t="shared" si="3"/>
        <v>0</v>
      </c>
      <c r="AK62" s="54"/>
    </row>
    <row r="63" spans="1:37" ht="15.75" thickBot="1" x14ac:dyDescent="0.3">
      <c r="A63" s="68" t="s">
        <v>70</v>
      </c>
      <c r="B63" s="69">
        <f>SUM(B60:B62)</f>
        <v>0</v>
      </c>
      <c r="C63" s="69">
        <f t="shared" ref="C63:AF63" si="9">SUM(C60:C62)</f>
        <v>0</v>
      </c>
      <c r="D63" s="69">
        <f t="shared" si="9"/>
        <v>0</v>
      </c>
      <c r="E63" s="69">
        <f t="shared" si="9"/>
        <v>0</v>
      </c>
      <c r="F63" s="69">
        <f t="shared" si="9"/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0</v>
      </c>
      <c r="P63" s="69">
        <f t="shared" si="9"/>
        <v>0</v>
      </c>
      <c r="Q63" s="69">
        <f t="shared" si="9"/>
        <v>0</v>
      </c>
      <c r="R63" s="69">
        <f t="shared" si="9"/>
        <v>0</v>
      </c>
      <c r="S63" s="69">
        <f t="shared" si="9"/>
        <v>0</v>
      </c>
      <c r="T63" s="69">
        <f t="shared" si="9"/>
        <v>0</v>
      </c>
      <c r="U63" s="69">
        <f t="shared" si="9"/>
        <v>0</v>
      </c>
      <c r="V63" s="69">
        <f t="shared" si="9"/>
        <v>0</v>
      </c>
      <c r="W63" s="69">
        <f t="shared" si="9"/>
        <v>0</v>
      </c>
      <c r="X63" s="69">
        <f t="shared" si="9"/>
        <v>0</v>
      </c>
      <c r="Y63" s="69">
        <f t="shared" si="9"/>
        <v>0</v>
      </c>
      <c r="Z63" s="69">
        <f t="shared" si="9"/>
        <v>0</v>
      </c>
      <c r="AA63" s="69">
        <f t="shared" si="9"/>
        <v>0</v>
      </c>
      <c r="AB63" s="69">
        <f t="shared" si="9"/>
        <v>0</v>
      </c>
      <c r="AC63" s="69">
        <f t="shared" si="9"/>
        <v>0</v>
      </c>
      <c r="AD63" s="69">
        <f t="shared" si="9"/>
        <v>0</v>
      </c>
      <c r="AE63" s="69">
        <f t="shared" si="9"/>
        <v>0</v>
      </c>
      <c r="AF63" s="69">
        <f t="shared" si="9"/>
        <v>0</v>
      </c>
      <c r="AG63" s="74">
        <f>SUM(AG60:AG62)</f>
        <v>55.4</v>
      </c>
      <c r="AH63" s="52">
        <f t="shared" si="2"/>
        <v>0</v>
      </c>
      <c r="AI63" s="53">
        <f t="shared" si="3"/>
        <v>0</v>
      </c>
    </row>
    <row r="64" spans="1:37" ht="15.75" thickBot="1" x14ac:dyDescent="0.3">
      <c r="A64" s="88" t="s">
        <v>71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74"/>
      <c r="AH64" s="52">
        <f t="shared" si="2"/>
        <v>0</v>
      </c>
      <c r="AI64" s="53">
        <f t="shared" si="3"/>
        <v>0</v>
      </c>
    </row>
    <row r="65" spans="1:35" ht="15.75" thickBot="1" x14ac:dyDescent="0.3">
      <c r="A65" s="90" t="s">
        <v>72</v>
      </c>
      <c r="B65" s="91">
        <f>B63+B59+B47+B43+B30+B64</f>
        <v>153.54</v>
      </c>
      <c r="C65" s="91">
        <f t="shared" ref="C65:AF65" si="10">C63+C59+C47+C43+C30+C64</f>
        <v>153.54</v>
      </c>
      <c r="D65" s="91">
        <f t="shared" si="10"/>
        <v>153.54</v>
      </c>
      <c r="E65" s="91">
        <f t="shared" si="10"/>
        <v>153.54</v>
      </c>
      <c r="F65" s="91">
        <f t="shared" si="10"/>
        <v>153.54</v>
      </c>
      <c r="G65" s="91">
        <f t="shared" si="10"/>
        <v>153.54</v>
      </c>
      <c r="H65" s="91">
        <f t="shared" si="10"/>
        <v>153.54</v>
      </c>
      <c r="I65" s="91">
        <f t="shared" si="10"/>
        <v>153.54</v>
      </c>
      <c r="J65" s="91">
        <f t="shared" si="10"/>
        <v>153.54</v>
      </c>
      <c r="K65" s="91">
        <f t="shared" si="10"/>
        <v>153.54</v>
      </c>
      <c r="L65" s="91">
        <f t="shared" si="10"/>
        <v>153.54</v>
      </c>
      <c r="M65" s="91">
        <f t="shared" si="10"/>
        <v>153.54</v>
      </c>
      <c r="N65" s="91">
        <f t="shared" si="10"/>
        <v>153.54</v>
      </c>
      <c r="O65" s="91">
        <f t="shared" si="10"/>
        <v>153.54</v>
      </c>
      <c r="P65" s="91">
        <f t="shared" si="10"/>
        <v>153.54</v>
      </c>
      <c r="Q65" s="91">
        <f t="shared" si="10"/>
        <v>153.54</v>
      </c>
      <c r="R65" s="91">
        <f t="shared" si="10"/>
        <v>153.54</v>
      </c>
      <c r="S65" s="91">
        <f t="shared" si="10"/>
        <v>153.54</v>
      </c>
      <c r="T65" s="91">
        <f t="shared" si="10"/>
        <v>153.54</v>
      </c>
      <c r="U65" s="91">
        <f t="shared" si="10"/>
        <v>153.54</v>
      </c>
      <c r="V65" s="91">
        <f t="shared" si="10"/>
        <v>153.54</v>
      </c>
      <c r="W65" s="91">
        <f t="shared" si="10"/>
        <v>153.54</v>
      </c>
      <c r="X65" s="91">
        <f t="shared" si="10"/>
        <v>153.54</v>
      </c>
      <c r="Y65" s="91">
        <f t="shared" si="10"/>
        <v>153.54</v>
      </c>
      <c r="Z65" s="91">
        <f t="shared" si="10"/>
        <v>153.54</v>
      </c>
      <c r="AA65" s="91">
        <f t="shared" si="10"/>
        <v>153.54</v>
      </c>
      <c r="AB65" s="91">
        <f t="shared" si="10"/>
        <v>153.54</v>
      </c>
      <c r="AC65" s="91">
        <f t="shared" si="10"/>
        <v>153.54</v>
      </c>
      <c r="AD65" s="91">
        <f t="shared" si="10"/>
        <v>153.54</v>
      </c>
      <c r="AE65" s="91">
        <f t="shared" si="10"/>
        <v>153.54</v>
      </c>
      <c r="AF65" s="91">
        <f t="shared" si="10"/>
        <v>153.54</v>
      </c>
      <c r="AG65" s="74">
        <f>AG63+AG59+AG47+AG43+AG30+AG64</f>
        <v>1355.5100000000002</v>
      </c>
      <c r="AH65" s="52">
        <f t="shared" si="2"/>
        <v>153.54</v>
      </c>
      <c r="AI65" s="53">
        <f t="shared" si="3"/>
        <v>153.54</v>
      </c>
    </row>
    <row r="66" spans="1:35" x14ac:dyDescent="0.25">
      <c r="A66" s="55" t="s">
        <v>73</v>
      </c>
      <c r="B66" s="82">
        <f t="shared" ref="B66:Q66" si="11">IF(B51&lt;0,B51*-1,0)</f>
        <v>0</v>
      </c>
      <c r="C66" s="82">
        <f t="shared" si="11"/>
        <v>0</v>
      </c>
      <c r="D66" s="82">
        <f t="shared" si="11"/>
        <v>0</v>
      </c>
      <c r="E66" s="82">
        <f t="shared" si="11"/>
        <v>0</v>
      </c>
      <c r="F66" s="82">
        <f t="shared" si="11"/>
        <v>0</v>
      </c>
      <c r="G66" s="82">
        <f t="shared" si="11"/>
        <v>0</v>
      </c>
      <c r="H66" s="82">
        <f t="shared" si="11"/>
        <v>0</v>
      </c>
      <c r="I66" s="82">
        <f t="shared" si="11"/>
        <v>0</v>
      </c>
      <c r="J66" s="82">
        <f t="shared" si="11"/>
        <v>0</v>
      </c>
      <c r="K66" s="82">
        <f t="shared" si="11"/>
        <v>0</v>
      </c>
      <c r="L66" s="82">
        <f t="shared" si="11"/>
        <v>0</v>
      </c>
      <c r="M66" s="82">
        <f t="shared" si="11"/>
        <v>0</v>
      </c>
      <c r="N66" s="82">
        <f t="shared" si="11"/>
        <v>0</v>
      </c>
      <c r="O66" s="82">
        <f t="shared" si="11"/>
        <v>0</v>
      </c>
      <c r="P66" s="82">
        <f t="shared" si="11"/>
        <v>0</v>
      </c>
      <c r="Q66" s="82">
        <f t="shared" si="11"/>
        <v>0</v>
      </c>
      <c r="R66" s="82">
        <f>IF(R51&lt;0,R51*-1,0)</f>
        <v>0</v>
      </c>
      <c r="S66" s="82">
        <f t="shared" ref="S66:AF66" si="12">IF(S51&lt;0,S51*-1,0)</f>
        <v>0</v>
      </c>
      <c r="T66" s="82">
        <f t="shared" si="12"/>
        <v>0</v>
      </c>
      <c r="U66" s="82">
        <f t="shared" si="12"/>
        <v>0</v>
      </c>
      <c r="V66" s="82">
        <f t="shared" si="12"/>
        <v>0</v>
      </c>
      <c r="W66" s="82">
        <f t="shared" si="12"/>
        <v>0</v>
      </c>
      <c r="X66" s="82">
        <f t="shared" si="12"/>
        <v>0</v>
      </c>
      <c r="Y66" s="82">
        <f t="shared" si="12"/>
        <v>0</v>
      </c>
      <c r="Z66" s="82">
        <f t="shared" si="12"/>
        <v>0</v>
      </c>
      <c r="AA66" s="82">
        <f t="shared" si="12"/>
        <v>0</v>
      </c>
      <c r="AB66" s="82">
        <f t="shared" si="12"/>
        <v>0</v>
      </c>
      <c r="AC66" s="82">
        <f t="shared" si="12"/>
        <v>0</v>
      </c>
      <c r="AD66" s="82">
        <f t="shared" si="12"/>
        <v>0</v>
      </c>
      <c r="AE66" s="82">
        <f t="shared" si="12"/>
        <v>0</v>
      </c>
      <c r="AF66" s="82">
        <f t="shared" si="12"/>
        <v>0</v>
      </c>
      <c r="AG66" s="57"/>
      <c r="AH66" s="52">
        <f t="shared" si="2"/>
        <v>0</v>
      </c>
      <c r="AI66" s="53">
        <f t="shared" si="3"/>
        <v>0</v>
      </c>
    </row>
    <row r="67" spans="1:35" x14ac:dyDescent="0.25">
      <c r="A67" s="58" t="s">
        <v>74</v>
      </c>
      <c r="B67" s="82">
        <f t="shared" ref="B67:Q67" si="13">IF(B49&lt;0,B49*-1,0)</f>
        <v>0</v>
      </c>
      <c r="C67" s="82">
        <f t="shared" si="13"/>
        <v>0</v>
      </c>
      <c r="D67" s="82">
        <f t="shared" si="13"/>
        <v>0</v>
      </c>
      <c r="E67" s="82">
        <f t="shared" si="13"/>
        <v>0</v>
      </c>
      <c r="F67" s="82">
        <f t="shared" si="13"/>
        <v>0</v>
      </c>
      <c r="G67" s="82">
        <f t="shared" si="13"/>
        <v>0</v>
      </c>
      <c r="H67" s="82">
        <f t="shared" si="13"/>
        <v>0</v>
      </c>
      <c r="I67" s="82">
        <f t="shared" si="13"/>
        <v>0</v>
      </c>
      <c r="J67" s="82">
        <f t="shared" si="13"/>
        <v>0</v>
      </c>
      <c r="K67" s="82">
        <f t="shared" si="13"/>
        <v>0</v>
      </c>
      <c r="L67" s="82">
        <f t="shared" si="13"/>
        <v>0</v>
      </c>
      <c r="M67" s="82">
        <f t="shared" si="13"/>
        <v>0</v>
      </c>
      <c r="N67" s="82">
        <f t="shared" si="13"/>
        <v>0</v>
      </c>
      <c r="O67" s="82">
        <f t="shared" si="13"/>
        <v>0</v>
      </c>
      <c r="P67" s="82">
        <f t="shared" si="13"/>
        <v>0</v>
      </c>
      <c r="Q67" s="82">
        <f t="shared" si="13"/>
        <v>0</v>
      </c>
      <c r="R67" s="82">
        <f>IF(R49&lt;0,R49*-1,0)</f>
        <v>0</v>
      </c>
      <c r="S67" s="82">
        <f t="shared" ref="S67:AF67" si="14">IF(S49&lt;0,S49*-1,0)</f>
        <v>0</v>
      </c>
      <c r="T67" s="82">
        <f t="shared" si="14"/>
        <v>0</v>
      </c>
      <c r="U67" s="82">
        <f t="shared" si="14"/>
        <v>0</v>
      </c>
      <c r="V67" s="82">
        <f t="shared" si="14"/>
        <v>0</v>
      </c>
      <c r="W67" s="82">
        <f t="shared" si="14"/>
        <v>0</v>
      </c>
      <c r="X67" s="82">
        <f t="shared" si="14"/>
        <v>0</v>
      </c>
      <c r="Y67" s="82">
        <f t="shared" si="14"/>
        <v>0</v>
      </c>
      <c r="Z67" s="82">
        <f t="shared" si="14"/>
        <v>0</v>
      </c>
      <c r="AA67" s="82">
        <f t="shared" si="14"/>
        <v>0</v>
      </c>
      <c r="AB67" s="82">
        <f t="shared" si="14"/>
        <v>0</v>
      </c>
      <c r="AC67" s="82">
        <f t="shared" si="14"/>
        <v>0</v>
      </c>
      <c r="AD67" s="82">
        <f t="shared" si="14"/>
        <v>0</v>
      </c>
      <c r="AE67" s="82">
        <f t="shared" si="14"/>
        <v>0</v>
      </c>
      <c r="AF67" s="82">
        <f t="shared" si="14"/>
        <v>0</v>
      </c>
      <c r="AG67" s="59"/>
      <c r="AH67" s="52">
        <f t="shared" si="2"/>
        <v>0</v>
      </c>
      <c r="AI67" s="53">
        <f t="shared" si="3"/>
        <v>0</v>
      </c>
    </row>
    <row r="68" spans="1:35" x14ac:dyDescent="0.25">
      <c r="A68" s="84" t="s">
        <v>75</v>
      </c>
      <c r="B68" s="82">
        <f t="shared" ref="B68:Q68" si="15">IF(B52&lt;0,B52*-1,0)</f>
        <v>0</v>
      </c>
      <c r="C68" s="82">
        <f t="shared" si="15"/>
        <v>0</v>
      </c>
      <c r="D68" s="82">
        <f t="shared" si="15"/>
        <v>0</v>
      </c>
      <c r="E68" s="82">
        <f t="shared" si="15"/>
        <v>0</v>
      </c>
      <c r="F68" s="82">
        <f t="shared" si="15"/>
        <v>0</v>
      </c>
      <c r="G68" s="82">
        <f t="shared" si="15"/>
        <v>0</v>
      </c>
      <c r="H68" s="82">
        <f t="shared" si="15"/>
        <v>0</v>
      </c>
      <c r="I68" s="82">
        <f t="shared" si="15"/>
        <v>0</v>
      </c>
      <c r="J68" s="82">
        <f t="shared" si="15"/>
        <v>0</v>
      </c>
      <c r="K68" s="82">
        <f t="shared" si="15"/>
        <v>0</v>
      </c>
      <c r="L68" s="82">
        <f t="shared" si="15"/>
        <v>0</v>
      </c>
      <c r="M68" s="82">
        <f t="shared" si="15"/>
        <v>0</v>
      </c>
      <c r="N68" s="82">
        <f t="shared" si="15"/>
        <v>0</v>
      </c>
      <c r="O68" s="82">
        <f t="shared" si="15"/>
        <v>0</v>
      </c>
      <c r="P68" s="82">
        <f t="shared" si="15"/>
        <v>0</v>
      </c>
      <c r="Q68" s="82">
        <f t="shared" si="15"/>
        <v>0</v>
      </c>
      <c r="R68" s="82">
        <f>IF(R52&lt;0,R52*-1,0)</f>
        <v>0</v>
      </c>
      <c r="S68" s="82">
        <f t="shared" ref="S68:AF68" si="16">IF(S52&lt;0,S52*-1,0)</f>
        <v>0</v>
      </c>
      <c r="T68" s="82">
        <f t="shared" si="16"/>
        <v>0</v>
      </c>
      <c r="U68" s="82">
        <f t="shared" si="16"/>
        <v>0</v>
      </c>
      <c r="V68" s="82">
        <f t="shared" si="16"/>
        <v>0</v>
      </c>
      <c r="W68" s="82">
        <f t="shared" si="16"/>
        <v>0</v>
      </c>
      <c r="X68" s="82">
        <f t="shared" si="16"/>
        <v>0</v>
      </c>
      <c r="Y68" s="82">
        <f t="shared" si="16"/>
        <v>0</v>
      </c>
      <c r="Z68" s="82">
        <f t="shared" si="16"/>
        <v>0</v>
      </c>
      <c r="AA68" s="82">
        <f t="shared" si="16"/>
        <v>0</v>
      </c>
      <c r="AB68" s="82">
        <f t="shared" si="16"/>
        <v>0</v>
      </c>
      <c r="AC68" s="82">
        <f t="shared" si="16"/>
        <v>0</v>
      </c>
      <c r="AD68" s="82">
        <f t="shared" si="16"/>
        <v>0</v>
      </c>
      <c r="AE68" s="82">
        <f t="shared" si="16"/>
        <v>0</v>
      </c>
      <c r="AF68" s="82">
        <f t="shared" si="16"/>
        <v>0</v>
      </c>
      <c r="AG68" s="92"/>
      <c r="AH68" s="52">
        <f t="shared" si="2"/>
        <v>0</v>
      </c>
      <c r="AI68" s="53">
        <f t="shared" si="3"/>
        <v>0</v>
      </c>
    </row>
    <row r="69" spans="1:35" x14ac:dyDescent="0.25">
      <c r="A69" s="84" t="s">
        <v>76</v>
      </c>
      <c r="B69" s="82">
        <f>IF(B50&lt;0,B50*-1,0)</f>
        <v>0</v>
      </c>
      <c r="C69" s="82">
        <f t="shared" ref="C69:AF69" si="17">IF(C50&lt;0,C50*-1,0)</f>
        <v>0</v>
      </c>
      <c r="D69" s="82">
        <f t="shared" si="17"/>
        <v>0</v>
      </c>
      <c r="E69" s="82">
        <f t="shared" si="17"/>
        <v>0</v>
      </c>
      <c r="F69" s="82">
        <f t="shared" si="17"/>
        <v>0</v>
      </c>
      <c r="G69" s="82">
        <f t="shared" si="17"/>
        <v>0</v>
      </c>
      <c r="H69" s="82">
        <f t="shared" si="17"/>
        <v>0</v>
      </c>
      <c r="I69" s="82">
        <f t="shared" si="17"/>
        <v>0</v>
      </c>
      <c r="J69" s="82">
        <f t="shared" si="17"/>
        <v>0</v>
      </c>
      <c r="K69" s="82">
        <f t="shared" si="17"/>
        <v>0</v>
      </c>
      <c r="L69" s="82">
        <f t="shared" si="17"/>
        <v>0</v>
      </c>
      <c r="M69" s="82">
        <f t="shared" si="17"/>
        <v>0</v>
      </c>
      <c r="N69" s="82">
        <f t="shared" si="17"/>
        <v>0</v>
      </c>
      <c r="O69" s="82">
        <f t="shared" si="17"/>
        <v>0</v>
      </c>
      <c r="P69" s="82">
        <f t="shared" si="17"/>
        <v>0</v>
      </c>
      <c r="Q69" s="82">
        <f t="shared" si="17"/>
        <v>0</v>
      </c>
      <c r="R69" s="82">
        <f t="shared" si="17"/>
        <v>0</v>
      </c>
      <c r="S69" s="82">
        <f t="shared" si="17"/>
        <v>0</v>
      </c>
      <c r="T69" s="82">
        <f t="shared" si="17"/>
        <v>0</v>
      </c>
      <c r="U69" s="82">
        <f t="shared" si="17"/>
        <v>0</v>
      </c>
      <c r="V69" s="82">
        <f t="shared" si="17"/>
        <v>0</v>
      </c>
      <c r="W69" s="82">
        <f t="shared" si="17"/>
        <v>0</v>
      </c>
      <c r="X69" s="82">
        <f t="shared" si="17"/>
        <v>0</v>
      </c>
      <c r="Y69" s="82">
        <f t="shared" si="17"/>
        <v>0</v>
      </c>
      <c r="Z69" s="82">
        <f t="shared" si="17"/>
        <v>0</v>
      </c>
      <c r="AA69" s="82">
        <f t="shared" si="17"/>
        <v>0</v>
      </c>
      <c r="AB69" s="82">
        <f t="shared" si="17"/>
        <v>0</v>
      </c>
      <c r="AC69" s="82">
        <f t="shared" si="17"/>
        <v>0</v>
      </c>
      <c r="AD69" s="82">
        <f t="shared" si="17"/>
        <v>0</v>
      </c>
      <c r="AE69" s="82">
        <f t="shared" si="17"/>
        <v>0</v>
      </c>
      <c r="AF69" s="82">
        <f t="shared" si="17"/>
        <v>0</v>
      </c>
      <c r="AG69" s="92"/>
      <c r="AH69" s="52">
        <f t="shared" si="2"/>
        <v>0</v>
      </c>
      <c r="AI69" s="53">
        <f t="shared" si="3"/>
        <v>0</v>
      </c>
    </row>
    <row r="70" spans="1:35" ht="15.75" thickBot="1" x14ac:dyDescent="0.3">
      <c r="A70" s="84" t="s">
        <v>77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49"/>
      <c r="S70" s="49"/>
      <c r="T70" s="49"/>
      <c r="U70" s="49"/>
      <c r="V70" s="49"/>
      <c r="W70" s="49"/>
      <c r="X70" s="49"/>
      <c r="Y70" s="49"/>
      <c r="Z70" s="49"/>
      <c r="AA70" s="85"/>
      <c r="AB70" s="85"/>
      <c r="AC70" s="85"/>
      <c r="AD70" s="85"/>
      <c r="AE70" s="85"/>
      <c r="AF70" s="85"/>
      <c r="AG70" s="86"/>
      <c r="AH70" s="52">
        <f t="shared" si="2"/>
        <v>0</v>
      </c>
      <c r="AI70" s="53">
        <f t="shared" si="3"/>
        <v>0</v>
      </c>
    </row>
    <row r="71" spans="1:35" ht="15.75" thickBot="1" x14ac:dyDescent="0.3">
      <c r="A71" s="90" t="s">
        <v>78</v>
      </c>
      <c r="B71" s="69">
        <f>SUM(B66:B70)</f>
        <v>0</v>
      </c>
      <c r="C71" s="69">
        <f t="shared" ref="C71:AF71" si="18">SUM(C66:C70)</f>
        <v>0</v>
      </c>
      <c r="D71" s="69">
        <f t="shared" si="18"/>
        <v>0</v>
      </c>
      <c r="E71" s="69">
        <f t="shared" si="18"/>
        <v>0</v>
      </c>
      <c r="F71" s="69">
        <f t="shared" si="18"/>
        <v>0</v>
      </c>
      <c r="G71" s="69">
        <f t="shared" si="18"/>
        <v>0</v>
      </c>
      <c r="H71" s="69">
        <f t="shared" si="18"/>
        <v>0</v>
      </c>
      <c r="I71" s="69">
        <f t="shared" si="18"/>
        <v>0</v>
      </c>
      <c r="J71" s="69">
        <f t="shared" si="18"/>
        <v>0</v>
      </c>
      <c r="K71" s="69">
        <f t="shared" si="18"/>
        <v>0</v>
      </c>
      <c r="L71" s="69">
        <f t="shared" si="18"/>
        <v>0</v>
      </c>
      <c r="M71" s="69">
        <f t="shared" si="18"/>
        <v>0</v>
      </c>
      <c r="N71" s="69">
        <f t="shared" si="18"/>
        <v>0</v>
      </c>
      <c r="O71" s="69">
        <f t="shared" si="18"/>
        <v>0</v>
      </c>
      <c r="P71" s="69">
        <f t="shared" si="18"/>
        <v>0</v>
      </c>
      <c r="Q71" s="69">
        <f t="shared" si="18"/>
        <v>0</v>
      </c>
      <c r="R71" s="69">
        <f t="shared" si="18"/>
        <v>0</v>
      </c>
      <c r="S71" s="69">
        <f t="shared" si="18"/>
        <v>0</v>
      </c>
      <c r="T71" s="69">
        <f t="shared" si="18"/>
        <v>0</v>
      </c>
      <c r="U71" s="69">
        <f t="shared" si="18"/>
        <v>0</v>
      </c>
      <c r="V71" s="69">
        <f t="shared" si="18"/>
        <v>0</v>
      </c>
      <c r="W71" s="69">
        <f t="shared" si="18"/>
        <v>0</v>
      </c>
      <c r="X71" s="69">
        <f t="shared" si="18"/>
        <v>0</v>
      </c>
      <c r="Y71" s="69">
        <f t="shared" si="18"/>
        <v>0</v>
      </c>
      <c r="Z71" s="69">
        <f t="shared" si="18"/>
        <v>0</v>
      </c>
      <c r="AA71" s="69">
        <f t="shared" si="18"/>
        <v>0</v>
      </c>
      <c r="AB71" s="69">
        <f t="shared" si="18"/>
        <v>0</v>
      </c>
      <c r="AC71" s="69">
        <f t="shared" si="18"/>
        <v>0</v>
      </c>
      <c r="AD71" s="69">
        <f t="shared" si="18"/>
        <v>0</v>
      </c>
      <c r="AE71" s="69">
        <f t="shared" si="18"/>
        <v>0</v>
      </c>
      <c r="AF71" s="69">
        <f t="shared" si="18"/>
        <v>0</v>
      </c>
      <c r="AG71" s="74">
        <f>SUM(AG66:AG70)</f>
        <v>0</v>
      </c>
      <c r="AH71" s="52">
        <f t="shared" si="2"/>
        <v>0</v>
      </c>
      <c r="AI71" s="53">
        <f t="shared" si="3"/>
        <v>0</v>
      </c>
    </row>
    <row r="72" spans="1:35" x14ac:dyDescent="0.25">
      <c r="A72" s="93" t="s">
        <v>79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5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6"/>
      <c r="AG72" s="97"/>
      <c r="AH72" s="52">
        <f t="shared" si="2"/>
        <v>0</v>
      </c>
      <c r="AI72" s="53">
        <f t="shared" si="3"/>
        <v>0</v>
      </c>
    </row>
    <row r="73" spans="1:35" x14ac:dyDescent="0.25">
      <c r="A73" s="98" t="s">
        <v>80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70"/>
      <c r="AB73" s="70"/>
      <c r="AC73" s="70"/>
      <c r="AD73" s="70"/>
      <c r="AE73" s="70"/>
      <c r="AF73" s="100"/>
      <c r="AG73" s="101"/>
      <c r="AH73" s="52">
        <f t="shared" si="2"/>
        <v>0</v>
      </c>
      <c r="AI73" s="53">
        <f t="shared" si="3"/>
        <v>0</v>
      </c>
    </row>
    <row r="74" spans="1:35" x14ac:dyDescent="0.25">
      <c r="A74" s="98" t="s">
        <v>81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70"/>
      <c r="AB74" s="70"/>
      <c r="AC74" s="70"/>
      <c r="AD74" s="70"/>
      <c r="AE74" s="70"/>
      <c r="AF74" s="100"/>
      <c r="AG74" s="101"/>
      <c r="AH74" s="52">
        <f t="shared" si="2"/>
        <v>0</v>
      </c>
      <c r="AI74" s="53">
        <f t="shared" si="3"/>
        <v>0</v>
      </c>
    </row>
    <row r="75" spans="1:35" x14ac:dyDescent="0.25">
      <c r="A75" s="98" t="s">
        <v>82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99"/>
      <c r="U75" s="99"/>
      <c r="V75" s="99"/>
      <c r="W75" s="99"/>
      <c r="X75" s="99"/>
      <c r="Y75" s="99"/>
      <c r="Z75" s="99"/>
      <c r="AA75" s="70"/>
      <c r="AB75" s="70"/>
      <c r="AC75" s="70"/>
      <c r="AD75" s="70"/>
      <c r="AE75" s="70"/>
      <c r="AF75" s="100"/>
      <c r="AG75" s="101"/>
      <c r="AH75" s="52">
        <f t="shared" si="2"/>
        <v>0</v>
      </c>
      <c r="AI75" s="53">
        <f t="shared" si="3"/>
        <v>0</v>
      </c>
    </row>
    <row r="76" spans="1:35" x14ac:dyDescent="0.25">
      <c r="A76" s="102" t="s">
        <v>83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99"/>
      <c r="U76" s="99"/>
      <c r="V76" s="99"/>
      <c r="W76" s="99"/>
      <c r="X76" s="99"/>
      <c r="Y76" s="99"/>
      <c r="Z76" s="99"/>
      <c r="AA76" s="70"/>
      <c r="AB76" s="70"/>
      <c r="AC76" s="70"/>
      <c r="AD76" s="70"/>
      <c r="AE76" s="70"/>
      <c r="AF76" s="100"/>
      <c r="AG76" s="101"/>
      <c r="AH76" s="52">
        <f t="shared" si="2"/>
        <v>0</v>
      </c>
      <c r="AI76" s="53">
        <f t="shared" si="3"/>
        <v>0</v>
      </c>
    </row>
    <row r="77" spans="1:35" x14ac:dyDescent="0.25">
      <c r="A77" s="102" t="s">
        <v>84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99"/>
      <c r="U77" s="99"/>
      <c r="V77" s="99"/>
      <c r="W77" s="99"/>
      <c r="X77" s="99"/>
      <c r="Y77" s="99"/>
      <c r="Z77" s="99"/>
      <c r="AA77" s="103"/>
      <c r="AB77" s="103"/>
      <c r="AC77" s="103"/>
      <c r="AD77" s="103"/>
      <c r="AE77" s="103"/>
      <c r="AF77" s="104"/>
      <c r="AG77" s="105"/>
      <c r="AH77" s="52">
        <f t="shared" si="2"/>
        <v>0</v>
      </c>
      <c r="AI77" s="53">
        <f t="shared" si="3"/>
        <v>0</v>
      </c>
    </row>
    <row r="78" spans="1:35" x14ac:dyDescent="0.25">
      <c r="A78" s="98" t="s">
        <v>85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99"/>
      <c r="U78" s="99"/>
      <c r="V78" s="99"/>
      <c r="W78" s="99"/>
      <c r="X78" s="99"/>
      <c r="Y78" s="99"/>
      <c r="Z78" s="99"/>
      <c r="AA78" s="70"/>
      <c r="AB78" s="70"/>
      <c r="AC78" s="70"/>
      <c r="AD78" s="70"/>
      <c r="AE78" s="70"/>
      <c r="AF78" s="100"/>
      <c r="AG78" s="101"/>
      <c r="AH78" s="52">
        <f>MAX(B78:AF78)</f>
        <v>0</v>
      </c>
      <c r="AI78" s="53">
        <f>MIN(B78:AF78)</f>
        <v>0</v>
      </c>
    </row>
    <row r="79" spans="1:35" ht="15.75" thickBot="1" x14ac:dyDescent="0.3">
      <c r="A79" s="98" t="s">
        <v>86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7"/>
      <c r="AG79" s="108"/>
      <c r="AH79" s="52">
        <f>MAX(B79:AF79)</f>
        <v>0</v>
      </c>
      <c r="AI79" s="53">
        <f>MIN(B79:AF79)</f>
        <v>0</v>
      </c>
    </row>
    <row r="80" spans="1:35" x14ac:dyDescent="0.25">
      <c r="A80" s="109" t="s">
        <v>87</v>
      </c>
      <c r="B80" s="110">
        <f t="shared" ref="B80:AF80" si="19">SUMIF(B48:B57,"&gt;0")</f>
        <v>0</v>
      </c>
      <c r="C80" s="110">
        <f t="shared" si="19"/>
        <v>0</v>
      </c>
      <c r="D80" s="110">
        <f t="shared" si="19"/>
        <v>0</v>
      </c>
      <c r="E80" s="110">
        <f t="shared" si="19"/>
        <v>0</v>
      </c>
      <c r="F80" s="110">
        <f t="shared" si="19"/>
        <v>0</v>
      </c>
      <c r="G80" s="110">
        <f t="shared" si="19"/>
        <v>0</v>
      </c>
      <c r="H80" s="110">
        <f t="shared" si="19"/>
        <v>0</v>
      </c>
      <c r="I80" s="110">
        <f t="shared" si="19"/>
        <v>0</v>
      </c>
      <c r="J80" s="110">
        <f t="shared" si="19"/>
        <v>0</v>
      </c>
      <c r="K80" s="110">
        <f t="shared" si="19"/>
        <v>0</v>
      </c>
      <c r="L80" s="110">
        <f t="shared" si="19"/>
        <v>0</v>
      </c>
      <c r="M80" s="110">
        <f t="shared" si="19"/>
        <v>0</v>
      </c>
      <c r="N80" s="110">
        <f t="shared" si="19"/>
        <v>0</v>
      </c>
      <c r="O80" s="110">
        <f t="shared" si="19"/>
        <v>0</v>
      </c>
      <c r="P80" s="110">
        <f t="shared" si="19"/>
        <v>0</v>
      </c>
      <c r="Q80" s="110">
        <f t="shared" si="19"/>
        <v>0</v>
      </c>
      <c r="R80" s="110">
        <f t="shared" si="19"/>
        <v>0</v>
      </c>
      <c r="S80" s="110">
        <f t="shared" si="19"/>
        <v>0</v>
      </c>
      <c r="T80" s="110">
        <f t="shared" si="19"/>
        <v>0</v>
      </c>
      <c r="U80" s="110">
        <f t="shared" si="19"/>
        <v>0</v>
      </c>
      <c r="V80" s="110">
        <f t="shared" si="19"/>
        <v>0</v>
      </c>
      <c r="W80" s="110">
        <f t="shared" si="19"/>
        <v>0</v>
      </c>
      <c r="X80" s="110">
        <f t="shared" si="19"/>
        <v>0</v>
      </c>
      <c r="Y80" s="110">
        <f t="shared" si="19"/>
        <v>0</v>
      </c>
      <c r="Z80" s="110">
        <f t="shared" si="19"/>
        <v>0</v>
      </c>
      <c r="AA80" s="110">
        <f t="shared" si="19"/>
        <v>0</v>
      </c>
      <c r="AB80" s="110">
        <f t="shared" si="19"/>
        <v>0</v>
      </c>
      <c r="AC80" s="110">
        <f t="shared" si="19"/>
        <v>0</v>
      </c>
      <c r="AD80" s="110">
        <f t="shared" si="19"/>
        <v>0</v>
      </c>
      <c r="AE80" s="110">
        <f t="shared" si="19"/>
        <v>0</v>
      </c>
      <c r="AF80" s="110">
        <f t="shared" si="19"/>
        <v>0</v>
      </c>
      <c r="AG80" s="111"/>
      <c r="AH80" s="52">
        <f>MAX(B80:AF80)</f>
        <v>0</v>
      </c>
      <c r="AI80" s="53">
        <f>MIN(B80:AF80)</f>
        <v>0</v>
      </c>
    </row>
    <row r="81" spans="1:37" ht="15.75" thickBot="1" x14ac:dyDescent="0.3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1"/>
      <c r="AH81" s="52"/>
      <c r="AI81" s="53"/>
    </row>
    <row r="82" spans="1:37" ht="15.75" thickBot="1" x14ac:dyDescent="0.3">
      <c r="A82" s="114" t="s">
        <v>88</v>
      </c>
      <c r="B82" s="115">
        <f>B11+B13+B17+B34+B36+B38+B40+B94+B108+B110+B121+B127+B130+B139+B143+B144+B147+B154+B159+B162+B163+B164+B172+B177+B83+B84+B85+B86+B99</f>
        <v>31.020000000000003</v>
      </c>
      <c r="C82" s="115">
        <f t="shared" ref="C82:AF82" si="20">C11+C13+C17+C34+C36+C38+C40+C94+C108+C110+C121+C127+C130+C139+C143+C144+C147+C154+C159+C162+C163+C164+C172+C177+C83+C84+C85+C86+C99</f>
        <v>31.020000000000003</v>
      </c>
      <c r="D82" s="115">
        <f t="shared" si="20"/>
        <v>31.020000000000003</v>
      </c>
      <c r="E82" s="115">
        <f t="shared" si="20"/>
        <v>31.020000000000003</v>
      </c>
      <c r="F82" s="115">
        <f t="shared" si="20"/>
        <v>31.020000000000003</v>
      </c>
      <c r="G82" s="115">
        <f t="shared" si="20"/>
        <v>31.020000000000003</v>
      </c>
      <c r="H82" s="115">
        <f t="shared" si="20"/>
        <v>31.020000000000003</v>
      </c>
      <c r="I82" s="115">
        <f t="shared" si="20"/>
        <v>28.42</v>
      </c>
      <c r="J82" s="115">
        <f t="shared" si="20"/>
        <v>28.42</v>
      </c>
      <c r="K82" s="115">
        <f t="shared" si="20"/>
        <v>28.42</v>
      </c>
      <c r="L82" s="115">
        <f t="shared" si="20"/>
        <v>28.42</v>
      </c>
      <c r="M82" s="115">
        <f t="shared" si="20"/>
        <v>28.42</v>
      </c>
      <c r="N82" s="115">
        <f t="shared" si="20"/>
        <v>28.42</v>
      </c>
      <c r="O82" s="115">
        <f t="shared" si="20"/>
        <v>28.42</v>
      </c>
      <c r="P82" s="115">
        <f t="shared" si="20"/>
        <v>28.42</v>
      </c>
      <c r="Q82" s="115">
        <f t="shared" si="20"/>
        <v>28.42</v>
      </c>
      <c r="R82" s="115">
        <f t="shared" si="20"/>
        <v>28.42</v>
      </c>
      <c r="S82" s="115">
        <f t="shared" si="20"/>
        <v>28.42</v>
      </c>
      <c r="T82" s="115">
        <f t="shared" si="20"/>
        <v>28.42</v>
      </c>
      <c r="U82" s="115">
        <f t="shared" si="20"/>
        <v>28.42</v>
      </c>
      <c r="V82" s="115">
        <f t="shared" si="20"/>
        <v>28.42</v>
      </c>
      <c r="W82" s="115">
        <f t="shared" si="20"/>
        <v>28.42</v>
      </c>
      <c r="X82" s="115">
        <f t="shared" si="20"/>
        <v>28.42</v>
      </c>
      <c r="Y82" s="115">
        <f t="shared" si="20"/>
        <v>28.42</v>
      </c>
      <c r="Z82" s="115">
        <f t="shared" si="20"/>
        <v>28.42</v>
      </c>
      <c r="AA82" s="115">
        <f t="shared" si="20"/>
        <v>28.42</v>
      </c>
      <c r="AB82" s="115">
        <f t="shared" si="20"/>
        <v>28.42</v>
      </c>
      <c r="AC82" s="115">
        <f t="shared" si="20"/>
        <v>28.42</v>
      </c>
      <c r="AD82" s="115">
        <f t="shared" si="20"/>
        <v>28.42</v>
      </c>
      <c r="AE82" s="115">
        <f t="shared" si="20"/>
        <v>28.42</v>
      </c>
      <c r="AF82" s="115">
        <f t="shared" si="20"/>
        <v>28.42</v>
      </c>
      <c r="AG82" s="116"/>
      <c r="AH82" s="52">
        <f>MAX(B82:AF82)</f>
        <v>31.020000000000003</v>
      </c>
      <c r="AI82" s="53">
        <f>MIN(B82:AF82)</f>
        <v>28.42</v>
      </c>
    </row>
    <row r="83" spans="1:37" x14ac:dyDescent="0.25">
      <c r="A83" s="117" t="s">
        <v>89</v>
      </c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50"/>
      <c r="AB83" s="50"/>
      <c r="AC83" s="50"/>
      <c r="AD83" s="50"/>
      <c r="AE83" s="50"/>
      <c r="AF83" s="119"/>
      <c r="AG83" s="120">
        <v>75</v>
      </c>
      <c r="AH83" s="52">
        <f>IF(ABS(MAX(B83:AF83))&gt;ABS(MIN(B83:AF83)),MAX(B83:AF83),MIN(B83:AF83))</f>
        <v>0</v>
      </c>
      <c r="AI83" s="121" t="e">
        <f>INDEX($B$9:$AF$9,1,MATCH(AH83,B83:AF83,0))</f>
        <v>#N/A</v>
      </c>
    </row>
    <row r="84" spans="1:37" x14ac:dyDescent="0.25">
      <c r="A84" s="122" t="s">
        <v>90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70"/>
      <c r="AB84" s="70"/>
      <c r="AC84" s="70"/>
      <c r="AD84" s="70"/>
      <c r="AE84" s="70"/>
      <c r="AF84" s="123"/>
      <c r="AG84" s="120">
        <v>240</v>
      </c>
      <c r="AH84" s="52">
        <f>IF(ABS(MAX(B84:AF84))&gt;ABS(MIN(B84:AF84)),MAX(B84:AF84),MIN(B84:AF84))</f>
        <v>0</v>
      </c>
      <c r="AI84" s="121" t="e">
        <f>INDEX($B$9:$AF$9,1,MATCH(AH84,B84:AF84,0))</f>
        <v>#N/A</v>
      </c>
    </row>
    <row r="85" spans="1:37" x14ac:dyDescent="0.25">
      <c r="A85" s="122" t="s">
        <v>91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70"/>
      <c r="AB85" s="70"/>
      <c r="AC85" s="70"/>
      <c r="AD85" s="70"/>
      <c r="AE85" s="70"/>
      <c r="AF85" s="123"/>
      <c r="AG85" s="120">
        <v>60</v>
      </c>
      <c r="AH85" s="52">
        <f>IF(ABS(MAX(B85:AF85))&gt;ABS(MIN(B85:AF85)),MAX(B85:AF85),MIN(B85:AF85))</f>
        <v>0</v>
      </c>
      <c r="AI85" s="121" t="e">
        <f>INDEX($B$9:$AF$9,1,MATCH(AH85,B85:AF85,0))</f>
        <v>#N/A</v>
      </c>
    </row>
    <row r="86" spans="1:37" x14ac:dyDescent="0.25">
      <c r="A86" s="124" t="s">
        <v>92</v>
      </c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125"/>
      <c r="AB86" s="125"/>
      <c r="AC86" s="125"/>
      <c r="AD86" s="125"/>
      <c r="AE86" s="125"/>
      <c r="AF86" s="126"/>
      <c r="AG86" s="127">
        <v>120</v>
      </c>
      <c r="AH86" s="52">
        <f>IF(ABS(MAX(B86:AF86))&gt;ABS(MIN(B86:AF86)),MAX(B86:AF86),MIN(B86:AF86))</f>
        <v>0</v>
      </c>
      <c r="AI86" s="121" t="e">
        <f>INDEX($B$9:$AF$9,1,MATCH(AH86,B86:AF86,0))</f>
        <v>#N/A</v>
      </c>
    </row>
    <row r="87" spans="1:37" ht="15.75" thickBot="1" x14ac:dyDescent="0.3">
      <c r="A87" s="124" t="s">
        <v>93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125"/>
      <c r="AB87" s="125"/>
      <c r="AC87" s="125"/>
      <c r="AD87" s="125"/>
      <c r="AE87" s="125"/>
      <c r="AF87" s="126"/>
      <c r="AG87" s="127"/>
      <c r="AH87" s="52"/>
      <c r="AI87" s="121"/>
    </row>
    <row r="88" spans="1:37" ht="15.75" thickBot="1" x14ac:dyDescent="0.3">
      <c r="A88" s="128" t="s">
        <v>94</v>
      </c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30"/>
      <c r="AH88" s="131"/>
      <c r="AI88" s="53"/>
    </row>
    <row r="89" spans="1:37" x14ac:dyDescent="0.25">
      <c r="A89" s="132" t="s">
        <v>95</v>
      </c>
      <c r="B89" s="51">
        <v>9.9</v>
      </c>
      <c r="C89" s="133">
        <f t="shared" ref="C89:R104" si="21">B89</f>
        <v>9.9</v>
      </c>
      <c r="D89" s="133">
        <f t="shared" si="21"/>
        <v>9.9</v>
      </c>
      <c r="E89" s="133">
        <f t="shared" si="21"/>
        <v>9.9</v>
      </c>
      <c r="F89" s="133">
        <f t="shared" si="21"/>
        <v>9.9</v>
      </c>
      <c r="G89" s="133">
        <f t="shared" si="21"/>
        <v>9.9</v>
      </c>
      <c r="H89" s="133">
        <f t="shared" si="21"/>
        <v>9.9</v>
      </c>
      <c r="I89" s="133">
        <f t="shared" si="21"/>
        <v>9.9</v>
      </c>
      <c r="J89" s="133">
        <f t="shared" si="21"/>
        <v>9.9</v>
      </c>
      <c r="K89" s="133">
        <f t="shared" si="21"/>
        <v>9.9</v>
      </c>
      <c r="L89" s="133">
        <f t="shared" si="21"/>
        <v>9.9</v>
      </c>
      <c r="M89" s="133">
        <f t="shared" si="21"/>
        <v>9.9</v>
      </c>
      <c r="N89" s="133">
        <f t="shared" si="21"/>
        <v>9.9</v>
      </c>
      <c r="O89" s="133">
        <f t="shared" si="21"/>
        <v>9.9</v>
      </c>
      <c r="P89" s="133">
        <f t="shared" si="21"/>
        <v>9.9</v>
      </c>
      <c r="Q89" s="133">
        <f t="shared" si="21"/>
        <v>9.9</v>
      </c>
      <c r="R89" s="133">
        <f t="shared" si="21"/>
        <v>9.9</v>
      </c>
      <c r="S89" s="133">
        <f t="shared" ref="S89:AF104" si="22">R89</f>
        <v>9.9</v>
      </c>
      <c r="T89" s="133">
        <f t="shared" si="22"/>
        <v>9.9</v>
      </c>
      <c r="U89" s="133">
        <f t="shared" si="22"/>
        <v>9.9</v>
      </c>
      <c r="V89" s="133">
        <f t="shared" si="22"/>
        <v>9.9</v>
      </c>
      <c r="W89" s="133">
        <f t="shared" si="22"/>
        <v>9.9</v>
      </c>
      <c r="X89" s="133">
        <f t="shared" si="22"/>
        <v>9.9</v>
      </c>
      <c r="Y89" s="133">
        <f t="shared" si="22"/>
        <v>9.9</v>
      </c>
      <c r="Z89" s="133">
        <f t="shared" si="22"/>
        <v>9.9</v>
      </c>
      <c r="AA89" s="133">
        <f t="shared" si="22"/>
        <v>9.9</v>
      </c>
      <c r="AB89" s="133">
        <f t="shared" si="22"/>
        <v>9.9</v>
      </c>
      <c r="AC89" s="133">
        <f t="shared" si="22"/>
        <v>9.9</v>
      </c>
      <c r="AD89" s="133">
        <f t="shared" si="22"/>
        <v>9.9</v>
      </c>
      <c r="AE89" s="133">
        <f t="shared" si="22"/>
        <v>9.9</v>
      </c>
      <c r="AF89" s="133">
        <f t="shared" si="22"/>
        <v>9.9</v>
      </c>
      <c r="AG89" s="134">
        <v>9.9</v>
      </c>
      <c r="AH89" s="52"/>
      <c r="AI89" s="53"/>
      <c r="AK89" s="54"/>
    </row>
    <row r="90" spans="1:37" x14ac:dyDescent="0.25">
      <c r="A90" s="122" t="s">
        <v>96</v>
      </c>
      <c r="B90" s="135">
        <v>9.6</v>
      </c>
      <c r="C90" s="136">
        <f t="shared" si="21"/>
        <v>9.6</v>
      </c>
      <c r="D90" s="136">
        <f t="shared" si="21"/>
        <v>9.6</v>
      </c>
      <c r="E90" s="136">
        <f t="shared" si="21"/>
        <v>9.6</v>
      </c>
      <c r="F90" s="136">
        <f t="shared" si="21"/>
        <v>9.6</v>
      </c>
      <c r="G90" s="136">
        <f t="shared" si="21"/>
        <v>9.6</v>
      </c>
      <c r="H90" s="136">
        <f t="shared" si="21"/>
        <v>9.6</v>
      </c>
      <c r="I90" s="136">
        <f t="shared" si="21"/>
        <v>9.6</v>
      </c>
      <c r="J90" s="136">
        <f t="shared" si="21"/>
        <v>9.6</v>
      </c>
      <c r="K90" s="136">
        <f t="shared" si="21"/>
        <v>9.6</v>
      </c>
      <c r="L90" s="136">
        <f t="shared" si="21"/>
        <v>9.6</v>
      </c>
      <c r="M90" s="136">
        <f t="shared" si="21"/>
        <v>9.6</v>
      </c>
      <c r="N90" s="136">
        <f t="shared" si="21"/>
        <v>9.6</v>
      </c>
      <c r="O90" s="136">
        <f t="shared" si="21"/>
        <v>9.6</v>
      </c>
      <c r="P90" s="136">
        <f t="shared" si="21"/>
        <v>9.6</v>
      </c>
      <c r="Q90" s="136">
        <f t="shared" si="21"/>
        <v>9.6</v>
      </c>
      <c r="R90" s="136">
        <f t="shared" si="21"/>
        <v>9.6</v>
      </c>
      <c r="S90" s="136">
        <f t="shared" si="22"/>
        <v>9.6</v>
      </c>
      <c r="T90" s="136">
        <f t="shared" si="22"/>
        <v>9.6</v>
      </c>
      <c r="U90" s="136">
        <f t="shared" si="22"/>
        <v>9.6</v>
      </c>
      <c r="V90" s="136">
        <f t="shared" si="22"/>
        <v>9.6</v>
      </c>
      <c r="W90" s="136">
        <f t="shared" si="22"/>
        <v>9.6</v>
      </c>
      <c r="X90" s="136">
        <f t="shared" si="22"/>
        <v>9.6</v>
      </c>
      <c r="Y90" s="136">
        <f t="shared" si="22"/>
        <v>9.6</v>
      </c>
      <c r="Z90" s="136">
        <f t="shared" si="22"/>
        <v>9.6</v>
      </c>
      <c r="AA90" s="136">
        <f t="shared" si="22"/>
        <v>9.6</v>
      </c>
      <c r="AB90" s="136">
        <f t="shared" si="22"/>
        <v>9.6</v>
      </c>
      <c r="AC90" s="136">
        <f t="shared" si="22"/>
        <v>9.6</v>
      </c>
      <c r="AD90" s="136">
        <f t="shared" si="22"/>
        <v>9.6</v>
      </c>
      <c r="AE90" s="136">
        <f t="shared" si="22"/>
        <v>9.6</v>
      </c>
      <c r="AF90" s="136">
        <f t="shared" si="22"/>
        <v>9.6</v>
      </c>
      <c r="AG90" s="137">
        <v>9.6579999999999995</v>
      </c>
      <c r="AH90" s="52"/>
      <c r="AI90" s="53"/>
      <c r="AK90" s="54"/>
    </row>
    <row r="91" spans="1:37" x14ac:dyDescent="0.25">
      <c r="A91" s="124" t="s">
        <v>97</v>
      </c>
      <c r="B91" s="135">
        <v>9.98</v>
      </c>
      <c r="C91" s="136">
        <f t="shared" si="21"/>
        <v>9.98</v>
      </c>
      <c r="D91" s="136">
        <f t="shared" si="21"/>
        <v>9.98</v>
      </c>
      <c r="E91" s="136">
        <f t="shared" si="21"/>
        <v>9.98</v>
      </c>
      <c r="F91" s="136">
        <f t="shared" si="21"/>
        <v>9.98</v>
      </c>
      <c r="G91" s="136">
        <f t="shared" si="21"/>
        <v>9.98</v>
      </c>
      <c r="H91" s="136">
        <f t="shared" si="21"/>
        <v>9.98</v>
      </c>
      <c r="I91" s="136">
        <f t="shared" si="21"/>
        <v>9.98</v>
      </c>
      <c r="J91" s="136">
        <f t="shared" si="21"/>
        <v>9.98</v>
      </c>
      <c r="K91" s="136">
        <f t="shared" si="21"/>
        <v>9.98</v>
      </c>
      <c r="L91" s="136">
        <f t="shared" si="21"/>
        <v>9.98</v>
      </c>
      <c r="M91" s="136">
        <f t="shared" si="21"/>
        <v>9.98</v>
      </c>
      <c r="N91" s="136">
        <f t="shared" si="21"/>
        <v>9.98</v>
      </c>
      <c r="O91" s="136">
        <f t="shared" si="21"/>
        <v>9.98</v>
      </c>
      <c r="P91" s="136">
        <f t="shared" si="21"/>
        <v>9.98</v>
      </c>
      <c r="Q91" s="136">
        <f t="shared" si="21"/>
        <v>9.98</v>
      </c>
      <c r="R91" s="136">
        <f t="shared" si="21"/>
        <v>9.98</v>
      </c>
      <c r="S91" s="136">
        <f t="shared" si="22"/>
        <v>9.98</v>
      </c>
      <c r="T91" s="136">
        <f t="shared" si="22"/>
        <v>9.98</v>
      </c>
      <c r="U91" s="136">
        <f t="shared" si="22"/>
        <v>9.98</v>
      </c>
      <c r="V91" s="136">
        <f t="shared" si="22"/>
        <v>9.98</v>
      </c>
      <c r="W91" s="136">
        <f t="shared" si="22"/>
        <v>9.98</v>
      </c>
      <c r="X91" s="136">
        <f t="shared" si="22"/>
        <v>9.98</v>
      </c>
      <c r="Y91" s="136">
        <f t="shared" si="22"/>
        <v>9.98</v>
      </c>
      <c r="Z91" s="136">
        <f t="shared" si="22"/>
        <v>9.98</v>
      </c>
      <c r="AA91" s="136">
        <f t="shared" si="22"/>
        <v>9.98</v>
      </c>
      <c r="AB91" s="136">
        <f t="shared" si="22"/>
        <v>9.98</v>
      </c>
      <c r="AC91" s="136">
        <f t="shared" si="22"/>
        <v>9.98</v>
      </c>
      <c r="AD91" s="136">
        <f t="shared" si="22"/>
        <v>9.98</v>
      </c>
      <c r="AE91" s="136">
        <f t="shared" si="22"/>
        <v>9.98</v>
      </c>
      <c r="AF91" s="136">
        <f t="shared" si="22"/>
        <v>9.98</v>
      </c>
      <c r="AG91" s="138">
        <v>9.6</v>
      </c>
      <c r="AH91" s="52"/>
      <c r="AI91" s="53"/>
      <c r="AK91" s="54"/>
    </row>
    <row r="92" spans="1:37" x14ac:dyDescent="0.25">
      <c r="A92" s="124" t="s">
        <v>98</v>
      </c>
      <c r="B92" s="135">
        <v>9.1</v>
      </c>
      <c r="C92" s="136">
        <f t="shared" si="21"/>
        <v>9.1</v>
      </c>
      <c r="D92" s="136">
        <f t="shared" si="21"/>
        <v>9.1</v>
      </c>
      <c r="E92" s="136">
        <f t="shared" si="21"/>
        <v>9.1</v>
      </c>
      <c r="F92" s="136">
        <f t="shared" si="21"/>
        <v>9.1</v>
      </c>
      <c r="G92" s="136">
        <f t="shared" si="21"/>
        <v>9.1</v>
      </c>
      <c r="H92" s="136">
        <f t="shared" si="21"/>
        <v>9.1</v>
      </c>
      <c r="I92" s="136">
        <f t="shared" si="21"/>
        <v>9.1</v>
      </c>
      <c r="J92" s="136">
        <f t="shared" si="21"/>
        <v>9.1</v>
      </c>
      <c r="K92" s="136">
        <f t="shared" si="21"/>
        <v>9.1</v>
      </c>
      <c r="L92" s="136">
        <f t="shared" si="21"/>
        <v>9.1</v>
      </c>
      <c r="M92" s="136">
        <f t="shared" si="21"/>
        <v>9.1</v>
      </c>
      <c r="N92" s="136">
        <f t="shared" si="21"/>
        <v>9.1</v>
      </c>
      <c r="O92" s="136">
        <f t="shared" si="21"/>
        <v>9.1</v>
      </c>
      <c r="P92" s="136">
        <f t="shared" si="21"/>
        <v>9.1</v>
      </c>
      <c r="Q92" s="136">
        <f t="shared" si="21"/>
        <v>9.1</v>
      </c>
      <c r="R92" s="136">
        <f t="shared" si="21"/>
        <v>9.1</v>
      </c>
      <c r="S92" s="136">
        <f t="shared" si="22"/>
        <v>9.1</v>
      </c>
      <c r="T92" s="136">
        <f t="shared" si="22"/>
        <v>9.1</v>
      </c>
      <c r="U92" s="136">
        <f t="shared" si="22"/>
        <v>9.1</v>
      </c>
      <c r="V92" s="136">
        <f t="shared" si="22"/>
        <v>9.1</v>
      </c>
      <c r="W92" s="136">
        <f t="shared" si="22"/>
        <v>9.1</v>
      </c>
      <c r="X92" s="136">
        <f t="shared" si="22"/>
        <v>9.1</v>
      </c>
      <c r="Y92" s="136">
        <f t="shared" si="22"/>
        <v>9.1</v>
      </c>
      <c r="Z92" s="136">
        <f t="shared" si="22"/>
        <v>9.1</v>
      </c>
      <c r="AA92" s="136">
        <f t="shared" si="22"/>
        <v>9.1</v>
      </c>
      <c r="AB92" s="136">
        <f t="shared" si="22"/>
        <v>9.1</v>
      </c>
      <c r="AC92" s="136">
        <f t="shared" si="22"/>
        <v>9.1</v>
      </c>
      <c r="AD92" s="136">
        <f t="shared" si="22"/>
        <v>9.1</v>
      </c>
      <c r="AE92" s="136">
        <f t="shared" si="22"/>
        <v>9.1</v>
      </c>
      <c r="AF92" s="136">
        <f t="shared" si="22"/>
        <v>9.1</v>
      </c>
      <c r="AG92" s="138">
        <v>9.4</v>
      </c>
      <c r="AH92" s="52"/>
      <c r="AI92" s="53"/>
      <c r="AK92" s="54"/>
    </row>
    <row r="93" spans="1:37" x14ac:dyDescent="0.25">
      <c r="A93" s="122" t="s">
        <v>99</v>
      </c>
      <c r="B93" s="135">
        <v>9.18</v>
      </c>
      <c r="C93" s="136">
        <f t="shared" si="21"/>
        <v>9.18</v>
      </c>
      <c r="D93" s="136">
        <f t="shared" si="21"/>
        <v>9.18</v>
      </c>
      <c r="E93" s="136">
        <f t="shared" si="21"/>
        <v>9.18</v>
      </c>
      <c r="F93" s="136">
        <f t="shared" si="21"/>
        <v>9.18</v>
      </c>
      <c r="G93" s="136">
        <f t="shared" si="21"/>
        <v>9.18</v>
      </c>
      <c r="H93" s="136">
        <f t="shared" si="21"/>
        <v>9.18</v>
      </c>
      <c r="I93" s="136">
        <f t="shared" si="21"/>
        <v>9.18</v>
      </c>
      <c r="J93" s="136">
        <f t="shared" si="21"/>
        <v>9.18</v>
      </c>
      <c r="K93" s="136">
        <f t="shared" si="21"/>
        <v>9.18</v>
      </c>
      <c r="L93" s="136">
        <f t="shared" si="21"/>
        <v>9.18</v>
      </c>
      <c r="M93" s="136">
        <f t="shared" si="21"/>
        <v>9.18</v>
      </c>
      <c r="N93" s="136">
        <f t="shared" si="21"/>
        <v>9.18</v>
      </c>
      <c r="O93" s="136">
        <f t="shared" si="21"/>
        <v>9.18</v>
      </c>
      <c r="P93" s="136">
        <f t="shared" si="21"/>
        <v>9.18</v>
      </c>
      <c r="Q93" s="136">
        <f t="shared" si="21"/>
        <v>9.18</v>
      </c>
      <c r="R93" s="136">
        <f t="shared" si="21"/>
        <v>9.18</v>
      </c>
      <c r="S93" s="136">
        <f t="shared" si="22"/>
        <v>9.18</v>
      </c>
      <c r="T93" s="136">
        <f t="shared" si="22"/>
        <v>9.18</v>
      </c>
      <c r="U93" s="136">
        <f t="shared" si="22"/>
        <v>9.18</v>
      </c>
      <c r="V93" s="136">
        <f t="shared" si="22"/>
        <v>9.18</v>
      </c>
      <c r="W93" s="136">
        <f t="shared" si="22"/>
        <v>9.18</v>
      </c>
      <c r="X93" s="136">
        <f t="shared" si="22"/>
        <v>9.18</v>
      </c>
      <c r="Y93" s="136">
        <f t="shared" si="22"/>
        <v>9.18</v>
      </c>
      <c r="Z93" s="136">
        <f t="shared" si="22"/>
        <v>9.18</v>
      </c>
      <c r="AA93" s="136">
        <f t="shared" si="22"/>
        <v>9.18</v>
      </c>
      <c r="AB93" s="136">
        <f t="shared" si="22"/>
        <v>9.18</v>
      </c>
      <c r="AC93" s="136">
        <f t="shared" si="22"/>
        <v>9.18</v>
      </c>
      <c r="AD93" s="136">
        <f t="shared" si="22"/>
        <v>9.18</v>
      </c>
      <c r="AE93" s="136">
        <f t="shared" si="22"/>
        <v>9.18</v>
      </c>
      <c r="AF93" s="136">
        <f t="shared" si="22"/>
        <v>9.18</v>
      </c>
      <c r="AG93" s="137">
        <v>8.8000000000000007</v>
      </c>
      <c r="AH93" s="52"/>
      <c r="AI93" s="53"/>
      <c r="AK93" s="54"/>
    </row>
    <row r="94" spans="1:37" x14ac:dyDescent="0.25">
      <c r="A94" s="124" t="s">
        <v>100</v>
      </c>
      <c r="B94" s="135">
        <v>7</v>
      </c>
      <c r="C94" s="136">
        <f t="shared" si="21"/>
        <v>7</v>
      </c>
      <c r="D94" s="136">
        <f t="shared" si="21"/>
        <v>7</v>
      </c>
      <c r="E94" s="136">
        <f t="shared" si="21"/>
        <v>7</v>
      </c>
      <c r="F94" s="136">
        <f t="shared" si="21"/>
        <v>7</v>
      </c>
      <c r="G94" s="136">
        <f t="shared" si="21"/>
        <v>7</v>
      </c>
      <c r="H94" s="136">
        <f t="shared" si="21"/>
        <v>7</v>
      </c>
      <c r="I94" s="136">
        <f t="shared" si="21"/>
        <v>7</v>
      </c>
      <c r="J94" s="136">
        <f t="shared" si="21"/>
        <v>7</v>
      </c>
      <c r="K94" s="136">
        <f t="shared" si="21"/>
        <v>7</v>
      </c>
      <c r="L94" s="136">
        <f t="shared" si="21"/>
        <v>7</v>
      </c>
      <c r="M94" s="136">
        <f t="shared" si="21"/>
        <v>7</v>
      </c>
      <c r="N94" s="136">
        <f t="shared" si="21"/>
        <v>7</v>
      </c>
      <c r="O94" s="136">
        <f t="shared" si="21"/>
        <v>7</v>
      </c>
      <c r="P94" s="136">
        <f t="shared" si="21"/>
        <v>7</v>
      </c>
      <c r="Q94" s="136">
        <f t="shared" si="21"/>
        <v>7</v>
      </c>
      <c r="R94" s="136">
        <f t="shared" si="21"/>
        <v>7</v>
      </c>
      <c r="S94" s="136">
        <f t="shared" si="22"/>
        <v>7</v>
      </c>
      <c r="T94" s="136">
        <f t="shared" si="22"/>
        <v>7</v>
      </c>
      <c r="U94" s="136">
        <f t="shared" si="22"/>
        <v>7</v>
      </c>
      <c r="V94" s="136">
        <f t="shared" si="22"/>
        <v>7</v>
      </c>
      <c r="W94" s="136">
        <f t="shared" si="22"/>
        <v>7</v>
      </c>
      <c r="X94" s="136">
        <f t="shared" si="22"/>
        <v>7</v>
      </c>
      <c r="Y94" s="136">
        <f t="shared" si="22"/>
        <v>7</v>
      </c>
      <c r="Z94" s="136">
        <f t="shared" si="22"/>
        <v>7</v>
      </c>
      <c r="AA94" s="136">
        <f t="shared" si="22"/>
        <v>7</v>
      </c>
      <c r="AB94" s="136">
        <f t="shared" si="22"/>
        <v>7</v>
      </c>
      <c r="AC94" s="136">
        <f t="shared" si="22"/>
        <v>7</v>
      </c>
      <c r="AD94" s="136">
        <f t="shared" si="22"/>
        <v>7</v>
      </c>
      <c r="AE94" s="136">
        <f t="shared" si="22"/>
        <v>7</v>
      </c>
      <c r="AF94" s="136">
        <f t="shared" si="22"/>
        <v>7</v>
      </c>
      <c r="AG94" s="138">
        <v>8.5</v>
      </c>
      <c r="AH94" s="52"/>
      <c r="AI94" s="53"/>
      <c r="AK94" s="54"/>
    </row>
    <row r="95" spans="1:37" x14ac:dyDescent="0.25">
      <c r="A95" s="124" t="s">
        <v>101</v>
      </c>
      <c r="B95" s="135">
        <v>2.25</v>
      </c>
      <c r="C95" s="136">
        <f t="shared" si="21"/>
        <v>2.25</v>
      </c>
      <c r="D95" s="136">
        <f t="shared" si="21"/>
        <v>2.25</v>
      </c>
      <c r="E95" s="136">
        <f t="shared" si="21"/>
        <v>2.25</v>
      </c>
      <c r="F95" s="136">
        <f t="shared" si="21"/>
        <v>2.25</v>
      </c>
      <c r="G95" s="136">
        <f t="shared" si="21"/>
        <v>2.25</v>
      </c>
      <c r="H95" s="136">
        <f t="shared" si="21"/>
        <v>2.25</v>
      </c>
      <c r="I95" s="136">
        <f t="shared" si="21"/>
        <v>2.25</v>
      </c>
      <c r="J95" s="136">
        <f t="shared" si="21"/>
        <v>2.25</v>
      </c>
      <c r="K95" s="136">
        <f t="shared" si="21"/>
        <v>2.25</v>
      </c>
      <c r="L95" s="136">
        <f t="shared" si="21"/>
        <v>2.25</v>
      </c>
      <c r="M95" s="136">
        <f t="shared" si="21"/>
        <v>2.25</v>
      </c>
      <c r="N95" s="136">
        <f t="shared" si="21"/>
        <v>2.25</v>
      </c>
      <c r="O95" s="136">
        <f t="shared" si="21"/>
        <v>2.25</v>
      </c>
      <c r="P95" s="136">
        <f t="shared" si="21"/>
        <v>2.25</v>
      </c>
      <c r="Q95" s="136">
        <f t="shared" si="21"/>
        <v>2.25</v>
      </c>
      <c r="R95" s="136">
        <f t="shared" si="21"/>
        <v>2.25</v>
      </c>
      <c r="S95" s="136">
        <f t="shared" si="22"/>
        <v>2.25</v>
      </c>
      <c r="T95" s="136">
        <f t="shared" si="22"/>
        <v>2.25</v>
      </c>
      <c r="U95" s="136">
        <f t="shared" si="22"/>
        <v>2.25</v>
      </c>
      <c r="V95" s="136">
        <f t="shared" si="22"/>
        <v>2.25</v>
      </c>
      <c r="W95" s="136">
        <f t="shared" si="22"/>
        <v>2.25</v>
      </c>
      <c r="X95" s="136">
        <f t="shared" si="22"/>
        <v>2.25</v>
      </c>
      <c r="Y95" s="136">
        <f t="shared" si="22"/>
        <v>2.25</v>
      </c>
      <c r="Z95" s="136">
        <f t="shared" si="22"/>
        <v>2.25</v>
      </c>
      <c r="AA95" s="136">
        <f t="shared" si="22"/>
        <v>2.25</v>
      </c>
      <c r="AB95" s="136">
        <f t="shared" si="22"/>
        <v>2.25</v>
      </c>
      <c r="AC95" s="136">
        <f t="shared" si="22"/>
        <v>2.25</v>
      </c>
      <c r="AD95" s="136">
        <f t="shared" si="22"/>
        <v>2.25</v>
      </c>
      <c r="AE95" s="136">
        <f t="shared" si="22"/>
        <v>2.25</v>
      </c>
      <c r="AF95" s="136">
        <f t="shared" si="22"/>
        <v>2.25</v>
      </c>
      <c r="AG95" s="138">
        <v>8.4</v>
      </c>
      <c r="AH95" s="52"/>
      <c r="AI95" s="53"/>
      <c r="AK95" s="54"/>
    </row>
    <row r="96" spans="1:37" x14ac:dyDescent="0.25">
      <c r="A96" s="124" t="s">
        <v>102</v>
      </c>
      <c r="B96" s="135">
        <v>1.64</v>
      </c>
      <c r="C96" s="136">
        <f t="shared" si="21"/>
        <v>1.64</v>
      </c>
      <c r="D96" s="136">
        <f t="shared" si="21"/>
        <v>1.64</v>
      </c>
      <c r="E96" s="136">
        <f t="shared" si="21"/>
        <v>1.64</v>
      </c>
      <c r="F96" s="136">
        <f t="shared" si="21"/>
        <v>1.64</v>
      </c>
      <c r="G96" s="136">
        <f t="shared" si="21"/>
        <v>1.64</v>
      </c>
      <c r="H96" s="136">
        <f t="shared" si="21"/>
        <v>1.64</v>
      </c>
      <c r="I96" s="136">
        <f t="shared" si="21"/>
        <v>1.64</v>
      </c>
      <c r="J96" s="136">
        <f t="shared" si="21"/>
        <v>1.64</v>
      </c>
      <c r="K96" s="136">
        <f t="shared" si="21"/>
        <v>1.64</v>
      </c>
      <c r="L96" s="136">
        <f t="shared" si="21"/>
        <v>1.64</v>
      </c>
      <c r="M96" s="136">
        <f t="shared" si="21"/>
        <v>1.64</v>
      </c>
      <c r="N96" s="136">
        <f t="shared" si="21"/>
        <v>1.64</v>
      </c>
      <c r="O96" s="136">
        <f t="shared" si="21"/>
        <v>1.64</v>
      </c>
      <c r="P96" s="136">
        <f t="shared" si="21"/>
        <v>1.64</v>
      </c>
      <c r="Q96" s="136">
        <f t="shared" si="21"/>
        <v>1.64</v>
      </c>
      <c r="R96" s="136">
        <f t="shared" si="21"/>
        <v>1.64</v>
      </c>
      <c r="S96" s="136">
        <f t="shared" si="22"/>
        <v>1.64</v>
      </c>
      <c r="T96" s="136">
        <f t="shared" si="22"/>
        <v>1.64</v>
      </c>
      <c r="U96" s="136">
        <f t="shared" si="22"/>
        <v>1.64</v>
      </c>
      <c r="V96" s="136">
        <f t="shared" si="22"/>
        <v>1.64</v>
      </c>
      <c r="W96" s="136">
        <f t="shared" si="22"/>
        <v>1.64</v>
      </c>
      <c r="X96" s="136">
        <f t="shared" si="22"/>
        <v>1.64</v>
      </c>
      <c r="Y96" s="136">
        <f t="shared" si="22"/>
        <v>1.64</v>
      </c>
      <c r="Z96" s="136">
        <f t="shared" si="22"/>
        <v>1.64</v>
      </c>
      <c r="AA96" s="136">
        <f t="shared" si="22"/>
        <v>1.64</v>
      </c>
      <c r="AB96" s="136">
        <f t="shared" si="22"/>
        <v>1.64</v>
      </c>
      <c r="AC96" s="136">
        <f t="shared" si="22"/>
        <v>1.64</v>
      </c>
      <c r="AD96" s="136">
        <f t="shared" si="22"/>
        <v>1.64</v>
      </c>
      <c r="AE96" s="136">
        <f t="shared" si="22"/>
        <v>1.64</v>
      </c>
      <c r="AF96" s="136">
        <f t="shared" si="22"/>
        <v>1.64</v>
      </c>
      <c r="AG96" s="138">
        <v>8</v>
      </c>
      <c r="AH96" s="52"/>
      <c r="AI96" s="53"/>
      <c r="AK96" s="54"/>
    </row>
    <row r="97" spans="1:37" x14ac:dyDescent="0.25">
      <c r="A97" s="124" t="s">
        <v>103</v>
      </c>
      <c r="B97" s="135">
        <v>1.62</v>
      </c>
      <c r="C97" s="136">
        <f t="shared" si="21"/>
        <v>1.62</v>
      </c>
      <c r="D97" s="136">
        <f t="shared" si="21"/>
        <v>1.62</v>
      </c>
      <c r="E97" s="136">
        <f t="shared" si="21"/>
        <v>1.62</v>
      </c>
      <c r="F97" s="136">
        <f t="shared" si="21"/>
        <v>1.62</v>
      </c>
      <c r="G97" s="136">
        <f t="shared" si="21"/>
        <v>1.62</v>
      </c>
      <c r="H97" s="136">
        <f t="shared" si="21"/>
        <v>1.62</v>
      </c>
      <c r="I97" s="136">
        <f t="shared" si="21"/>
        <v>1.62</v>
      </c>
      <c r="J97" s="136">
        <f t="shared" si="21"/>
        <v>1.62</v>
      </c>
      <c r="K97" s="136">
        <f t="shared" si="21"/>
        <v>1.62</v>
      </c>
      <c r="L97" s="136">
        <f t="shared" si="21"/>
        <v>1.62</v>
      </c>
      <c r="M97" s="136">
        <f t="shared" si="21"/>
        <v>1.62</v>
      </c>
      <c r="N97" s="136">
        <f t="shared" si="21"/>
        <v>1.62</v>
      </c>
      <c r="O97" s="136">
        <f t="shared" si="21"/>
        <v>1.62</v>
      </c>
      <c r="P97" s="136">
        <f t="shared" si="21"/>
        <v>1.62</v>
      </c>
      <c r="Q97" s="136">
        <f t="shared" si="21"/>
        <v>1.62</v>
      </c>
      <c r="R97" s="136">
        <f t="shared" si="21"/>
        <v>1.62</v>
      </c>
      <c r="S97" s="136">
        <f t="shared" si="22"/>
        <v>1.62</v>
      </c>
      <c r="T97" s="136">
        <f t="shared" si="22"/>
        <v>1.62</v>
      </c>
      <c r="U97" s="136">
        <f t="shared" si="22"/>
        <v>1.62</v>
      </c>
      <c r="V97" s="136">
        <f t="shared" si="22"/>
        <v>1.62</v>
      </c>
      <c r="W97" s="136">
        <f t="shared" si="22"/>
        <v>1.62</v>
      </c>
      <c r="X97" s="136">
        <f t="shared" si="22"/>
        <v>1.62</v>
      </c>
      <c r="Y97" s="136">
        <f t="shared" si="22"/>
        <v>1.62</v>
      </c>
      <c r="Z97" s="136">
        <f t="shared" si="22"/>
        <v>1.62</v>
      </c>
      <c r="AA97" s="136">
        <f t="shared" si="22"/>
        <v>1.62</v>
      </c>
      <c r="AB97" s="136">
        <f t="shared" si="22"/>
        <v>1.62</v>
      </c>
      <c r="AC97" s="136">
        <f t="shared" si="22"/>
        <v>1.62</v>
      </c>
      <c r="AD97" s="136">
        <f t="shared" si="22"/>
        <v>1.62</v>
      </c>
      <c r="AE97" s="136">
        <f t="shared" si="22"/>
        <v>1.62</v>
      </c>
      <c r="AF97" s="136">
        <f t="shared" si="22"/>
        <v>1.62</v>
      </c>
      <c r="AG97" s="138">
        <v>8</v>
      </c>
      <c r="AH97" s="52"/>
      <c r="AI97" s="53"/>
      <c r="AK97" s="54"/>
    </row>
    <row r="98" spans="1:37" x14ac:dyDescent="0.25">
      <c r="A98" s="124" t="s">
        <v>104</v>
      </c>
      <c r="B98" s="135">
        <v>8.36</v>
      </c>
      <c r="C98" s="136">
        <f t="shared" si="21"/>
        <v>8.36</v>
      </c>
      <c r="D98" s="136">
        <f t="shared" si="21"/>
        <v>8.36</v>
      </c>
      <c r="E98" s="136">
        <f t="shared" si="21"/>
        <v>8.36</v>
      </c>
      <c r="F98" s="136">
        <f t="shared" si="21"/>
        <v>8.36</v>
      </c>
      <c r="G98" s="136">
        <f t="shared" si="21"/>
        <v>8.36</v>
      </c>
      <c r="H98" s="136">
        <f t="shared" si="21"/>
        <v>8.36</v>
      </c>
      <c r="I98" s="136">
        <f t="shared" si="21"/>
        <v>8.36</v>
      </c>
      <c r="J98" s="136">
        <f t="shared" si="21"/>
        <v>8.36</v>
      </c>
      <c r="K98" s="136">
        <f t="shared" si="21"/>
        <v>8.36</v>
      </c>
      <c r="L98" s="136">
        <f t="shared" si="21"/>
        <v>8.36</v>
      </c>
      <c r="M98" s="136">
        <f t="shared" si="21"/>
        <v>8.36</v>
      </c>
      <c r="N98" s="136">
        <f t="shared" si="21"/>
        <v>8.36</v>
      </c>
      <c r="O98" s="136">
        <f t="shared" si="21"/>
        <v>8.36</v>
      </c>
      <c r="P98" s="136">
        <f t="shared" si="21"/>
        <v>8.36</v>
      </c>
      <c r="Q98" s="136">
        <f t="shared" si="21"/>
        <v>8.36</v>
      </c>
      <c r="R98" s="136">
        <f t="shared" si="21"/>
        <v>8.36</v>
      </c>
      <c r="S98" s="136">
        <f t="shared" si="22"/>
        <v>8.36</v>
      </c>
      <c r="T98" s="136">
        <f t="shared" si="22"/>
        <v>8.36</v>
      </c>
      <c r="U98" s="136">
        <f t="shared" si="22"/>
        <v>8.36</v>
      </c>
      <c r="V98" s="136">
        <f t="shared" si="22"/>
        <v>8.36</v>
      </c>
      <c r="W98" s="136">
        <f t="shared" si="22"/>
        <v>8.36</v>
      </c>
      <c r="X98" s="136">
        <f t="shared" si="22"/>
        <v>8.36</v>
      </c>
      <c r="Y98" s="136">
        <f t="shared" si="22"/>
        <v>8.36</v>
      </c>
      <c r="Z98" s="136">
        <f t="shared" si="22"/>
        <v>8.36</v>
      </c>
      <c r="AA98" s="136">
        <f t="shared" si="22"/>
        <v>8.36</v>
      </c>
      <c r="AB98" s="136">
        <f t="shared" si="22"/>
        <v>8.36</v>
      </c>
      <c r="AC98" s="136">
        <f t="shared" si="22"/>
        <v>8.36</v>
      </c>
      <c r="AD98" s="136">
        <f t="shared" si="22"/>
        <v>8.36</v>
      </c>
      <c r="AE98" s="136">
        <f t="shared" si="22"/>
        <v>8.36</v>
      </c>
      <c r="AF98" s="136">
        <f t="shared" si="22"/>
        <v>8.36</v>
      </c>
      <c r="AG98" s="138">
        <v>7.8</v>
      </c>
      <c r="AH98" s="52"/>
      <c r="AI98" s="53"/>
      <c r="AK98" s="54"/>
    </row>
    <row r="99" spans="1:37" x14ac:dyDescent="0.25">
      <c r="A99" s="124" t="s">
        <v>105</v>
      </c>
      <c r="B99" s="135">
        <v>8</v>
      </c>
      <c r="C99" s="136">
        <f t="shared" si="21"/>
        <v>8</v>
      </c>
      <c r="D99" s="136">
        <f t="shared" si="21"/>
        <v>8</v>
      </c>
      <c r="E99" s="136">
        <f t="shared" si="21"/>
        <v>8</v>
      </c>
      <c r="F99" s="136">
        <f t="shared" si="21"/>
        <v>8</v>
      </c>
      <c r="G99" s="136">
        <f t="shared" si="21"/>
        <v>8</v>
      </c>
      <c r="H99" s="136">
        <f t="shared" si="21"/>
        <v>8</v>
      </c>
      <c r="I99" s="136">
        <v>5.4</v>
      </c>
      <c r="J99" s="136">
        <f t="shared" si="21"/>
        <v>5.4</v>
      </c>
      <c r="K99" s="136">
        <f t="shared" si="21"/>
        <v>5.4</v>
      </c>
      <c r="L99" s="136">
        <f t="shared" si="21"/>
        <v>5.4</v>
      </c>
      <c r="M99" s="136">
        <f t="shared" si="21"/>
        <v>5.4</v>
      </c>
      <c r="N99" s="136">
        <f t="shared" si="21"/>
        <v>5.4</v>
      </c>
      <c r="O99" s="136">
        <f t="shared" si="21"/>
        <v>5.4</v>
      </c>
      <c r="P99" s="136">
        <f t="shared" si="21"/>
        <v>5.4</v>
      </c>
      <c r="Q99" s="136">
        <f t="shared" si="21"/>
        <v>5.4</v>
      </c>
      <c r="R99" s="136">
        <f t="shared" si="21"/>
        <v>5.4</v>
      </c>
      <c r="S99" s="136">
        <f t="shared" si="22"/>
        <v>5.4</v>
      </c>
      <c r="T99" s="136">
        <f t="shared" si="22"/>
        <v>5.4</v>
      </c>
      <c r="U99" s="136">
        <f t="shared" si="22"/>
        <v>5.4</v>
      </c>
      <c r="V99" s="136">
        <f t="shared" si="22"/>
        <v>5.4</v>
      </c>
      <c r="W99" s="136">
        <f t="shared" si="22"/>
        <v>5.4</v>
      </c>
      <c r="X99" s="136">
        <f t="shared" si="22"/>
        <v>5.4</v>
      </c>
      <c r="Y99" s="136">
        <f t="shared" si="22"/>
        <v>5.4</v>
      </c>
      <c r="Z99" s="136">
        <f t="shared" si="22"/>
        <v>5.4</v>
      </c>
      <c r="AA99" s="136">
        <f t="shared" si="22"/>
        <v>5.4</v>
      </c>
      <c r="AB99" s="136">
        <f t="shared" si="22"/>
        <v>5.4</v>
      </c>
      <c r="AC99" s="136">
        <f t="shared" si="22"/>
        <v>5.4</v>
      </c>
      <c r="AD99" s="136">
        <f t="shared" si="22"/>
        <v>5.4</v>
      </c>
      <c r="AE99" s="136">
        <f t="shared" si="22"/>
        <v>5.4</v>
      </c>
      <c r="AF99" s="136">
        <f t="shared" si="22"/>
        <v>5.4</v>
      </c>
      <c r="AG99" s="138">
        <v>7.6</v>
      </c>
      <c r="AH99" s="52"/>
      <c r="AI99" s="53"/>
      <c r="AK99" s="54"/>
    </row>
    <row r="100" spans="1:37" x14ac:dyDescent="0.25">
      <c r="A100" s="124" t="s">
        <v>106</v>
      </c>
      <c r="B100" s="135">
        <v>6.57</v>
      </c>
      <c r="C100" s="136">
        <f t="shared" si="21"/>
        <v>6.57</v>
      </c>
      <c r="D100" s="136">
        <f t="shared" si="21"/>
        <v>6.57</v>
      </c>
      <c r="E100" s="136">
        <f t="shared" si="21"/>
        <v>6.57</v>
      </c>
      <c r="F100" s="136">
        <f t="shared" si="21"/>
        <v>6.57</v>
      </c>
      <c r="G100" s="136">
        <f t="shared" si="21"/>
        <v>6.57</v>
      </c>
      <c r="H100" s="136">
        <f t="shared" si="21"/>
        <v>6.57</v>
      </c>
      <c r="I100" s="136">
        <f t="shared" si="21"/>
        <v>6.57</v>
      </c>
      <c r="J100" s="136">
        <f t="shared" si="21"/>
        <v>6.57</v>
      </c>
      <c r="K100" s="136">
        <f t="shared" si="21"/>
        <v>6.57</v>
      </c>
      <c r="L100" s="136">
        <f t="shared" si="21"/>
        <v>6.57</v>
      </c>
      <c r="M100" s="136">
        <f t="shared" si="21"/>
        <v>6.57</v>
      </c>
      <c r="N100" s="136">
        <f t="shared" si="21"/>
        <v>6.57</v>
      </c>
      <c r="O100" s="136">
        <f t="shared" si="21"/>
        <v>6.57</v>
      </c>
      <c r="P100" s="136">
        <f t="shared" si="21"/>
        <v>6.57</v>
      </c>
      <c r="Q100" s="136">
        <f t="shared" si="21"/>
        <v>6.57</v>
      </c>
      <c r="R100" s="136">
        <f t="shared" si="21"/>
        <v>6.57</v>
      </c>
      <c r="S100" s="136">
        <f t="shared" si="22"/>
        <v>6.57</v>
      </c>
      <c r="T100" s="136">
        <f t="shared" si="22"/>
        <v>6.57</v>
      </c>
      <c r="U100" s="136">
        <f t="shared" si="22"/>
        <v>6.57</v>
      </c>
      <c r="V100" s="136">
        <f t="shared" si="22"/>
        <v>6.57</v>
      </c>
      <c r="W100" s="136">
        <f t="shared" si="22"/>
        <v>6.57</v>
      </c>
      <c r="X100" s="136">
        <f t="shared" si="22"/>
        <v>6.57</v>
      </c>
      <c r="Y100" s="136">
        <f t="shared" si="22"/>
        <v>6.57</v>
      </c>
      <c r="Z100" s="136">
        <f t="shared" si="22"/>
        <v>6.57</v>
      </c>
      <c r="AA100" s="136">
        <f t="shared" si="22"/>
        <v>6.57</v>
      </c>
      <c r="AB100" s="136">
        <f t="shared" si="22"/>
        <v>6.57</v>
      </c>
      <c r="AC100" s="136">
        <f t="shared" si="22"/>
        <v>6.57</v>
      </c>
      <c r="AD100" s="136">
        <f t="shared" si="22"/>
        <v>6.57</v>
      </c>
      <c r="AE100" s="136">
        <f t="shared" si="22"/>
        <v>6.57</v>
      </c>
      <c r="AF100" s="136">
        <f t="shared" si="22"/>
        <v>6.57</v>
      </c>
      <c r="AG100" s="138">
        <v>7.5</v>
      </c>
      <c r="AH100" s="52"/>
      <c r="AI100" s="53"/>
      <c r="AK100" s="54"/>
    </row>
    <row r="101" spans="1:37" x14ac:dyDescent="0.25">
      <c r="A101" s="124" t="s">
        <v>107</v>
      </c>
      <c r="B101" s="135">
        <v>3.43</v>
      </c>
      <c r="C101" s="136">
        <f t="shared" si="21"/>
        <v>3.43</v>
      </c>
      <c r="D101" s="136">
        <f t="shared" si="21"/>
        <v>3.43</v>
      </c>
      <c r="E101" s="136">
        <f t="shared" si="21"/>
        <v>3.43</v>
      </c>
      <c r="F101" s="136">
        <f t="shared" si="21"/>
        <v>3.43</v>
      </c>
      <c r="G101" s="136">
        <f t="shared" si="21"/>
        <v>3.43</v>
      </c>
      <c r="H101" s="136">
        <f t="shared" si="21"/>
        <v>3.43</v>
      </c>
      <c r="I101" s="136">
        <f t="shared" si="21"/>
        <v>3.43</v>
      </c>
      <c r="J101" s="136">
        <f t="shared" si="21"/>
        <v>3.43</v>
      </c>
      <c r="K101" s="136">
        <f t="shared" si="21"/>
        <v>3.43</v>
      </c>
      <c r="L101" s="136">
        <f t="shared" si="21"/>
        <v>3.43</v>
      </c>
      <c r="M101" s="136">
        <f t="shared" si="21"/>
        <v>3.43</v>
      </c>
      <c r="N101" s="136">
        <f t="shared" si="21"/>
        <v>3.43</v>
      </c>
      <c r="O101" s="136">
        <f t="shared" si="21"/>
        <v>3.43</v>
      </c>
      <c r="P101" s="136">
        <f t="shared" si="21"/>
        <v>3.43</v>
      </c>
      <c r="Q101" s="136">
        <f t="shared" si="21"/>
        <v>3.43</v>
      </c>
      <c r="R101" s="136">
        <f t="shared" si="21"/>
        <v>3.43</v>
      </c>
      <c r="S101" s="136">
        <f t="shared" si="22"/>
        <v>3.43</v>
      </c>
      <c r="T101" s="136">
        <f t="shared" si="22"/>
        <v>3.43</v>
      </c>
      <c r="U101" s="136">
        <f t="shared" si="22"/>
        <v>3.43</v>
      </c>
      <c r="V101" s="136">
        <f t="shared" si="22"/>
        <v>3.43</v>
      </c>
      <c r="W101" s="136">
        <f t="shared" si="22"/>
        <v>3.43</v>
      </c>
      <c r="X101" s="136">
        <f t="shared" si="22"/>
        <v>3.43</v>
      </c>
      <c r="Y101" s="136">
        <f t="shared" si="22"/>
        <v>3.43</v>
      </c>
      <c r="Z101" s="136">
        <f t="shared" si="22"/>
        <v>3.43</v>
      </c>
      <c r="AA101" s="136">
        <f t="shared" si="22"/>
        <v>3.43</v>
      </c>
      <c r="AB101" s="136">
        <f t="shared" si="22"/>
        <v>3.43</v>
      </c>
      <c r="AC101" s="136">
        <f t="shared" si="22"/>
        <v>3.43</v>
      </c>
      <c r="AD101" s="136">
        <f t="shared" si="22"/>
        <v>3.43</v>
      </c>
      <c r="AE101" s="136">
        <f t="shared" si="22"/>
        <v>3.43</v>
      </c>
      <c r="AF101" s="136">
        <f t="shared" si="22"/>
        <v>3.43</v>
      </c>
      <c r="AG101" s="138">
        <v>7.5</v>
      </c>
      <c r="AH101" s="52"/>
      <c r="AI101" s="53"/>
      <c r="AK101" s="54"/>
    </row>
    <row r="102" spans="1:37" x14ac:dyDescent="0.25">
      <c r="A102" s="124" t="s">
        <v>108</v>
      </c>
      <c r="B102" s="135">
        <v>8</v>
      </c>
      <c r="C102" s="136">
        <f t="shared" si="21"/>
        <v>8</v>
      </c>
      <c r="D102" s="136">
        <f t="shared" si="21"/>
        <v>8</v>
      </c>
      <c r="E102" s="136">
        <f t="shared" si="21"/>
        <v>8</v>
      </c>
      <c r="F102" s="136">
        <f t="shared" si="21"/>
        <v>8</v>
      </c>
      <c r="G102" s="136">
        <f t="shared" si="21"/>
        <v>8</v>
      </c>
      <c r="H102" s="136">
        <f t="shared" si="21"/>
        <v>8</v>
      </c>
      <c r="I102" s="136">
        <f t="shared" si="21"/>
        <v>8</v>
      </c>
      <c r="J102" s="136">
        <f t="shared" si="21"/>
        <v>8</v>
      </c>
      <c r="K102" s="136">
        <f t="shared" si="21"/>
        <v>8</v>
      </c>
      <c r="L102" s="136">
        <f t="shared" si="21"/>
        <v>8</v>
      </c>
      <c r="M102" s="136">
        <f t="shared" si="21"/>
        <v>8</v>
      </c>
      <c r="N102" s="136">
        <f t="shared" si="21"/>
        <v>8</v>
      </c>
      <c r="O102" s="136">
        <f t="shared" si="21"/>
        <v>8</v>
      </c>
      <c r="P102" s="136">
        <f t="shared" si="21"/>
        <v>8</v>
      </c>
      <c r="Q102" s="136">
        <f t="shared" si="21"/>
        <v>8</v>
      </c>
      <c r="R102" s="136">
        <f t="shared" si="21"/>
        <v>8</v>
      </c>
      <c r="S102" s="136">
        <f t="shared" si="22"/>
        <v>8</v>
      </c>
      <c r="T102" s="136">
        <f t="shared" si="22"/>
        <v>8</v>
      </c>
      <c r="U102" s="136">
        <f t="shared" si="22"/>
        <v>8</v>
      </c>
      <c r="V102" s="136">
        <f t="shared" si="22"/>
        <v>8</v>
      </c>
      <c r="W102" s="136">
        <f t="shared" si="22"/>
        <v>8</v>
      </c>
      <c r="X102" s="136">
        <f t="shared" si="22"/>
        <v>8</v>
      </c>
      <c r="Y102" s="136">
        <f t="shared" si="22"/>
        <v>8</v>
      </c>
      <c r="Z102" s="136">
        <f t="shared" si="22"/>
        <v>8</v>
      </c>
      <c r="AA102" s="136">
        <f t="shared" si="22"/>
        <v>8</v>
      </c>
      <c r="AB102" s="136">
        <f t="shared" si="22"/>
        <v>8</v>
      </c>
      <c r="AC102" s="136">
        <f t="shared" si="22"/>
        <v>8</v>
      </c>
      <c r="AD102" s="136">
        <f t="shared" si="22"/>
        <v>8</v>
      </c>
      <c r="AE102" s="136">
        <f t="shared" si="22"/>
        <v>8</v>
      </c>
      <c r="AF102" s="136">
        <f t="shared" si="22"/>
        <v>8</v>
      </c>
      <c r="AG102" s="138">
        <v>7</v>
      </c>
      <c r="AH102" s="52"/>
      <c r="AI102" s="53"/>
      <c r="AK102" s="54"/>
    </row>
    <row r="103" spans="1:37" x14ac:dyDescent="0.25">
      <c r="A103" s="124" t="s">
        <v>109</v>
      </c>
      <c r="B103" s="135">
        <v>2.96</v>
      </c>
      <c r="C103" s="136">
        <f t="shared" si="21"/>
        <v>2.96</v>
      </c>
      <c r="D103" s="136">
        <f t="shared" si="21"/>
        <v>2.96</v>
      </c>
      <c r="E103" s="136">
        <f t="shared" si="21"/>
        <v>2.96</v>
      </c>
      <c r="F103" s="136">
        <f t="shared" si="21"/>
        <v>2.96</v>
      </c>
      <c r="G103" s="136">
        <f t="shared" si="21"/>
        <v>2.96</v>
      </c>
      <c r="H103" s="136">
        <f t="shared" si="21"/>
        <v>2.96</v>
      </c>
      <c r="I103" s="136">
        <f t="shared" si="21"/>
        <v>2.96</v>
      </c>
      <c r="J103" s="136">
        <f t="shared" si="21"/>
        <v>2.96</v>
      </c>
      <c r="K103" s="136">
        <f t="shared" si="21"/>
        <v>2.96</v>
      </c>
      <c r="L103" s="136">
        <f t="shared" si="21"/>
        <v>2.96</v>
      </c>
      <c r="M103" s="136">
        <f t="shared" si="21"/>
        <v>2.96</v>
      </c>
      <c r="N103" s="136">
        <f t="shared" si="21"/>
        <v>2.96</v>
      </c>
      <c r="O103" s="136">
        <f t="shared" si="21"/>
        <v>2.96</v>
      </c>
      <c r="P103" s="136">
        <f t="shared" si="21"/>
        <v>2.96</v>
      </c>
      <c r="Q103" s="136">
        <f t="shared" si="21"/>
        <v>2.96</v>
      </c>
      <c r="R103" s="136">
        <f t="shared" si="21"/>
        <v>2.96</v>
      </c>
      <c r="S103" s="136">
        <f t="shared" si="22"/>
        <v>2.96</v>
      </c>
      <c r="T103" s="136">
        <f t="shared" si="22"/>
        <v>2.96</v>
      </c>
      <c r="U103" s="136">
        <f t="shared" si="22"/>
        <v>2.96</v>
      </c>
      <c r="V103" s="136">
        <f t="shared" si="22"/>
        <v>2.96</v>
      </c>
      <c r="W103" s="136">
        <f t="shared" si="22"/>
        <v>2.96</v>
      </c>
      <c r="X103" s="136">
        <f t="shared" si="22"/>
        <v>2.96</v>
      </c>
      <c r="Y103" s="136">
        <f t="shared" si="22"/>
        <v>2.96</v>
      </c>
      <c r="Z103" s="136">
        <f t="shared" si="22"/>
        <v>2.96</v>
      </c>
      <c r="AA103" s="136">
        <f t="shared" si="22"/>
        <v>2.96</v>
      </c>
      <c r="AB103" s="136">
        <f t="shared" si="22"/>
        <v>2.96</v>
      </c>
      <c r="AC103" s="136">
        <f t="shared" si="22"/>
        <v>2.96</v>
      </c>
      <c r="AD103" s="136">
        <f t="shared" si="22"/>
        <v>2.96</v>
      </c>
      <c r="AE103" s="136">
        <f t="shared" si="22"/>
        <v>2.96</v>
      </c>
      <c r="AF103" s="136">
        <f t="shared" si="22"/>
        <v>2.96</v>
      </c>
      <c r="AG103" s="138">
        <v>7</v>
      </c>
      <c r="AH103" s="52"/>
      <c r="AI103" s="53"/>
      <c r="AK103" s="54"/>
    </row>
    <row r="104" spans="1:37" x14ac:dyDescent="0.25">
      <c r="A104" s="124" t="s">
        <v>110</v>
      </c>
      <c r="B104" s="135">
        <v>7</v>
      </c>
      <c r="C104" s="136">
        <f>B104</f>
        <v>7</v>
      </c>
      <c r="D104" s="136">
        <f t="shared" si="21"/>
        <v>7</v>
      </c>
      <c r="E104" s="136">
        <f t="shared" si="21"/>
        <v>7</v>
      </c>
      <c r="F104" s="136">
        <f t="shared" si="21"/>
        <v>7</v>
      </c>
      <c r="G104" s="136">
        <f t="shared" si="21"/>
        <v>7</v>
      </c>
      <c r="H104" s="136">
        <f t="shared" si="21"/>
        <v>7</v>
      </c>
      <c r="I104" s="136">
        <f t="shared" si="21"/>
        <v>7</v>
      </c>
      <c r="J104" s="136">
        <f t="shared" si="21"/>
        <v>7</v>
      </c>
      <c r="K104" s="136">
        <f t="shared" si="21"/>
        <v>7</v>
      </c>
      <c r="L104" s="136">
        <f t="shared" si="21"/>
        <v>7</v>
      </c>
      <c r="M104" s="136">
        <f t="shared" si="21"/>
        <v>7</v>
      </c>
      <c r="N104" s="136">
        <f t="shared" si="21"/>
        <v>7</v>
      </c>
      <c r="O104" s="136">
        <f t="shared" si="21"/>
        <v>7</v>
      </c>
      <c r="P104" s="136">
        <f t="shared" si="21"/>
        <v>7</v>
      </c>
      <c r="Q104" s="136">
        <f t="shared" si="21"/>
        <v>7</v>
      </c>
      <c r="R104" s="136">
        <f t="shared" si="21"/>
        <v>7</v>
      </c>
      <c r="S104" s="136">
        <f t="shared" si="22"/>
        <v>7</v>
      </c>
      <c r="T104" s="136">
        <f t="shared" si="22"/>
        <v>7</v>
      </c>
      <c r="U104" s="136">
        <f t="shared" si="22"/>
        <v>7</v>
      </c>
      <c r="V104" s="136">
        <f t="shared" si="22"/>
        <v>7</v>
      </c>
      <c r="W104" s="136">
        <f t="shared" si="22"/>
        <v>7</v>
      </c>
      <c r="X104" s="136">
        <f t="shared" si="22"/>
        <v>7</v>
      </c>
      <c r="Y104" s="136">
        <f t="shared" si="22"/>
        <v>7</v>
      </c>
      <c r="Z104" s="136">
        <f t="shared" si="22"/>
        <v>7</v>
      </c>
      <c r="AA104" s="136">
        <f t="shared" si="22"/>
        <v>7</v>
      </c>
      <c r="AB104" s="136">
        <f t="shared" si="22"/>
        <v>7</v>
      </c>
      <c r="AC104" s="136">
        <f t="shared" si="22"/>
        <v>7</v>
      </c>
      <c r="AD104" s="136">
        <f t="shared" si="22"/>
        <v>7</v>
      </c>
      <c r="AE104" s="136">
        <f t="shared" si="22"/>
        <v>7</v>
      </c>
      <c r="AF104" s="136">
        <f t="shared" si="22"/>
        <v>7</v>
      </c>
      <c r="AG104" s="138">
        <v>7</v>
      </c>
      <c r="AH104" s="52"/>
      <c r="AI104" s="53"/>
      <c r="AK104" s="54"/>
    </row>
    <row r="105" spans="1:37" x14ac:dyDescent="0.25">
      <c r="A105" s="124" t="s">
        <v>111</v>
      </c>
      <c r="B105" s="135">
        <v>3.47</v>
      </c>
      <c r="C105" s="136">
        <f t="shared" ref="C105:R120" si="23">B105</f>
        <v>3.47</v>
      </c>
      <c r="D105" s="136">
        <f t="shared" si="23"/>
        <v>3.47</v>
      </c>
      <c r="E105" s="136">
        <f t="shared" si="23"/>
        <v>3.47</v>
      </c>
      <c r="F105" s="136">
        <f t="shared" si="23"/>
        <v>3.47</v>
      </c>
      <c r="G105" s="136">
        <f t="shared" si="23"/>
        <v>3.47</v>
      </c>
      <c r="H105" s="136">
        <f t="shared" si="23"/>
        <v>3.47</v>
      </c>
      <c r="I105" s="136">
        <f t="shared" si="23"/>
        <v>3.47</v>
      </c>
      <c r="J105" s="136">
        <f t="shared" si="23"/>
        <v>3.47</v>
      </c>
      <c r="K105" s="136">
        <f t="shared" si="23"/>
        <v>3.47</v>
      </c>
      <c r="L105" s="136">
        <f t="shared" si="23"/>
        <v>3.47</v>
      </c>
      <c r="M105" s="136">
        <f t="shared" si="23"/>
        <v>3.47</v>
      </c>
      <c r="N105" s="136">
        <f t="shared" si="23"/>
        <v>3.47</v>
      </c>
      <c r="O105" s="136">
        <f t="shared" si="23"/>
        <v>3.47</v>
      </c>
      <c r="P105" s="136">
        <f t="shared" si="23"/>
        <v>3.47</v>
      </c>
      <c r="Q105" s="136">
        <f t="shared" si="23"/>
        <v>3.47</v>
      </c>
      <c r="R105" s="136">
        <f t="shared" si="23"/>
        <v>3.47</v>
      </c>
      <c r="S105" s="136">
        <f t="shared" ref="S105:AF123" si="24">R105</f>
        <v>3.47</v>
      </c>
      <c r="T105" s="136">
        <f t="shared" si="24"/>
        <v>3.47</v>
      </c>
      <c r="U105" s="136">
        <f t="shared" si="24"/>
        <v>3.47</v>
      </c>
      <c r="V105" s="136">
        <f t="shared" si="24"/>
        <v>3.47</v>
      </c>
      <c r="W105" s="136">
        <f t="shared" si="24"/>
        <v>3.47</v>
      </c>
      <c r="X105" s="136">
        <f t="shared" si="24"/>
        <v>3.47</v>
      </c>
      <c r="Y105" s="136">
        <f t="shared" si="24"/>
        <v>3.47</v>
      </c>
      <c r="Z105" s="136">
        <f t="shared" si="24"/>
        <v>3.47</v>
      </c>
      <c r="AA105" s="136">
        <f t="shared" si="24"/>
        <v>3.47</v>
      </c>
      <c r="AB105" s="136">
        <f t="shared" si="24"/>
        <v>3.47</v>
      </c>
      <c r="AC105" s="136">
        <f t="shared" si="24"/>
        <v>3.47</v>
      </c>
      <c r="AD105" s="136">
        <f t="shared" si="24"/>
        <v>3.47</v>
      </c>
      <c r="AE105" s="136">
        <f t="shared" si="24"/>
        <v>3.47</v>
      </c>
      <c r="AF105" s="136">
        <f t="shared" si="24"/>
        <v>3.47</v>
      </c>
      <c r="AG105" s="138">
        <v>6.6</v>
      </c>
      <c r="AH105" s="52"/>
      <c r="AI105" s="53"/>
      <c r="AK105" s="54"/>
    </row>
    <row r="106" spans="1:37" x14ac:dyDescent="0.25">
      <c r="A106" s="124" t="s">
        <v>112</v>
      </c>
      <c r="B106" s="135">
        <v>2.1</v>
      </c>
      <c r="C106" s="136">
        <f t="shared" si="23"/>
        <v>2.1</v>
      </c>
      <c r="D106" s="136">
        <f t="shared" si="23"/>
        <v>2.1</v>
      </c>
      <c r="E106" s="136">
        <f t="shared" si="23"/>
        <v>2.1</v>
      </c>
      <c r="F106" s="136">
        <f t="shared" si="23"/>
        <v>2.1</v>
      </c>
      <c r="G106" s="136">
        <f t="shared" si="23"/>
        <v>2.1</v>
      </c>
      <c r="H106" s="136">
        <f t="shared" si="23"/>
        <v>2.1</v>
      </c>
      <c r="I106" s="136">
        <f t="shared" si="23"/>
        <v>2.1</v>
      </c>
      <c r="J106" s="136">
        <f t="shared" si="23"/>
        <v>2.1</v>
      </c>
      <c r="K106" s="136">
        <f t="shared" si="23"/>
        <v>2.1</v>
      </c>
      <c r="L106" s="136">
        <f t="shared" si="23"/>
        <v>2.1</v>
      </c>
      <c r="M106" s="136">
        <f t="shared" si="23"/>
        <v>2.1</v>
      </c>
      <c r="N106" s="136">
        <f t="shared" si="23"/>
        <v>2.1</v>
      </c>
      <c r="O106" s="136">
        <f t="shared" si="23"/>
        <v>2.1</v>
      </c>
      <c r="P106" s="136">
        <f t="shared" si="23"/>
        <v>2.1</v>
      </c>
      <c r="Q106" s="136">
        <f t="shared" si="23"/>
        <v>2.1</v>
      </c>
      <c r="R106" s="136">
        <f t="shared" si="23"/>
        <v>2.1</v>
      </c>
      <c r="S106" s="136">
        <f t="shared" si="24"/>
        <v>2.1</v>
      </c>
      <c r="T106" s="136">
        <f t="shared" si="24"/>
        <v>2.1</v>
      </c>
      <c r="U106" s="136">
        <f t="shared" si="24"/>
        <v>2.1</v>
      </c>
      <c r="V106" s="136">
        <f t="shared" si="24"/>
        <v>2.1</v>
      </c>
      <c r="W106" s="136">
        <f t="shared" si="24"/>
        <v>2.1</v>
      </c>
      <c r="X106" s="136">
        <f t="shared" si="24"/>
        <v>2.1</v>
      </c>
      <c r="Y106" s="136">
        <f t="shared" si="24"/>
        <v>2.1</v>
      </c>
      <c r="Z106" s="136">
        <f t="shared" si="24"/>
        <v>2.1</v>
      </c>
      <c r="AA106" s="136">
        <f t="shared" si="24"/>
        <v>2.1</v>
      </c>
      <c r="AB106" s="136">
        <f t="shared" si="24"/>
        <v>2.1</v>
      </c>
      <c r="AC106" s="136">
        <f t="shared" si="24"/>
        <v>2.1</v>
      </c>
      <c r="AD106" s="136">
        <f t="shared" si="24"/>
        <v>2.1</v>
      </c>
      <c r="AE106" s="136">
        <f t="shared" si="24"/>
        <v>2.1</v>
      </c>
      <c r="AF106" s="136">
        <f t="shared" si="24"/>
        <v>2.1</v>
      </c>
      <c r="AG106" s="138">
        <v>6</v>
      </c>
      <c r="AH106" s="52"/>
      <c r="AI106" s="53"/>
      <c r="AK106" s="54"/>
    </row>
    <row r="107" spans="1:37" x14ac:dyDescent="0.25">
      <c r="A107" s="124" t="s">
        <v>113</v>
      </c>
      <c r="B107" s="135">
        <v>9.3000000000000007</v>
      </c>
      <c r="C107" s="136">
        <f t="shared" si="23"/>
        <v>9.3000000000000007</v>
      </c>
      <c r="D107" s="136">
        <f t="shared" si="23"/>
        <v>9.3000000000000007</v>
      </c>
      <c r="E107" s="136">
        <f t="shared" si="23"/>
        <v>9.3000000000000007</v>
      </c>
      <c r="F107" s="136">
        <f t="shared" si="23"/>
        <v>9.3000000000000007</v>
      </c>
      <c r="G107" s="136">
        <f t="shared" si="23"/>
        <v>9.3000000000000007</v>
      </c>
      <c r="H107" s="136">
        <f t="shared" si="23"/>
        <v>9.3000000000000007</v>
      </c>
      <c r="I107" s="136">
        <f t="shared" si="23"/>
        <v>9.3000000000000007</v>
      </c>
      <c r="J107" s="136">
        <f t="shared" si="23"/>
        <v>9.3000000000000007</v>
      </c>
      <c r="K107" s="136">
        <f t="shared" si="23"/>
        <v>9.3000000000000007</v>
      </c>
      <c r="L107" s="136">
        <f t="shared" si="23"/>
        <v>9.3000000000000007</v>
      </c>
      <c r="M107" s="136">
        <f t="shared" si="23"/>
        <v>9.3000000000000007</v>
      </c>
      <c r="N107" s="136">
        <f t="shared" si="23"/>
        <v>9.3000000000000007</v>
      </c>
      <c r="O107" s="136">
        <f t="shared" si="23"/>
        <v>9.3000000000000007</v>
      </c>
      <c r="P107" s="136">
        <f t="shared" si="23"/>
        <v>9.3000000000000007</v>
      </c>
      <c r="Q107" s="136">
        <f t="shared" si="23"/>
        <v>9.3000000000000007</v>
      </c>
      <c r="R107" s="136">
        <f t="shared" si="23"/>
        <v>9.3000000000000007</v>
      </c>
      <c r="S107" s="136">
        <f t="shared" si="24"/>
        <v>9.3000000000000007</v>
      </c>
      <c r="T107" s="136">
        <f t="shared" si="24"/>
        <v>9.3000000000000007</v>
      </c>
      <c r="U107" s="136">
        <f t="shared" si="24"/>
        <v>9.3000000000000007</v>
      </c>
      <c r="V107" s="136">
        <f t="shared" si="24"/>
        <v>9.3000000000000007</v>
      </c>
      <c r="W107" s="136">
        <f t="shared" si="24"/>
        <v>9.3000000000000007</v>
      </c>
      <c r="X107" s="136">
        <f t="shared" si="24"/>
        <v>9.3000000000000007</v>
      </c>
      <c r="Y107" s="136">
        <f t="shared" si="24"/>
        <v>9.3000000000000007</v>
      </c>
      <c r="Z107" s="136">
        <f t="shared" si="24"/>
        <v>9.3000000000000007</v>
      </c>
      <c r="AA107" s="136">
        <f t="shared" si="24"/>
        <v>9.3000000000000007</v>
      </c>
      <c r="AB107" s="136">
        <f t="shared" si="24"/>
        <v>9.3000000000000007</v>
      </c>
      <c r="AC107" s="136">
        <f t="shared" si="24"/>
        <v>9.3000000000000007</v>
      </c>
      <c r="AD107" s="136">
        <f t="shared" si="24"/>
        <v>9.3000000000000007</v>
      </c>
      <c r="AE107" s="136">
        <f t="shared" si="24"/>
        <v>9.3000000000000007</v>
      </c>
      <c r="AF107" s="136">
        <f t="shared" si="24"/>
        <v>9.3000000000000007</v>
      </c>
      <c r="AG107" s="138">
        <v>5.0999999999999996</v>
      </c>
      <c r="AH107" s="52"/>
      <c r="AI107" s="53"/>
      <c r="AK107" s="54"/>
    </row>
    <row r="108" spans="1:37" x14ac:dyDescent="0.25">
      <c r="A108" s="124" t="s">
        <v>114</v>
      </c>
      <c r="B108" s="135">
        <v>0</v>
      </c>
      <c r="C108" s="136">
        <f t="shared" si="23"/>
        <v>0</v>
      </c>
      <c r="D108" s="136">
        <f t="shared" si="23"/>
        <v>0</v>
      </c>
      <c r="E108" s="136">
        <f t="shared" si="23"/>
        <v>0</v>
      </c>
      <c r="F108" s="136">
        <f t="shared" si="23"/>
        <v>0</v>
      </c>
      <c r="G108" s="136">
        <f t="shared" si="23"/>
        <v>0</v>
      </c>
      <c r="H108" s="136">
        <f t="shared" si="23"/>
        <v>0</v>
      </c>
      <c r="I108" s="136">
        <f t="shared" si="23"/>
        <v>0</v>
      </c>
      <c r="J108" s="136">
        <f t="shared" si="23"/>
        <v>0</v>
      </c>
      <c r="K108" s="136">
        <f t="shared" si="23"/>
        <v>0</v>
      </c>
      <c r="L108" s="136">
        <f t="shared" si="23"/>
        <v>0</v>
      </c>
      <c r="M108" s="136">
        <f t="shared" si="23"/>
        <v>0</v>
      </c>
      <c r="N108" s="136">
        <f t="shared" si="23"/>
        <v>0</v>
      </c>
      <c r="O108" s="136">
        <f t="shared" si="23"/>
        <v>0</v>
      </c>
      <c r="P108" s="136">
        <f t="shared" si="23"/>
        <v>0</v>
      </c>
      <c r="Q108" s="136">
        <f t="shared" si="23"/>
        <v>0</v>
      </c>
      <c r="R108" s="136">
        <f t="shared" si="23"/>
        <v>0</v>
      </c>
      <c r="S108" s="136">
        <f t="shared" si="24"/>
        <v>0</v>
      </c>
      <c r="T108" s="136">
        <f t="shared" si="24"/>
        <v>0</v>
      </c>
      <c r="U108" s="136">
        <f t="shared" si="24"/>
        <v>0</v>
      </c>
      <c r="V108" s="136">
        <f t="shared" si="24"/>
        <v>0</v>
      </c>
      <c r="W108" s="136">
        <f t="shared" si="24"/>
        <v>0</v>
      </c>
      <c r="X108" s="136">
        <f t="shared" si="24"/>
        <v>0</v>
      </c>
      <c r="Y108" s="136">
        <f t="shared" si="24"/>
        <v>0</v>
      </c>
      <c r="Z108" s="136">
        <f t="shared" si="24"/>
        <v>0</v>
      </c>
      <c r="AA108" s="136">
        <f t="shared" si="24"/>
        <v>0</v>
      </c>
      <c r="AB108" s="136">
        <f t="shared" si="24"/>
        <v>0</v>
      </c>
      <c r="AC108" s="136">
        <f t="shared" si="24"/>
        <v>0</v>
      </c>
      <c r="AD108" s="136">
        <f t="shared" si="24"/>
        <v>0</v>
      </c>
      <c r="AE108" s="136">
        <f t="shared" si="24"/>
        <v>0</v>
      </c>
      <c r="AF108" s="136">
        <f t="shared" si="24"/>
        <v>0</v>
      </c>
      <c r="AG108" s="138">
        <v>5</v>
      </c>
      <c r="AH108" s="52"/>
      <c r="AI108" s="53"/>
      <c r="AK108" s="54"/>
    </row>
    <row r="109" spans="1:37" x14ac:dyDescent="0.25">
      <c r="A109" s="124" t="s">
        <v>115</v>
      </c>
      <c r="B109" s="135">
        <v>0</v>
      </c>
      <c r="C109" s="136">
        <f t="shared" si="23"/>
        <v>0</v>
      </c>
      <c r="D109" s="136">
        <f t="shared" si="23"/>
        <v>0</v>
      </c>
      <c r="E109" s="136">
        <f t="shared" si="23"/>
        <v>0</v>
      </c>
      <c r="F109" s="136">
        <f t="shared" si="23"/>
        <v>0</v>
      </c>
      <c r="G109" s="136">
        <f t="shared" si="23"/>
        <v>0</v>
      </c>
      <c r="H109" s="136">
        <f t="shared" si="23"/>
        <v>0</v>
      </c>
      <c r="I109" s="136">
        <f t="shared" si="23"/>
        <v>0</v>
      </c>
      <c r="J109" s="136">
        <f t="shared" si="23"/>
        <v>0</v>
      </c>
      <c r="K109" s="136">
        <f t="shared" si="23"/>
        <v>0</v>
      </c>
      <c r="L109" s="136">
        <f t="shared" si="23"/>
        <v>0</v>
      </c>
      <c r="M109" s="136">
        <f t="shared" si="23"/>
        <v>0</v>
      </c>
      <c r="N109" s="136">
        <f t="shared" si="23"/>
        <v>0</v>
      </c>
      <c r="O109" s="136">
        <f t="shared" si="23"/>
        <v>0</v>
      </c>
      <c r="P109" s="136">
        <f t="shared" si="23"/>
        <v>0</v>
      </c>
      <c r="Q109" s="136">
        <f t="shared" si="23"/>
        <v>0</v>
      </c>
      <c r="R109" s="136">
        <f t="shared" si="23"/>
        <v>0</v>
      </c>
      <c r="S109" s="136">
        <f t="shared" si="24"/>
        <v>0</v>
      </c>
      <c r="T109" s="136">
        <f t="shared" si="24"/>
        <v>0</v>
      </c>
      <c r="U109" s="136">
        <f t="shared" si="24"/>
        <v>0</v>
      </c>
      <c r="V109" s="136">
        <f t="shared" si="24"/>
        <v>0</v>
      </c>
      <c r="W109" s="136">
        <f t="shared" si="24"/>
        <v>0</v>
      </c>
      <c r="X109" s="136">
        <f t="shared" si="24"/>
        <v>0</v>
      </c>
      <c r="Y109" s="136">
        <f t="shared" si="24"/>
        <v>0</v>
      </c>
      <c r="Z109" s="136">
        <f t="shared" si="24"/>
        <v>0</v>
      </c>
      <c r="AA109" s="136">
        <f t="shared" si="24"/>
        <v>0</v>
      </c>
      <c r="AB109" s="136">
        <f t="shared" si="24"/>
        <v>0</v>
      </c>
      <c r="AC109" s="136">
        <f t="shared" si="24"/>
        <v>0</v>
      </c>
      <c r="AD109" s="136">
        <f t="shared" si="24"/>
        <v>0</v>
      </c>
      <c r="AE109" s="136">
        <f t="shared" si="24"/>
        <v>0</v>
      </c>
      <c r="AF109" s="136">
        <f t="shared" si="24"/>
        <v>0</v>
      </c>
      <c r="AG109" s="138">
        <v>5</v>
      </c>
      <c r="AH109" s="52"/>
      <c r="AI109" s="53"/>
      <c r="AK109" s="54"/>
    </row>
    <row r="110" spans="1:37" x14ac:dyDescent="0.25">
      <c r="A110" s="124" t="s">
        <v>116</v>
      </c>
      <c r="B110" s="135">
        <v>5</v>
      </c>
      <c r="C110" s="136">
        <f t="shared" si="23"/>
        <v>5</v>
      </c>
      <c r="D110" s="136">
        <f t="shared" si="23"/>
        <v>5</v>
      </c>
      <c r="E110" s="136">
        <f t="shared" si="23"/>
        <v>5</v>
      </c>
      <c r="F110" s="136">
        <f t="shared" si="23"/>
        <v>5</v>
      </c>
      <c r="G110" s="136">
        <f t="shared" si="23"/>
        <v>5</v>
      </c>
      <c r="H110" s="136">
        <f t="shared" si="23"/>
        <v>5</v>
      </c>
      <c r="I110" s="136">
        <f t="shared" si="23"/>
        <v>5</v>
      </c>
      <c r="J110" s="136">
        <f t="shared" si="23"/>
        <v>5</v>
      </c>
      <c r="K110" s="136">
        <f t="shared" si="23"/>
        <v>5</v>
      </c>
      <c r="L110" s="136">
        <f t="shared" si="23"/>
        <v>5</v>
      </c>
      <c r="M110" s="136">
        <f t="shared" si="23"/>
        <v>5</v>
      </c>
      <c r="N110" s="136">
        <f t="shared" si="23"/>
        <v>5</v>
      </c>
      <c r="O110" s="136">
        <f t="shared" si="23"/>
        <v>5</v>
      </c>
      <c r="P110" s="136">
        <f t="shared" si="23"/>
        <v>5</v>
      </c>
      <c r="Q110" s="136">
        <f t="shared" si="23"/>
        <v>5</v>
      </c>
      <c r="R110" s="136">
        <f t="shared" si="23"/>
        <v>5</v>
      </c>
      <c r="S110" s="136">
        <f t="shared" si="24"/>
        <v>5</v>
      </c>
      <c r="T110" s="136">
        <f t="shared" si="24"/>
        <v>5</v>
      </c>
      <c r="U110" s="136">
        <f t="shared" si="24"/>
        <v>5</v>
      </c>
      <c r="V110" s="136">
        <f t="shared" si="24"/>
        <v>5</v>
      </c>
      <c r="W110" s="136">
        <f t="shared" si="24"/>
        <v>5</v>
      </c>
      <c r="X110" s="136">
        <f t="shared" si="24"/>
        <v>5</v>
      </c>
      <c r="Y110" s="136">
        <f t="shared" si="24"/>
        <v>5</v>
      </c>
      <c r="Z110" s="136">
        <f t="shared" si="24"/>
        <v>5</v>
      </c>
      <c r="AA110" s="136">
        <f t="shared" si="24"/>
        <v>5</v>
      </c>
      <c r="AB110" s="136">
        <f t="shared" si="24"/>
        <v>5</v>
      </c>
      <c r="AC110" s="136">
        <f t="shared" si="24"/>
        <v>5</v>
      </c>
      <c r="AD110" s="136">
        <f t="shared" si="24"/>
        <v>5</v>
      </c>
      <c r="AE110" s="136">
        <f t="shared" si="24"/>
        <v>5</v>
      </c>
      <c r="AF110" s="136">
        <f t="shared" si="24"/>
        <v>5</v>
      </c>
      <c r="AG110" s="138">
        <v>5</v>
      </c>
      <c r="AH110" s="52"/>
      <c r="AI110" s="53"/>
      <c r="AK110" s="54"/>
    </row>
    <row r="111" spans="1:37" x14ac:dyDescent="0.25">
      <c r="A111" s="124" t="s">
        <v>117</v>
      </c>
      <c r="B111" s="135">
        <v>1</v>
      </c>
      <c r="C111" s="136">
        <f t="shared" si="23"/>
        <v>1</v>
      </c>
      <c r="D111" s="136">
        <f t="shared" si="23"/>
        <v>1</v>
      </c>
      <c r="E111" s="136">
        <f t="shared" si="23"/>
        <v>1</v>
      </c>
      <c r="F111" s="136">
        <f t="shared" si="23"/>
        <v>1</v>
      </c>
      <c r="G111" s="136">
        <f t="shared" si="23"/>
        <v>1</v>
      </c>
      <c r="H111" s="136">
        <f t="shared" si="23"/>
        <v>1</v>
      </c>
      <c r="I111" s="136">
        <f t="shared" si="23"/>
        <v>1</v>
      </c>
      <c r="J111" s="136">
        <f t="shared" si="23"/>
        <v>1</v>
      </c>
      <c r="K111" s="136">
        <f t="shared" si="23"/>
        <v>1</v>
      </c>
      <c r="L111" s="136">
        <f t="shared" si="23"/>
        <v>1</v>
      </c>
      <c r="M111" s="136">
        <f t="shared" si="23"/>
        <v>1</v>
      </c>
      <c r="N111" s="136">
        <f t="shared" si="23"/>
        <v>1</v>
      </c>
      <c r="O111" s="136">
        <f t="shared" si="23"/>
        <v>1</v>
      </c>
      <c r="P111" s="136">
        <f t="shared" si="23"/>
        <v>1</v>
      </c>
      <c r="Q111" s="136">
        <f t="shared" si="23"/>
        <v>1</v>
      </c>
      <c r="R111" s="136">
        <f t="shared" si="23"/>
        <v>1</v>
      </c>
      <c r="S111" s="136">
        <f t="shared" si="24"/>
        <v>1</v>
      </c>
      <c r="T111" s="136">
        <f t="shared" si="24"/>
        <v>1</v>
      </c>
      <c r="U111" s="136">
        <f t="shared" si="24"/>
        <v>1</v>
      </c>
      <c r="V111" s="136">
        <f t="shared" si="24"/>
        <v>1</v>
      </c>
      <c r="W111" s="136">
        <f t="shared" si="24"/>
        <v>1</v>
      </c>
      <c r="X111" s="136">
        <f t="shared" si="24"/>
        <v>1</v>
      </c>
      <c r="Y111" s="136">
        <f t="shared" si="24"/>
        <v>1</v>
      </c>
      <c r="Z111" s="136">
        <f t="shared" si="24"/>
        <v>1</v>
      </c>
      <c r="AA111" s="136">
        <f t="shared" si="24"/>
        <v>1</v>
      </c>
      <c r="AB111" s="136">
        <f t="shared" si="24"/>
        <v>1</v>
      </c>
      <c r="AC111" s="136">
        <f t="shared" si="24"/>
        <v>1</v>
      </c>
      <c r="AD111" s="136">
        <f t="shared" si="24"/>
        <v>1</v>
      </c>
      <c r="AE111" s="136">
        <f t="shared" si="24"/>
        <v>1</v>
      </c>
      <c r="AF111" s="136">
        <f t="shared" si="24"/>
        <v>1</v>
      </c>
      <c r="AG111" s="138">
        <v>5</v>
      </c>
      <c r="AH111" s="52"/>
      <c r="AI111" s="53"/>
      <c r="AK111" s="54"/>
    </row>
    <row r="112" spans="1:37" x14ac:dyDescent="0.25">
      <c r="A112" s="124" t="s">
        <v>118</v>
      </c>
      <c r="B112" s="135">
        <v>1.58</v>
      </c>
      <c r="C112" s="136">
        <f t="shared" si="23"/>
        <v>1.58</v>
      </c>
      <c r="D112" s="136">
        <f t="shared" si="23"/>
        <v>1.58</v>
      </c>
      <c r="E112" s="136">
        <f t="shared" si="23"/>
        <v>1.58</v>
      </c>
      <c r="F112" s="136">
        <f t="shared" si="23"/>
        <v>1.58</v>
      </c>
      <c r="G112" s="136">
        <f t="shared" si="23"/>
        <v>1.58</v>
      </c>
      <c r="H112" s="136">
        <f t="shared" si="23"/>
        <v>1.58</v>
      </c>
      <c r="I112" s="136">
        <f t="shared" si="23"/>
        <v>1.58</v>
      </c>
      <c r="J112" s="136">
        <f t="shared" si="23"/>
        <v>1.58</v>
      </c>
      <c r="K112" s="136">
        <f t="shared" si="23"/>
        <v>1.58</v>
      </c>
      <c r="L112" s="136">
        <f t="shared" si="23"/>
        <v>1.58</v>
      </c>
      <c r="M112" s="136">
        <f t="shared" si="23"/>
        <v>1.58</v>
      </c>
      <c r="N112" s="136">
        <f t="shared" si="23"/>
        <v>1.58</v>
      </c>
      <c r="O112" s="136">
        <f t="shared" si="23"/>
        <v>1.58</v>
      </c>
      <c r="P112" s="136">
        <f t="shared" si="23"/>
        <v>1.58</v>
      </c>
      <c r="Q112" s="136">
        <f t="shared" si="23"/>
        <v>1.58</v>
      </c>
      <c r="R112" s="136">
        <f t="shared" si="23"/>
        <v>1.58</v>
      </c>
      <c r="S112" s="136">
        <f t="shared" si="24"/>
        <v>1.58</v>
      </c>
      <c r="T112" s="136">
        <f t="shared" si="24"/>
        <v>1.58</v>
      </c>
      <c r="U112" s="136">
        <f t="shared" si="24"/>
        <v>1.58</v>
      </c>
      <c r="V112" s="136">
        <f t="shared" si="24"/>
        <v>1.58</v>
      </c>
      <c r="W112" s="136">
        <f t="shared" si="24"/>
        <v>1.58</v>
      </c>
      <c r="X112" s="136">
        <f t="shared" si="24"/>
        <v>1.58</v>
      </c>
      <c r="Y112" s="136">
        <f t="shared" si="24"/>
        <v>1.58</v>
      </c>
      <c r="Z112" s="136">
        <f t="shared" si="24"/>
        <v>1.58</v>
      </c>
      <c r="AA112" s="136">
        <f t="shared" si="24"/>
        <v>1.58</v>
      </c>
      <c r="AB112" s="136">
        <f t="shared" si="24"/>
        <v>1.58</v>
      </c>
      <c r="AC112" s="136">
        <f t="shared" si="24"/>
        <v>1.58</v>
      </c>
      <c r="AD112" s="136">
        <f t="shared" si="24"/>
        <v>1.58</v>
      </c>
      <c r="AE112" s="136">
        <f t="shared" si="24"/>
        <v>1.58</v>
      </c>
      <c r="AF112" s="136">
        <f t="shared" si="24"/>
        <v>1.58</v>
      </c>
      <c r="AG112" s="138">
        <v>5</v>
      </c>
      <c r="AH112" s="52"/>
      <c r="AI112" s="53"/>
      <c r="AK112" s="54"/>
    </row>
    <row r="113" spans="1:37" x14ac:dyDescent="0.25">
      <c r="A113" s="124" t="s">
        <v>119</v>
      </c>
      <c r="B113" s="135">
        <v>1.46</v>
      </c>
      <c r="C113" s="136">
        <f t="shared" si="23"/>
        <v>1.46</v>
      </c>
      <c r="D113" s="136">
        <f t="shared" si="23"/>
        <v>1.46</v>
      </c>
      <c r="E113" s="136">
        <f t="shared" si="23"/>
        <v>1.46</v>
      </c>
      <c r="F113" s="136">
        <f t="shared" si="23"/>
        <v>1.46</v>
      </c>
      <c r="G113" s="136">
        <f t="shared" si="23"/>
        <v>1.46</v>
      </c>
      <c r="H113" s="136">
        <f t="shared" si="23"/>
        <v>1.46</v>
      </c>
      <c r="I113" s="136">
        <f t="shared" si="23"/>
        <v>1.46</v>
      </c>
      <c r="J113" s="136">
        <f t="shared" si="23"/>
        <v>1.46</v>
      </c>
      <c r="K113" s="136">
        <f t="shared" si="23"/>
        <v>1.46</v>
      </c>
      <c r="L113" s="136">
        <f t="shared" si="23"/>
        <v>1.46</v>
      </c>
      <c r="M113" s="136">
        <f t="shared" si="23"/>
        <v>1.46</v>
      </c>
      <c r="N113" s="136">
        <f t="shared" si="23"/>
        <v>1.46</v>
      </c>
      <c r="O113" s="136">
        <f t="shared" si="23"/>
        <v>1.46</v>
      </c>
      <c r="P113" s="136">
        <f t="shared" si="23"/>
        <v>1.46</v>
      </c>
      <c r="Q113" s="136">
        <f t="shared" si="23"/>
        <v>1.46</v>
      </c>
      <c r="R113" s="136">
        <f t="shared" si="23"/>
        <v>1.46</v>
      </c>
      <c r="S113" s="136">
        <f t="shared" si="24"/>
        <v>1.46</v>
      </c>
      <c r="T113" s="136">
        <f t="shared" si="24"/>
        <v>1.46</v>
      </c>
      <c r="U113" s="136">
        <f t="shared" si="24"/>
        <v>1.46</v>
      </c>
      <c r="V113" s="136">
        <f t="shared" si="24"/>
        <v>1.46</v>
      </c>
      <c r="W113" s="136">
        <f t="shared" si="24"/>
        <v>1.46</v>
      </c>
      <c r="X113" s="136">
        <f t="shared" si="24"/>
        <v>1.46</v>
      </c>
      <c r="Y113" s="136">
        <f t="shared" si="24"/>
        <v>1.46</v>
      </c>
      <c r="Z113" s="136">
        <f t="shared" si="24"/>
        <v>1.46</v>
      </c>
      <c r="AA113" s="136">
        <f t="shared" si="24"/>
        <v>1.46</v>
      </c>
      <c r="AB113" s="136">
        <f t="shared" si="24"/>
        <v>1.46</v>
      </c>
      <c r="AC113" s="136">
        <f t="shared" si="24"/>
        <v>1.46</v>
      </c>
      <c r="AD113" s="136">
        <f t="shared" si="24"/>
        <v>1.46</v>
      </c>
      <c r="AE113" s="136">
        <f t="shared" si="24"/>
        <v>1.46</v>
      </c>
      <c r="AF113" s="136">
        <f t="shared" si="24"/>
        <v>1.46</v>
      </c>
      <c r="AG113" s="138">
        <v>4.95</v>
      </c>
      <c r="AH113" s="52"/>
      <c r="AI113" s="53"/>
      <c r="AK113" s="54"/>
    </row>
    <row r="114" spans="1:37" x14ac:dyDescent="0.25">
      <c r="A114" s="124" t="s">
        <v>120</v>
      </c>
      <c r="B114" s="135">
        <v>1.48</v>
      </c>
      <c r="C114" s="136">
        <f t="shared" si="23"/>
        <v>1.48</v>
      </c>
      <c r="D114" s="136">
        <f t="shared" si="23"/>
        <v>1.48</v>
      </c>
      <c r="E114" s="136">
        <f t="shared" si="23"/>
        <v>1.48</v>
      </c>
      <c r="F114" s="136">
        <f t="shared" si="23"/>
        <v>1.48</v>
      </c>
      <c r="G114" s="136">
        <f t="shared" si="23"/>
        <v>1.48</v>
      </c>
      <c r="H114" s="136">
        <f t="shared" si="23"/>
        <v>1.48</v>
      </c>
      <c r="I114" s="136">
        <f t="shared" si="23"/>
        <v>1.48</v>
      </c>
      <c r="J114" s="136">
        <f t="shared" si="23"/>
        <v>1.48</v>
      </c>
      <c r="K114" s="136">
        <f t="shared" si="23"/>
        <v>1.48</v>
      </c>
      <c r="L114" s="136">
        <f t="shared" si="23"/>
        <v>1.48</v>
      </c>
      <c r="M114" s="136">
        <f t="shared" si="23"/>
        <v>1.48</v>
      </c>
      <c r="N114" s="136">
        <f t="shared" si="23"/>
        <v>1.48</v>
      </c>
      <c r="O114" s="136">
        <f t="shared" si="23"/>
        <v>1.48</v>
      </c>
      <c r="P114" s="136">
        <f t="shared" si="23"/>
        <v>1.48</v>
      </c>
      <c r="Q114" s="136">
        <f t="shared" si="23"/>
        <v>1.48</v>
      </c>
      <c r="R114" s="136">
        <f t="shared" si="23"/>
        <v>1.48</v>
      </c>
      <c r="S114" s="136">
        <f t="shared" si="24"/>
        <v>1.48</v>
      </c>
      <c r="T114" s="136">
        <f t="shared" si="24"/>
        <v>1.48</v>
      </c>
      <c r="U114" s="136">
        <f t="shared" si="24"/>
        <v>1.48</v>
      </c>
      <c r="V114" s="136">
        <f t="shared" si="24"/>
        <v>1.48</v>
      </c>
      <c r="W114" s="136">
        <f t="shared" si="24"/>
        <v>1.48</v>
      </c>
      <c r="X114" s="136">
        <f t="shared" si="24"/>
        <v>1.48</v>
      </c>
      <c r="Y114" s="136">
        <f t="shared" si="24"/>
        <v>1.48</v>
      </c>
      <c r="Z114" s="136">
        <f t="shared" si="24"/>
        <v>1.48</v>
      </c>
      <c r="AA114" s="136">
        <f t="shared" si="24"/>
        <v>1.48</v>
      </c>
      <c r="AB114" s="136">
        <f t="shared" si="24"/>
        <v>1.48</v>
      </c>
      <c r="AC114" s="136">
        <f t="shared" si="24"/>
        <v>1.48</v>
      </c>
      <c r="AD114" s="136">
        <f t="shared" si="24"/>
        <v>1.48</v>
      </c>
      <c r="AE114" s="136">
        <f t="shared" si="24"/>
        <v>1.48</v>
      </c>
      <c r="AF114" s="136">
        <f t="shared" si="24"/>
        <v>1.48</v>
      </c>
      <c r="AG114" s="138">
        <v>4.95</v>
      </c>
      <c r="AH114" s="52"/>
      <c r="AI114" s="53"/>
      <c r="AK114" s="54"/>
    </row>
    <row r="115" spans="1:37" x14ac:dyDescent="0.25">
      <c r="A115" s="124" t="s">
        <v>121</v>
      </c>
      <c r="B115" s="135">
        <v>2.2000000000000002</v>
      </c>
      <c r="C115" s="136">
        <f t="shared" si="23"/>
        <v>2.2000000000000002</v>
      </c>
      <c r="D115" s="136">
        <f t="shared" si="23"/>
        <v>2.2000000000000002</v>
      </c>
      <c r="E115" s="136">
        <f t="shared" si="23"/>
        <v>2.2000000000000002</v>
      </c>
      <c r="F115" s="136">
        <f t="shared" si="23"/>
        <v>2.2000000000000002</v>
      </c>
      <c r="G115" s="136">
        <f t="shared" si="23"/>
        <v>2.2000000000000002</v>
      </c>
      <c r="H115" s="136">
        <f t="shared" si="23"/>
        <v>2.2000000000000002</v>
      </c>
      <c r="I115" s="136">
        <f t="shared" si="23"/>
        <v>2.2000000000000002</v>
      </c>
      <c r="J115" s="136">
        <f t="shared" si="23"/>
        <v>2.2000000000000002</v>
      </c>
      <c r="K115" s="136">
        <f t="shared" si="23"/>
        <v>2.2000000000000002</v>
      </c>
      <c r="L115" s="136">
        <f t="shared" si="23"/>
        <v>2.2000000000000002</v>
      </c>
      <c r="M115" s="136">
        <f t="shared" si="23"/>
        <v>2.2000000000000002</v>
      </c>
      <c r="N115" s="136">
        <f t="shared" si="23"/>
        <v>2.2000000000000002</v>
      </c>
      <c r="O115" s="136">
        <f t="shared" si="23"/>
        <v>2.2000000000000002</v>
      </c>
      <c r="P115" s="136">
        <f t="shared" si="23"/>
        <v>2.2000000000000002</v>
      </c>
      <c r="Q115" s="136">
        <f t="shared" si="23"/>
        <v>2.2000000000000002</v>
      </c>
      <c r="R115" s="136">
        <f t="shared" si="23"/>
        <v>2.2000000000000002</v>
      </c>
      <c r="S115" s="136">
        <f t="shared" si="24"/>
        <v>2.2000000000000002</v>
      </c>
      <c r="T115" s="136">
        <f t="shared" si="24"/>
        <v>2.2000000000000002</v>
      </c>
      <c r="U115" s="136">
        <f t="shared" si="24"/>
        <v>2.2000000000000002</v>
      </c>
      <c r="V115" s="136">
        <f t="shared" si="24"/>
        <v>2.2000000000000002</v>
      </c>
      <c r="W115" s="136">
        <f t="shared" si="24"/>
        <v>2.2000000000000002</v>
      </c>
      <c r="X115" s="136">
        <f t="shared" si="24"/>
        <v>2.2000000000000002</v>
      </c>
      <c r="Y115" s="136">
        <f t="shared" si="24"/>
        <v>2.2000000000000002</v>
      </c>
      <c r="Z115" s="136">
        <f t="shared" si="24"/>
        <v>2.2000000000000002</v>
      </c>
      <c r="AA115" s="136">
        <f t="shared" si="24"/>
        <v>2.2000000000000002</v>
      </c>
      <c r="AB115" s="136">
        <f t="shared" si="24"/>
        <v>2.2000000000000002</v>
      </c>
      <c r="AC115" s="136">
        <f t="shared" si="24"/>
        <v>2.2000000000000002</v>
      </c>
      <c r="AD115" s="136">
        <f t="shared" si="24"/>
        <v>2.2000000000000002</v>
      </c>
      <c r="AE115" s="136">
        <f t="shared" si="24"/>
        <v>2.2000000000000002</v>
      </c>
      <c r="AF115" s="136">
        <f t="shared" si="24"/>
        <v>2.2000000000000002</v>
      </c>
      <c r="AG115" s="138">
        <v>4.8</v>
      </c>
      <c r="AH115" s="52"/>
      <c r="AI115" s="53"/>
      <c r="AK115" s="54"/>
    </row>
    <row r="116" spans="1:37" x14ac:dyDescent="0.25">
      <c r="A116" s="124" t="s">
        <v>122</v>
      </c>
      <c r="B116" s="135">
        <v>2</v>
      </c>
      <c r="C116" s="136">
        <f t="shared" si="23"/>
        <v>2</v>
      </c>
      <c r="D116" s="136">
        <f t="shared" si="23"/>
        <v>2</v>
      </c>
      <c r="E116" s="136">
        <f t="shared" si="23"/>
        <v>2</v>
      </c>
      <c r="F116" s="136">
        <f t="shared" si="23"/>
        <v>2</v>
      </c>
      <c r="G116" s="136">
        <f t="shared" si="23"/>
        <v>2</v>
      </c>
      <c r="H116" s="136">
        <f t="shared" si="23"/>
        <v>2</v>
      </c>
      <c r="I116" s="136">
        <f t="shared" si="23"/>
        <v>2</v>
      </c>
      <c r="J116" s="136">
        <f t="shared" si="23"/>
        <v>2</v>
      </c>
      <c r="K116" s="136">
        <f t="shared" si="23"/>
        <v>2</v>
      </c>
      <c r="L116" s="136">
        <f t="shared" si="23"/>
        <v>2</v>
      </c>
      <c r="M116" s="136">
        <f t="shared" si="23"/>
        <v>2</v>
      </c>
      <c r="N116" s="136">
        <f t="shared" si="23"/>
        <v>2</v>
      </c>
      <c r="O116" s="136">
        <f t="shared" si="23"/>
        <v>2</v>
      </c>
      <c r="P116" s="136">
        <f t="shared" si="23"/>
        <v>2</v>
      </c>
      <c r="Q116" s="136">
        <f t="shared" si="23"/>
        <v>2</v>
      </c>
      <c r="R116" s="136">
        <f t="shared" si="23"/>
        <v>2</v>
      </c>
      <c r="S116" s="136">
        <f t="shared" si="24"/>
        <v>2</v>
      </c>
      <c r="T116" s="136">
        <f t="shared" si="24"/>
        <v>2</v>
      </c>
      <c r="U116" s="136">
        <f t="shared" si="24"/>
        <v>2</v>
      </c>
      <c r="V116" s="136">
        <f t="shared" si="24"/>
        <v>2</v>
      </c>
      <c r="W116" s="136">
        <f t="shared" si="24"/>
        <v>2</v>
      </c>
      <c r="X116" s="136">
        <f t="shared" si="24"/>
        <v>2</v>
      </c>
      <c r="Y116" s="136">
        <f t="shared" si="24"/>
        <v>2</v>
      </c>
      <c r="Z116" s="136">
        <f t="shared" si="24"/>
        <v>2</v>
      </c>
      <c r="AA116" s="136">
        <f t="shared" si="24"/>
        <v>2</v>
      </c>
      <c r="AB116" s="136">
        <f t="shared" si="24"/>
        <v>2</v>
      </c>
      <c r="AC116" s="136">
        <f t="shared" si="24"/>
        <v>2</v>
      </c>
      <c r="AD116" s="136">
        <f t="shared" si="24"/>
        <v>2</v>
      </c>
      <c r="AE116" s="136">
        <f t="shared" si="24"/>
        <v>2</v>
      </c>
      <c r="AF116" s="136">
        <f t="shared" si="24"/>
        <v>2</v>
      </c>
      <c r="AG116" s="138">
        <v>4.8</v>
      </c>
      <c r="AH116" s="52"/>
      <c r="AI116" s="53"/>
      <c r="AK116" s="54"/>
    </row>
    <row r="117" spans="1:37" x14ac:dyDescent="0.25">
      <c r="A117" s="124" t="s">
        <v>123</v>
      </c>
      <c r="B117" s="135">
        <v>1.25</v>
      </c>
      <c r="C117" s="136">
        <f t="shared" si="23"/>
        <v>1.25</v>
      </c>
      <c r="D117" s="136">
        <f t="shared" si="23"/>
        <v>1.25</v>
      </c>
      <c r="E117" s="136">
        <f t="shared" si="23"/>
        <v>1.25</v>
      </c>
      <c r="F117" s="136">
        <f t="shared" si="23"/>
        <v>1.25</v>
      </c>
      <c r="G117" s="136">
        <f t="shared" si="23"/>
        <v>1.25</v>
      </c>
      <c r="H117" s="136">
        <f t="shared" si="23"/>
        <v>1.25</v>
      </c>
      <c r="I117" s="136">
        <f t="shared" si="23"/>
        <v>1.25</v>
      </c>
      <c r="J117" s="136">
        <f t="shared" si="23"/>
        <v>1.25</v>
      </c>
      <c r="K117" s="136">
        <f t="shared" si="23"/>
        <v>1.25</v>
      </c>
      <c r="L117" s="136">
        <f t="shared" si="23"/>
        <v>1.25</v>
      </c>
      <c r="M117" s="136">
        <f t="shared" si="23"/>
        <v>1.25</v>
      </c>
      <c r="N117" s="136">
        <f t="shared" si="23"/>
        <v>1.25</v>
      </c>
      <c r="O117" s="136">
        <f t="shared" si="23"/>
        <v>1.25</v>
      </c>
      <c r="P117" s="136">
        <f t="shared" si="23"/>
        <v>1.25</v>
      </c>
      <c r="Q117" s="136">
        <f t="shared" si="23"/>
        <v>1.25</v>
      </c>
      <c r="R117" s="136">
        <f t="shared" si="23"/>
        <v>1.25</v>
      </c>
      <c r="S117" s="136">
        <f t="shared" si="24"/>
        <v>1.25</v>
      </c>
      <c r="T117" s="136">
        <f t="shared" si="24"/>
        <v>1.25</v>
      </c>
      <c r="U117" s="136">
        <f t="shared" si="24"/>
        <v>1.25</v>
      </c>
      <c r="V117" s="136">
        <f t="shared" si="24"/>
        <v>1.25</v>
      </c>
      <c r="W117" s="136">
        <f t="shared" si="24"/>
        <v>1.25</v>
      </c>
      <c r="X117" s="136">
        <f t="shared" si="24"/>
        <v>1.25</v>
      </c>
      <c r="Y117" s="136">
        <f t="shared" si="24"/>
        <v>1.25</v>
      </c>
      <c r="Z117" s="136">
        <f t="shared" si="24"/>
        <v>1.25</v>
      </c>
      <c r="AA117" s="136">
        <f t="shared" si="24"/>
        <v>1.25</v>
      </c>
      <c r="AB117" s="136">
        <f t="shared" si="24"/>
        <v>1.25</v>
      </c>
      <c r="AC117" s="136">
        <f t="shared" si="24"/>
        <v>1.25</v>
      </c>
      <c r="AD117" s="136">
        <f t="shared" si="24"/>
        <v>1.25</v>
      </c>
      <c r="AE117" s="136">
        <f t="shared" si="24"/>
        <v>1.25</v>
      </c>
      <c r="AF117" s="136">
        <f t="shared" si="24"/>
        <v>1.25</v>
      </c>
      <c r="AG117" s="138">
        <v>4.5</v>
      </c>
      <c r="AH117" s="52"/>
      <c r="AI117" s="53"/>
      <c r="AK117" s="54"/>
    </row>
    <row r="118" spans="1:37" x14ac:dyDescent="0.25">
      <c r="A118" s="124" t="s">
        <v>124</v>
      </c>
      <c r="B118" s="135">
        <v>1.1499999999999999</v>
      </c>
      <c r="C118" s="136">
        <f t="shared" si="23"/>
        <v>1.1499999999999999</v>
      </c>
      <c r="D118" s="136">
        <f t="shared" si="23"/>
        <v>1.1499999999999999</v>
      </c>
      <c r="E118" s="136">
        <f t="shared" si="23"/>
        <v>1.1499999999999999</v>
      </c>
      <c r="F118" s="136">
        <f t="shared" si="23"/>
        <v>1.1499999999999999</v>
      </c>
      <c r="G118" s="136">
        <f t="shared" si="23"/>
        <v>1.1499999999999999</v>
      </c>
      <c r="H118" s="136">
        <f t="shared" si="23"/>
        <v>1.1499999999999999</v>
      </c>
      <c r="I118" s="136">
        <f t="shared" si="23"/>
        <v>1.1499999999999999</v>
      </c>
      <c r="J118" s="136">
        <f t="shared" si="23"/>
        <v>1.1499999999999999</v>
      </c>
      <c r="K118" s="136">
        <f t="shared" si="23"/>
        <v>1.1499999999999999</v>
      </c>
      <c r="L118" s="136">
        <f t="shared" si="23"/>
        <v>1.1499999999999999</v>
      </c>
      <c r="M118" s="136">
        <f t="shared" si="23"/>
        <v>1.1499999999999999</v>
      </c>
      <c r="N118" s="136">
        <f t="shared" si="23"/>
        <v>1.1499999999999999</v>
      </c>
      <c r="O118" s="136">
        <f t="shared" si="23"/>
        <v>1.1499999999999999</v>
      </c>
      <c r="P118" s="136">
        <f t="shared" si="23"/>
        <v>1.1499999999999999</v>
      </c>
      <c r="Q118" s="136">
        <f t="shared" si="23"/>
        <v>1.1499999999999999</v>
      </c>
      <c r="R118" s="136">
        <f t="shared" si="23"/>
        <v>1.1499999999999999</v>
      </c>
      <c r="S118" s="136">
        <f t="shared" si="24"/>
        <v>1.1499999999999999</v>
      </c>
      <c r="T118" s="136">
        <f t="shared" si="24"/>
        <v>1.1499999999999999</v>
      </c>
      <c r="U118" s="136">
        <f t="shared" si="24"/>
        <v>1.1499999999999999</v>
      </c>
      <c r="V118" s="136">
        <f t="shared" si="24"/>
        <v>1.1499999999999999</v>
      </c>
      <c r="W118" s="136">
        <f t="shared" si="24"/>
        <v>1.1499999999999999</v>
      </c>
      <c r="X118" s="136">
        <f t="shared" si="24"/>
        <v>1.1499999999999999</v>
      </c>
      <c r="Y118" s="136">
        <f t="shared" si="24"/>
        <v>1.1499999999999999</v>
      </c>
      <c r="Z118" s="136">
        <f t="shared" si="24"/>
        <v>1.1499999999999999</v>
      </c>
      <c r="AA118" s="136">
        <f t="shared" si="24"/>
        <v>1.1499999999999999</v>
      </c>
      <c r="AB118" s="136">
        <f t="shared" si="24"/>
        <v>1.1499999999999999</v>
      </c>
      <c r="AC118" s="136">
        <f t="shared" si="24"/>
        <v>1.1499999999999999</v>
      </c>
      <c r="AD118" s="136">
        <f t="shared" si="24"/>
        <v>1.1499999999999999</v>
      </c>
      <c r="AE118" s="136">
        <f t="shared" si="24"/>
        <v>1.1499999999999999</v>
      </c>
      <c r="AF118" s="136">
        <f t="shared" si="24"/>
        <v>1.1499999999999999</v>
      </c>
      <c r="AG118" s="138">
        <v>4.4550000000000001</v>
      </c>
      <c r="AH118" s="52"/>
      <c r="AI118" s="53"/>
      <c r="AK118" s="54"/>
    </row>
    <row r="119" spans="1:37" x14ac:dyDescent="0.25">
      <c r="A119" s="124" t="s">
        <v>125</v>
      </c>
      <c r="B119" s="135">
        <v>2.133</v>
      </c>
      <c r="C119" s="136">
        <f t="shared" si="23"/>
        <v>2.133</v>
      </c>
      <c r="D119" s="136">
        <f t="shared" si="23"/>
        <v>2.133</v>
      </c>
      <c r="E119" s="136">
        <f t="shared" si="23"/>
        <v>2.133</v>
      </c>
      <c r="F119" s="136">
        <f t="shared" si="23"/>
        <v>2.133</v>
      </c>
      <c r="G119" s="136">
        <f t="shared" si="23"/>
        <v>2.133</v>
      </c>
      <c r="H119" s="136">
        <f t="shared" si="23"/>
        <v>2.133</v>
      </c>
      <c r="I119" s="136">
        <f t="shared" si="23"/>
        <v>2.133</v>
      </c>
      <c r="J119" s="136">
        <f t="shared" si="23"/>
        <v>2.133</v>
      </c>
      <c r="K119" s="136">
        <f t="shared" si="23"/>
        <v>2.133</v>
      </c>
      <c r="L119" s="136">
        <f t="shared" si="23"/>
        <v>2.133</v>
      </c>
      <c r="M119" s="136">
        <f t="shared" si="23"/>
        <v>2.133</v>
      </c>
      <c r="N119" s="136">
        <f t="shared" si="23"/>
        <v>2.133</v>
      </c>
      <c r="O119" s="136">
        <f t="shared" si="23"/>
        <v>2.133</v>
      </c>
      <c r="P119" s="136">
        <f t="shared" si="23"/>
        <v>2.133</v>
      </c>
      <c r="Q119" s="136">
        <f t="shared" si="23"/>
        <v>2.133</v>
      </c>
      <c r="R119" s="136">
        <f t="shared" si="23"/>
        <v>2.133</v>
      </c>
      <c r="S119" s="136">
        <f t="shared" si="24"/>
        <v>2.133</v>
      </c>
      <c r="T119" s="136">
        <f t="shared" si="24"/>
        <v>2.133</v>
      </c>
      <c r="U119" s="136">
        <f t="shared" si="24"/>
        <v>2.133</v>
      </c>
      <c r="V119" s="136">
        <f t="shared" si="24"/>
        <v>2.133</v>
      </c>
      <c r="W119" s="136">
        <f t="shared" si="24"/>
        <v>2.133</v>
      </c>
      <c r="X119" s="136">
        <f t="shared" si="24"/>
        <v>2.133</v>
      </c>
      <c r="Y119" s="136">
        <f t="shared" si="24"/>
        <v>2.133</v>
      </c>
      <c r="Z119" s="136">
        <f t="shared" si="24"/>
        <v>2.133</v>
      </c>
      <c r="AA119" s="136">
        <f t="shared" si="24"/>
        <v>2.133</v>
      </c>
      <c r="AB119" s="136">
        <f t="shared" si="24"/>
        <v>2.133</v>
      </c>
      <c r="AC119" s="136">
        <f t="shared" si="24"/>
        <v>2.133</v>
      </c>
      <c r="AD119" s="136">
        <f t="shared" si="24"/>
        <v>2.133</v>
      </c>
      <c r="AE119" s="136">
        <f t="shared" si="24"/>
        <v>2.133</v>
      </c>
      <c r="AF119" s="136">
        <f t="shared" si="24"/>
        <v>2.133</v>
      </c>
      <c r="AG119" s="138">
        <v>4.41</v>
      </c>
      <c r="AH119" s="52"/>
      <c r="AI119" s="53"/>
      <c r="AK119" s="54"/>
    </row>
    <row r="120" spans="1:37" x14ac:dyDescent="0.25">
      <c r="A120" s="124" t="s">
        <v>126</v>
      </c>
      <c r="B120" s="135">
        <v>2.09</v>
      </c>
      <c r="C120" s="136">
        <f t="shared" si="23"/>
        <v>2.09</v>
      </c>
      <c r="D120" s="136">
        <f t="shared" si="23"/>
        <v>2.09</v>
      </c>
      <c r="E120" s="136">
        <f t="shared" si="23"/>
        <v>2.09</v>
      </c>
      <c r="F120" s="136">
        <f t="shared" si="23"/>
        <v>2.09</v>
      </c>
      <c r="G120" s="136">
        <f t="shared" si="23"/>
        <v>2.09</v>
      </c>
      <c r="H120" s="136">
        <f t="shared" si="23"/>
        <v>2.09</v>
      </c>
      <c r="I120" s="136">
        <f t="shared" si="23"/>
        <v>2.09</v>
      </c>
      <c r="J120" s="136">
        <f t="shared" si="23"/>
        <v>2.09</v>
      </c>
      <c r="K120" s="136">
        <f t="shared" si="23"/>
        <v>2.09</v>
      </c>
      <c r="L120" s="136">
        <f t="shared" si="23"/>
        <v>2.09</v>
      </c>
      <c r="M120" s="136">
        <f t="shared" si="23"/>
        <v>2.09</v>
      </c>
      <c r="N120" s="136">
        <f t="shared" si="23"/>
        <v>2.09</v>
      </c>
      <c r="O120" s="136">
        <f t="shared" si="23"/>
        <v>2.09</v>
      </c>
      <c r="P120" s="136">
        <f t="shared" si="23"/>
        <v>2.09</v>
      </c>
      <c r="Q120" s="136">
        <f t="shared" si="23"/>
        <v>2.09</v>
      </c>
      <c r="R120" s="136">
        <f t="shared" ref="R120:W170" si="25">Q120</f>
        <v>2.09</v>
      </c>
      <c r="S120" s="136">
        <f t="shared" si="24"/>
        <v>2.09</v>
      </c>
      <c r="T120" s="136">
        <f t="shared" si="24"/>
        <v>2.09</v>
      </c>
      <c r="U120" s="136">
        <f t="shared" si="24"/>
        <v>2.09</v>
      </c>
      <c r="V120" s="136">
        <f t="shared" si="24"/>
        <v>2.09</v>
      </c>
      <c r="W120" s="136">
        <f t="shared" si="24"/>
        <v>2.09</v>
      </c>
      <c r="X120" s="136">
        <f t="shared" si="24"/>
        <v>2.09</v>
      </c>
      <c r="Y120" s="136">
        <f t="shared" si="24"/>
        <v>2.09</v>
      </c>
      <c r="Z120" s="136">
        <f t="shared" si="24"/>
        <v>2.09</v>
      </c>
      <c r="AA120" s="136">
        <f t="shared" si="24"/>
        <v>2.09</v>
      </c>
      <c r="AB120" s="136">
        <f t="shared" si="24"/>
        <v>2.09</v>
      </c>
      <c r="AC120" s="136">
        <f t="shared" si="24"/>
        <v>2.09</v>
      </c>
      <c r="AD120" s="136">
        <f t="shared" si="24"/>
        <v>2.09</v>
      </c>
      <c r="AE120" s="136">
        <f t="shared" si="24"/>
        <v>2.09</v>
      </c>
      <c r="AF120" s="136">
        <f t="shared" si="24"/>
        <v>2.09</v>
      </c>
      <c r="AG120" s="138">
        <v>4.4000000000000004</v>
      </c>
      <c r="AH120" s="52"/>
      <c r="AI120" s="53"/>
      <c r="AK120" s="54"/>
    </row>
    <row r="121" spans="1:37" x14ac:dyDescent="0.25">
      <c r="A121" s="124" t="s">
        <v>127</v>
      </c>
      <c r="B121" s="135">
        <v>1.1399999999999999</v>
      </c>
      <c r="C121" s="136">
        <f t="shared" ref="C121:Q137" si="26">B121</f>
        <v>1.1399999999999999</v>
      </c>
      <c r="D121" s="136">
        <f t="shared" si="26"/>
        <v>1.1399999999999999</v>
      </c>
      <c r="E121" s="136">
        <f t="shared" si="26"/>
        <v>1.1399999999999999</v>
      </c>
      <c r="F121" s="136">
        <f t="shared" si="26"/>
        <v>1.1399999999999999</v>
      </c>
      <c r="G121" s="136">
        <f t="shared" si="26"/>
        <v>1.1399999999999999</v>
      </c>
      <c r="H121" s="136">
        <f t="shared" si="26"/>
        <v>1.1399999999999999</v>
      </c>
      <c r="I121" s="136">
        <f t="shared" si="26"/>
        <v>1.1399999999999999</v>
      </c>
      <c r="J121" s="136">
        <f t="shared" si="26"/>
        <v>1.1399999999999999</v>
      </c>
      <c r="K121" s="136">
        <f t="shared" si="26"/>
        <v>1.1399999999999999</v>
      </c>
      <c r="L121" s="136">
        <f t="shared" si="26"/>
        <v>1.1399999999999999</v>
      </c>
      <c r="M121" s="136">
        <f t="shared" si="26"/>
        <v>1.1399999999999999</v>
      </c>
      <c r="N121" s="136">
        <f t="shared" si="26"/>
        <v>1.1399999999999999</v>
      </c>
      <c r="O121" s="136">
        <f t="shared" si="26"/>
        <v>1.1399999999999999</v>
      </c>
      <c r="P121" s="136">
        <f t="shared" si="26"/>
        <v>1.1399999999999999</v>
      </c>
      <c r="Q121" s="136">
        <f t="shared" si="26"/>
        <v>1.1399999999999999</v>
      </c>
      <c r="R121" s="136">
        <f t="shared" si="25"/>
        <v>1.1399999999999999</v>
      </c>
      <c r="S121" s="136">
        <f t="shared" si="24"/>
        <v>1.1399999999999999</v>
      </c>
      <c r="T121" s="136">
        <f t="shared" si="24"/>
        <v>1.1399999999999999</v>
      </c>
      <c r="U121" s="136">
        <f t="shared" si="24"/>
        <v>1.1399999999999999</v>
      </c>
      <c r="V121" s="136">
        <f t="shared" si="24"/>
        <v>1.1399999999999999</v>
      </c>
      <c r="W121" s="136">
        <f t="shared" si="24"/>
        <v>1.1399999999999999</v>
      </c>
      <c r="X121" s="136">
        <f t="shared" si="24"/>
        <v>1.1399999999999999</v>
      </c>
      <c r="Y121" s="136">
        <f t="shared" si="24"/>
        <v>1.1399999999999999</v>
      </c>
      <c r="Z121" s="136">
        <f t="shared" si="24"/>
        <v>1.1399999999999999</v>
      </c>
      <c r="AA121" s="136">
        <f t="shared" si="24"/>
        <v>1.1399999999999999</v>
      </c>
      <c r="AB121" s="136">
        <f t="shared" si="24"/>
        <v>1.1399999999999999</v>
      </c>
      <c r="AC121" s="136">
        <f t="shared" si="24"/>
        <v>1.1399999999999999</v>
      </c>
      <c r="AD121" s="136">
        <f t="shared" si="24"/>
        <v>1.1399999999999999</v>
      </c>
      <c r="AE121" s="136">
        <f t="shared" si="24"/>
        <v>1.1399999999999999</v>
      </c>
      <c r="AF121" s="136">
        <f t="shared" si="24"/>
        <v>1.1399999999999999</v>
      </c>
      <c r="AG121" s="138">
        <v>4.3600000000000003</v>
      </c>
      <c r="AH121" s="52"/>
      <c r="AI121" s="53"/>
      <c r="AK121" s="54"/>
    </row>
    <row r="122" spans="1:37" x14ac:dyDescent="0.25">
      <c r="A122" s="124" t="s">
        <v>128</v>
      </c>
      <c r="B122" s="135">
        <v>0.82</v>
      </c>
      <c r="C122" s="136">
        <f t="shared" si="26"/>
        <v>0.82</v>
      </c>
      <c r="D122" s="136">
        <f t="shared" si="26"/>
        <v>0.82</v>
      </c>
      <c r="E122" s="136">
        <f t="shared" si="26"/>
        <v>0.82</v>
      </c>
      <c r="F122" s="136">
        <f t="shared" si="26"/>
        <v>0.82</v>
      </c>
      <c r="G122" s="136">
        <f t="shared" si="26"/>
        <v>0.82</v>
      </c>
      <c r="H122" s="136">
        <f t="shared" si="26"/>
        <v>0.82</v>
      </c>
      <c r="I122" s="136">
        <f t="shared" si="26"/>
        <v>0.82</v>
      </c>
      <c r="J122" s="136">
        <f t="shared" si="26"/>
        <v>0.82</v>
      </c>
      <c r="K122" s="136">
        <f t="shared" si="26"/>
        <v>0.82</v>
      </c>
      <c r="L122" s="136">
        <f t="shared" si="26"/>
        <v>0.82</v>
      </c>
      <c r="M122" s="136">
        <f t="shared" si="26"/>
        <v>0.82</v>
      </c>
      <c r="N122" s="136">
        <f t="shared" si="26"/>
        <v>0.82</v>
      </c>
      <c r="O122" s="136">
        <f t="shared" si="26"/>
        <v>0.82</v>
      </c>
      <c r="P122" s="136">
        <f t="shared" si="26"/>
        <v>0.82</v>
      </c>
      <c r="Q122" s="136">
        <f t="shared" si="26"/>
        <v>0.82</v>
      </c>
      <c r="R122" s="136">
        <f t="shared" si="25"/>
        <v>0.82</v>
      </c>
      <c r="S122" s="136">
        <f t="shared" si="24"/>
        <v>0.82</v>
      </c>
      <c r="T122" s="136">
        <f t="shared" si="24"/>
        <v>0.82</v>
      </c>
      <c r="U122" s="136">
        <f t="shared" si="24"/>
        <v>0.82</v>
      </c>
      <c r="V122" s="136">
        <f t="shared" si="24"/>
        <v>0.82</v>
      </c>
      <c r="W122" s="136">
        <f t="shared" si="24"/>
        <v>0.82</v>
      </c>
      <c r="X122" s="136">
        <f t="shared" si="24"/>
        <v>0.82</v>
      </c>
      <c r="Y122" s="136">
        <f t="shared" si="24"/>
        <v>0.82</v>
      </c>
      <c r="Z122" s="136">
        <f t="shared" si="24"/>
        <v>0.82</v>
      </c>
      <c r="AA122" s="136">
        <f t="shared" si="24"/>
        <v>0.82</v>
      </c>
      <c r="AB122" s="136">
        <f t="shared" si="24"/>
        <v>0.82</v>
      </c>
      <c r="AC122" s="136">
        <f t="shared" si="24"/>
        <v>0.82</v>
      </c>
      <c r="AD122" s="136">
        <f t="shared" si="24"/>
        <v>0.82</v>
      </c>
      <c r="AE122" s="136">
        <f t="shared" si="24"/>
        <v>0.82</v>
      </c>
      <c r="AF122" s="136">
        <f t="shared" si="24"/>
        <v>0.82</v>
      </c>
      <c r="AG122" s="138">
        <v>4.2</v>
      </c>
      <c r="AH122" s="52"/>
      <c r="AI122" s="53"/>
      <c r="AK122" s="54"/>
    </row>
    <row r="123" spans="1:37" x14ac:dyDescent="0.25">
      <c r="A123" s="124" t="s">
        <v>129</v>
      </c>
      <c r="B123" s="135">
        <v>2</v>
      </c>
      <c r="C123" s="136">
        <f t="shared" si="26"/>
        <v>2</v>
      </c>
      <c r="D123" s="136">
        <f t="shared" si="26"/>
        <v>2</v>
      </c>
      <c r="E123" s="136">
        <f t="shared" si="26"/>
        <v>2</v>
      </c>
      <c r="F123" s="136">
        <f t="shared" si="26"/>
        <v>2</v>
      </c>
      <c r="G123" s="136">
        <f t="shared" si="26"/>
        <v>2</v>
      </c>
      <c r="H123" s="136">
        <f t="shared" si="26"/>
        <v>2</v>
      </c>
      <c r="I123" s="136">
        <f t="shared" si="26"/>
        <v>2</v>
      </c>
      <c r="J123" s="136">
        <f t="shared" si="26"/>
        <v>2</v>
      </c>
      <c r="K123" s="136">
        <f t="shared" si="26"/>
        <v>2</v>
      </c>
      <c r="L123" s="136">
        <f t="shared" si="26"/>
        <v>2</v>
      </c>
      <c r="M123" s="136">
        <f t="shared" si="26"/>
        <v>2</v>
      </c>
      <c r="N123" s="136">
        <f t="shared" si="26"/>
        <v>2</v>
      </c>
      <c r="O123" s="136">
        <f t="shared" si="26"/>
        <v>2</v>
      </c>
      <c r="P123" s="136">
        <f t="shared" si="26"/>
        <v>2</v>
      </c>
      <c r="Q123" s="136">
        <f t="shared" si="26"/>
        <v>2</v>
      </c>
      <c r="R123" s="136">
        <f t="shared" si="25"/>
        <v>2</v>
      </c>
      <c r="S123" s="136">
        <f t="shared" si="24"/>
        <v>2</v>
      </c>
      <c r="T123" s="136">
        <f t="shared" si="24"/>
        <v>2</v>
      </c>
      <c r="U123" s="136">
        <f t="shared" si="24"/>
        <v>2</v>
      </c>
      <c r="V123" s="136">
        <f t="shared" ref="V123:AF146" si="27">U123</f>
        <v>2</v>
      </c>
      <c r="W123" s="136">
        <f t="shared" si="27"/>
        <v>2</v>
      </c>
      <c r="X123" s="136">
        <f t="shared" si="27"/>
        <v>2</v>
      </c>
      <c r="Y123" s="136">
        <f t="shared" si="27"/>
        <v>2</v>
      </c>
      <c r="Z123" s="136">
        <f t="shared" si="27"/>
        <v>2</v>
      </c>
      <c r="AA123" s="136">
        <f t="shared" si="27"/>
        <v>2</v>
      </c>
      <c r="AB123" s="136">
        <f t="shared" si="27"/>
        <v>2</v>
      </c>
      <c r="AC123" s="136">
        <f t="shared" si="27"/>
        <v>2</v>
      </c>
      <c r="AD123" s="136">
        <f t="shared" si="27"/>
        <v>2</v>
      </c>
      <c r="AE123" s="136">
        <f t="shared" si="27"/>
        <v>2</v>
      </c>
      <c r="AF123" s="136">
        <f t="shared" si="27"/>
        <v>2</v>
      </c>
      <c r="AG123" s="138">
        <v>4</v>
      </c>
      <c r="AH123" s="52"/>
      <c r="AI123" s="53"/>
      <c r="AK123" s="54"/>
    </row>
    <row r="124" spans="1:37" x14ac:dyDescent="0.25">
      <c r="A124" s="124" t="s">
        <v>130</v>
      </c>
      <c r="B124" s="135">
        <v>5.61</v>
      </c>
      <c r="C124" s="136">
        <f t="shared" si="26"/>
        <v>5.61</v>
      </c>
      <c r="D124" s="136">
        <f t="shared" si="26"/>
        <v>5.61</v>
      </c>
      <c r="E124" s="136">
        <f t="shared" si="26"/>
        <v>5.61</v>
      </c>
      <c r="F124" s="136">
        <f t="shared" si="26"/>
        <v>5.61</v>
      </c>
      <c r="G124" s="136">
        <f t="shared" si="26"/>
        <v>5.61</v>
      </c>
      <c r="H124" s="136">
        <f t="shared" si="26"/>
        <v>5.61</v>
      </c>
      <c r="I124" s="136">
        <f t="shared" si="26"/>
        <v>5.61</v>
      </c>
      <c r="J124" s="136">
        <f t="shared" si="26"/>
        <v>5.61</v>
      </c>
      <c r="K124" s="136">
        <f t="shared" si="26"/>
        <v>5.61</v>
      </c>
      <c r="L124" s="136">
        <f t="shared" si="26"/>
        <v>5.61</v>
      </c>
      <c r="M124" s="136">
        <f t="shared" si="26"/>
        <v>5.61</v>
      </c>
      <c r="N124" s="136">
        <f t="shared" si="26"/>
        <v>5.61</v>
      </c>
      <c r="O124" s="136">
        <f t="shared" si="26"/>
        <v>5.61</v>
      </c>
      <c r="P124" s="136">
        <f t="shared" si="26"/>
        <v>5.61</v>
      </c>
      <c r="Q124" s="136">
        <f t="shared" si="26"/>
        <v>5.61</v>
      </c>
      <c r="R124" s="136">
        <f t="shared" si="25"/>
        <v>5.61</v>
      </c>
      <c r="S124" s="136">
        <f t="shared" si="25"/>
        <v>5.61</v>
      </c>
      <c r="T124" s="136">
        <f t="shared" si="25"/>
        <v>5.61</v>
      </c>
      <c r="U124" s="136">
        <f t="shared" si="25"/>
        <v>5.61</v>
      </c>
      <c r="V124" s="136">
        <f t="shared" si="27"/>
        <v>5.61</v>
      </c>
      <c r="W124" s="136">
        <f t="shared" si="27"/>
        <v>5.61</v>
      </c>
      <c r="X124" s="136">
        <f t="shared" si="27"/>
        <v>5.61</v>
      </c>
      <c r="Y124" s="136">
        <f t="shared" si="27"/>
        <v>5.61</v>
      </c>
      <c r="Z124" s="136">
        <f t="shared" si="27"/>
        <v>5.61</v>
      </c>
      <c r="AA124" s="136">
        <f t="shared" si="27"/>
        <v>5.61</v>
      </c>
      <c r="AB124" s="136">
        <f t="shared" si="27"/>
        <v>5.61</v>
      </c>
      <c r="AC124" s="136">
        <f t="shared" si="27"/>
        <v>5.61</v>
      </c>
      <c r="AD124" s="136">
        <f t="shared" si="27"/>
        <v>5.61</v>
      </c>
      <c r="AE124" s="136">
        <f t="shared" si="27"/>
        <v>5.61</v>
      </c>
      <c r="AF124" s="136">
        <f t="shared" si="27"/>
        <v>5.61</v>
      </c>
      <c r="AG124" s="138">
        <v>4</v>
      </c>
      <c r="AH124" s="52"/>
      <c r="AI124" s="53"/>
      <c r="AK124" s="54"/>
    </row>
    <row r="125" spans="1:37" x14ac:dyDescent="0.25">
      <c r="A125" s="124" t="s">
        <v>131</v>
      </c>
      <c r="B125" s="135">
        <v>1.25</v>
      </c>
      <c r="C125" s="136">
        <f t="shared" si="26"/>
        <v>1.25</v>
      </c>
      <c r="D125" s="136">
        <f t="shared" si="26"/>
        <v>1.25</v>
      </c>
      <c r="E125" s="136">
        <f t="shared" si="26"/>
        <v>1.25</v>
      </c>
      <c r="F125" s="136">
        <f t="shared" si="26"/>
        <v>1.25</v>
      </c>
      <c r="G125" s="136">
        <f t="shared" si="26"/>
        <v>1.25</v>
      </c>
      <c r="H125" s="136">
        <f t="shared" si="26"/>
        <v>1.25</v>
      </c>
      <c r="I125" s="136">
        <f t="shared" si="26"/>
        <v>1.25</v>
      </c>
      <c r="J125" s="136">
        <f t="shared" si="26"/>
        <v>1.25</v>
      </c>
      <c r="K125" s="136">
        <f t="shared" si="26"/>
        <v>1.25</v>
      </c>
      <c r="L125" s="136">
        <f t="shared" si="26"/>
        <v>1.25</v>
      </c>
      <c r="M125" s="136">
        <f t="shared" si="26"/>
        <v>1.25</v>
      </c>
      <c r="N125" s="136">
        <f t="shared" si="26"/>
        <v>1.25</v>
      </c>
      <c r="O125" s="136">
        <f t="shared" si="26"/>
        <v>1.25</v>
      </c>
      <c r="P125" s="136">
        <f t="shared" si="26"/>
        <v>1.25</v>
      </c>
      <c r="Q125" s="136">
        <f t="shared" si="26"/>
        <v>1.25</v>
      </c>
      <c r="R125" s="136">
        <f t="shared" si="25"/>
        <v>1.25</v>
      </c>
      <c r="S125" s="136">
        <f t="shared" si="25"/>
        <v>1.25</v>
      </c>
      <c r="T125" s="136">
        <f t="shared" si="25"/>
        <v>1.25</v>
      </c>
      <c r="U125" s="136">
        <f t="shared" si="25"/>
        <v>1.25</v>
      </c>
      <c r="V125" s="136">
        <f t="shared" si="27"/>
        <v>1.25</v>
      </c>
      <c r="W125" s="136">
        <f t="shared" si="27"/>
        <v>1.25</v>
      </c>
      <c r="X125" s="136">
        <f t="shared" si="27"/>
        <v>1.25</v>
      </c>
      <c r="Y125" s="136">
        <f t="shared" si="27"/>
        <v>1.25</v>
      </c>
      <c r="Z125" s="136">
        <f t="shared" si="27"/>
        <v>1.25</v>
      </c>
      <c r="AA125" s="136">
        <f t="shared" si="27"/>
        <v>1.25</v>
      </c>
      <c r="AB125" s="136">
        <f t="shared" si="27"/>
        <v>1.25</v>
      </c>
      <c r="AC125" s="136">
        <f t="shared" si="27"/>
        <v>1.25</v>
      </c>
      <c r="AD125" s="136">
        <f t="shared" si="27"/>
        <v>1.25</v>
      </c>
      <c r="AE125" s="136">
        <f t="shared" si="27"/>
        <v>1.25</v>
      </c>
      <c r="AF125" s="136">
        <f t="shared" si="27"/>
        <v>1.25</v>
      </c>
      <c r="AG125" s="138">
        <v>4</v>
      </c>
      <c r="AH125" s="52"/>
      <c r="AI125" s="53"/>
      <c r="AK125" s="54"/>
    </row>
    <row r="126" spans="1:37" x14ac:dyDescent="0.25">
      <c r="A126" s="124" t="s">
        <v>132</v>
      </c>
      <c r="B126" s="135">
        <v>1.25</v>
      </c>
      <c r="C126" s="136">
        <f t="shared" si="26"/>
        <v>1.25</v>
      </c>
      <c r="D126" s="136">
        <f t="shared" si="26"/>
        <v>1.25</v>
      </c>
      <c r="E126" s="136">
        <f t="shared" si="26"/>
        <v>1.25</v>
      </c>
      <c r="F126" s="136">
        <f t="shared" si="26"/>
        <v>1.25</v>
      </c>
      <c r="G126" s="136">
        <f t="shared" si="26"/>
        <v>1.25</v>
      </c>
      <c r="H126" s="136">
        <f t="shared" si="26"/>
        <v>1.25</v>
      </c>
      <c r="I126" s="136">
        <f t="shared" si="26"/>
        <v>1.25</v>
      </c>
      <c r="J126" s="136">
        <f t="shared" si="26"/>
        <v>1.25</v>
      </c>
      <c r="K126" s="136">
        <f t="shared" si="26"/>
        <v>1.25</v>
      </c>
      <c r="L126" s="136">
        <f t="shared" si="26"/>
        <v>1.25</v>
      </c>
      <c r="M126" s="136">
        <f t="shared" si="26"/>
        <v>1.25</v>
      </c>
      <c r="N126" s="136">
        <f t="shared" si="26"/>
        <v>1.25</v>
      </c>
      <c r="O126" s="136">
        <f t="shared" si="26"/>
        <v>1.25</v>
      </c>
      <c r="P126" s="136">
        <f t="shared" si="26"/>
        <v>1.25</v>
      </c>
      <c r="Q126" s="136">
        <f t="shared" si="26"/>
        <v>1.25</v>
      </c>
      <c r="R126" s="136">
        <f t="shared" si="25"/>
        <v>1.25</v>
      </c>
      <c r="S126" s="136">
        <f t="shared" si="25"/>
        <v>1.25</v>
      </c>
      <c r="T126" s="136">
        <f t="shared" si="25"/>
        <v>1.25</v>
      </c>
      <c r="U126" s="136">
        <f t="shared" si="25"/>
        <v>1.25</v>
      </c>
      <c r="V126" s="136">
        <f t="shared" si="27"/>
        <v>1.25</v>
      </c>
      <c r="W126" s="136">
        <f t="shared" si="27"/>
        <v>1.25</v>
      </c>
      <c r="X126" s="136">
        <f t="shared" si="27"/>
        <v>1.25</v>
      </c>
      <c r="Y126" s="136">
        <f t="shared" si="27"/>
        <v>1.25</v>
      </c>
      <c r="Z126" s="136">
        <f t="shared" si="27"/>
        <v>1.25</v>
      </c>
      <c r="AA126" s="136">
        <f t="shared" si="27"/>
        <v>1.25</v>
      </c>
      <c r="AB126" s="136">
        <f t="shared" si="27"/>
        <v>1.25</v>
      </c>
      <c r="AC126" s="136">
        <f t="shared" si="27"/>
        <v>1.25</v>
      </c>
      <c r="AD126" s="136">
        <f t="shared" si="27"/>
        <v>1.25</v>
      </c>
      <c r="AE126" s="136">
        <f t="shared" si="27"/>
        <v>1.25</v>
      </c>
      <c r="AF126" s="136">
        <f t="shared" si="27"/>
        <v>1.25</v>
      </c>
      <c r="AG126" s="138">
        <v>4</v>
      </c>
      <c r="AH126" s="52"/>
      <c r="AI126" s="53"/>
      <c r="AK126" s="54"/>
    </row>
    <row r="127" spans="1:37" x14ac:dyDescent="0.25">
      <c r="A127" s="124" t="s">
        <v>133</v>
      </c>
      <c r="B127" s="135">
        <v>1.46</v>
      </c>
      <c r="C127" s="136">
        <f t="shared" si="26"/>
        <v>1.46</v>
      </c>
      <c r="D127" s="136">
        <f t="shared" si="26"/>
        <v>1.46</v>
      </c>
      <c r="E127" s="136">
        <f t="shared" si="26"/>
        <v>1.46</v>
      </c>
      <c r="F127" s="136">
        <f t="shared" si="26"/>
        <v>1.46</v>
      </c>
      <c r="G127" s="136">
        <f t="shared" si="26"/>
        <v>1.46</v>
      </c>
      <c r="H127" s="136">
        <f t="shared" si="26"/>
        <v>1.46</v>
      </c>
      <c r="I127" s="136">
        <f t="shared" si="26"/>
        <v>1.46</v>
      </c>
      <c r="J127" s="136">
        <f t="shared" si="26"/>
        <v>1.46</v>
      </c>
      <c r="K127" s="136">
        <f t="shared" si="26"/>
        <v>1.46</v>
      </c>
      <c r="L127" s="136">
        <f t="shared" si="26"/>
        <v>1.46</v>
      </c>
      <c r="M127" s="136">
        <f t="shared" si="26"/>
        <v>1.46</v>
      </c>
      <c r="N127" s="136">
        <f t="shared" si="26"/>
        <v>1.46</v>
      </c>
      <c r="O127" s="136">
        <f t="shared" si="26"/>
        <v>1.46</v>
      </c>
      <c r="P127" s="136">
        <f t="shared" si="26"/>
        <v>1.46</v>
      </c>
      <c r="Q127" s="136">
        <f t="shared" si="26"/>
        <v>1.46</v>
      </c>
      <c r="R127" s="136">
        <f t="shared" si="25"/>
        <v>1.46</v>
      </c>
      <c r="S127" s="136">
        <f t="shared" si="25"/>
        <v>1.46</v>
      </c>
      <c r="T127" s="136">
        <f t="shared" si="25"/>
        <v>1.46</v>
      </c>
      <c r="U127" s="136">
        <f t="shared" si="25"/>
        <v>1.46</v>
      </c>
      <c r="V127" s="136">
        <f t="shared" si="27"/>
        <v>1.46</v>
      </c>
      <c r="W127" s="136">
        <f t="shared" si="27"/>
        <v>1.46</v>
      </c>
      <c r="X127" s="136">
        <f t="shared" si="27"/>
        <v>1.46</v>
      </c>
      <c r="Y127" s="136">
        <f t="shared" si="27"/>
        <v>1.46</v>
      </c>
      <c r="Z127" s="136">
        <f t="shared" si="27"/>
        <v>1.46</v>
      </c>
      <c r="AA127" s="136">
        <f t="shared" si="27"/>
        <v>1.46</v>
      </c>
      <c r="AB127" s="136">
        <f t="shared" si="27"/>
        <v>1.46</v>
      </c>
      <c r="AC127" s="136">
        <f t="shared" si="27"/>
        <v>1.46</v>
      </c>
      <c r="AD127" s="136">
        <f t="shared" si="27"/>
        <v>1.46</v>
      </c>
      <c r="AE127" s="136">
        <f t="shared" si="27"/>
        <v>1.46</v>
      </c>
      <c r="AF127" s="136">
        <f t="shared" si="27"/>
        <v>1.46</v>
      </c>
      <c r="AG127" s="138">
        <v>3.75</v>
      </c>
      <c r="AH127" s="52"/>
      <c r="AI127" s="53"/>
      <c r="AK127" s="54"/>
    </row>
    <row r="128" spans="1:37" x14ac:dyDescent="0.25">
      <c r="A128" s="124" t="s">
        <v>134</v>
      </c>
      <c r="B128" s="135">
        <v>3</v>
      </c>
      <c r="C128" s="136">
        <f t="shared" si="26"/>
        <v>3</v>
      </c>
      <c r="D128" s="136">
        <f t="shared" si="26"/>
        <v>3</v>
      </c>
      <c r="E128" s="136">
        <f t="shared" si="26"/>
        <v>3</v>
      </c>
      <c r="F128" s="136">
        <f t="shared" si="26"/>
        <v>3</v>
      </c>
      <c r="G128" s="136">
        <f t="shared" si="26"/>
        <v>3</v>
      </c>
      <c r="H128" s="136">
        <f t="shared" si="26"/>
        <v>3</v>
      </c>
      <c r="I128" s="136">
        <f t="shared" si="26"/>
        <v>3</v>
      </c>
      <c r="J128" s="136">
        <f t="shared" si="26"/>
        <v>3</v>
      </c>
      <c r="K128" s="136">
        <f t="shared" si="26"/>
        <v>3</v>
      </c>
      <c r="L128" s="136">
        <f t="shared" si="26"/>
        <v>3</v>
      </c>
      <c r="M128" s="136">
        <f t="shared" si="26"/>
        <v>3</v>
      </c>
      <c r="N128" s="136">
        <f t="shared" si="26"/>
        <v>3</v>
      </c>
      <c r="O128" s="136">
        <f t="shared" si="26"/>
        <v>3</v>
      </c>
      <c r="P128" s="136">
        <f t="shared" si="26"/>
        <v>3</v>
      </c>
      <c r="Q128" s="136">
        <f t="shared" si="26"/>
        <v>3</v>
      </c>
      <c r="R128" s="136">
        <f t="shared" si="25"/>
        <v>3</v>
      </c>
      <c r="S128" s="136">
        <f t="shared" si="25"/>
        <v>3</v>
      </c>
      <c r="T128" s="136">
        <f t="shared" si="25"/>
        <v>3</v>
      </c>
      <c r="U128" s="136">
        <f t="shared" si="25"/>
        <v>3</v>
      </c>
      <c r="V128" s="136">
        <f t="shared" si="27"/>
        <v>3</v>
      </c>
      <c r="W128" s="136">
        <f t="shared" si="27"/>
        <v>3</v>
      </c>
      <c r="X128" s="136">
        <f t="shared" si="27"/>
        <v>3</v>
      </c>
      <c r="Y128" s="136">
        <f t="shared" si="27"/>
        <v>3</v>
      </c>
      <c r="Z128" s="136">
        <f t="shared" si="27"/>
        <v>3</v>
      </c>
      <c r="AA128" s="136">
        <f t="shared" si="27"/>
        <v>3</v>
      </c>
      <c r="AB128" s="136">
        <f t="shared" si="27"/>
        <v>3</v>
      </c>
      <c r="AC128" s="136">
        <f t="shared" si="27"/>
        <v>3</v>
      </c>
      <c r="AD128" s="136">
        <f t="shared" si="27"/>
        <v>3</v>
      </c>
      <c r="AE128" s="136">
        <f t="shared" si="27"/>
        <v>3</v>
      </c>
      <c r="AF128" s="136">
        <f t="shared" si="27"/>
        <v>3</v>
      </c>
      <c r="AG128" s="138">
        <v>3.52</v>
      </c>
      <c r="AH128" s="52"/>
      <c r="AI128" s="53"/>
      <c r="AK128" s="54"/>
    </row>
    <row r="129" spans="1:37" x14ac:dyDescent="0.25">
      <c r="A129" s="124" t="s">
        <v>135</v>
      </c>
      <c r="B129" s="135">
        <v>3.3</v>
      </c>
      <c r="C129" s="136">
        <f t="shared" si="26"/>
        <v>3.3</v>
      </c>
      <c r="D129" s="136">
        <f t="shared" si="26"/>
        <v>3.3</v>
      </c>
      <c r="E129" s="136">
        <f t="shared" si="26"/>
        <v>3.3</v>
      </c>
      <c r="F129" s="136">
        <f t="shared" si="26"/>
        <v>3.3</v>
      </c>
      <c r="G129" s="136">
        <f t="shared" si="26"/>
        <v>3.3</v>
      </c>
      <c r="H129" s="136">
        <f t="shared" si="26"/>
        <v>3.3</v>
      </c>
      <c r="I129" s="136">
        <f t="shared" si="26"/>
        <v>3.3</v>
      </c>
      <c r="J129" s="136">
        <f t="shared" si="26"/>
        <v>3.3</v>
      </c>
      <c r="K129" s="136">
        <f t="shared" si="26"/>
        <v>3.3</v>
      </c>
      <c r="L129" s="136">
        <f t="shared" si="26"/>
        <v>3.3</v>
      </c>
      <c r="M129" s="136">
        <f t="shared" si="26"/>
        <v>3.3</v>
      </c>
      <c r="N129" s="136">
        <f t="shared" si="26"/>
        <v>3.3</v>
      </c>
      <c r="O129" s="136">
        <f t="shared" si="26"/>
        <v>3.3</v>
      </c>
      <c r="P129" s="136">
        <f t="shared" si="26"/>
        <v>3.3</v>
      </c>
      <c r="Q129" s="136">
        <f t="shared" si="26"/>
        <v>3.3</v>
      </c>
      <c r="R129" s="136">
        <f t="shared" si="25"/>
        <v>3.3</v>
      </c>
      <c r="S129" s="136">
        <f t="shared" si="25"/>
        <v>3.3</v>
      </c>
      <c r="T129" s="136">
        <f t="shared" si="25"/>
        <v>3.3</v>
      </c>
      <c r="U129" s="136">
        <f t="shared" si="25"/>
        <v>3.3</v>
      </c>
      <c r="V129" s="136">
        <f t="shared" si="27"/>
        <v>3.3</v>
      </c>
      <c r="W129" s="136">
        <f t="shared" si="27"/>
        <v>3.3</v>
      </c>
      <c r="X129" s="136">
        <f t="shared" si="27"/>
        <v>3.3</v>
      </c>
      <c r="Y129" s="136">
        <f t="shared" si="27"/>
        <v>3.3</v>
      </c>
      <c r="Z129" s="136">
        <f t="shared" si="27"/>
        <v>3.3</v>
      </c>
      <c r="AA129" s="136">
        <f t="shared" si="27"/>
        <v>3.3</v>
      </c>
      <c r="AB129" s="136">
        <f t="shared" si="27"/>
        <v>3.3</v>
      </c>
      <c r="AC129" s="136">
        <f t="shared" si="27"/>
        <v>3.3</v>
      </c>
      <c r="AD129" s="136">
        <f t="shared" si="27"/>
        <v>3.3</v>
      </c>
      <c r="AE129" s="136">
        <f t="shared" si="27"/>
        <v>3.3</v>
      </c>
      <c r="AF129" s="136">
        <f t="shared" si="27"/>
        <v>3.3</v>
      </c>
      <c r="AG129" s="138">
        <v>3.33</v>
      </c>
      <c r="AH129" s="52"/>
      <c r="AI129" s="53"/>
      <c r="AK129" s="54"/>
    </row>
    <row r="130" spans="1:37" x14ac:dyDescent="0.25">
      <c r="A130" s="124" t="s">
        <v>136</v>
      </c>
      <c r="B130" s="135">
        <v>1.76</v>
      </c>
      <c r="C130" s="136">
        <f t="shared" si="26"/>
        <v>1.76</v>
      </c>
      <c r="D130" s="136">
        <f t="shared" si="26"/>
        <v>1.76</v>
      </c>
      <c r="E130" s="136">
        <f t="shared" si="26"/>
        <v>1.76</v>
      </c>
      <c r="F130" s="136">
        <f t="shared" si="26"/>
        <v>1.76</v>
      </c>
      <c r="G130" s="136">
        <f t="shared" si="26"/>
        <v>1.76</v>
      </c>
      <c r="H130" s="136">
        <f t="shared" si="26"/>
        <v>1.76</v>
      </c>
      <c r="I130" s="136">
        <f t="shared" si="26"/>
        <v>1.76</v>
      </c>
      <c r="J130" s="136">
        <f t="shared" si="26"/>
        <v>1.76</v>
      </c>
      <c r="K130" s="136">
        <f t="shared" si="26"/>
        <v>1.76</v>
      </c>
      <c r="L130" s="136">
        <f t="shared" si="26"/>
        <v>1.76</v>
      </c>
      <c r="M130" s="136">
        <f t="shared" si="26"/>
        <v>1.76</v>
      </c>
      <c r="N130" s="136">
        <f t="shared" si="26"/>
        <v>1.76</v>
      </c>
      <c r="O130" s="136">
        <f t="shared" si="26"/>
        <v>1.76</v>
      </c>
      <c r="P130" s="136">
        <f t="shared" si="26"/>
        <v>1.76</v>
      </c>
      <c r="Q130" s="136">
        <f t="shared" si="26"/>
        <v>1.76</v>
      </c>
      <c r="R130" s="136">
        <f t="shared" si="25"/>
        <v>1.76</v>
      </c>
      <c r="S130" s="136">
        <f t="shared" si="25"/>
        <v>1.76</v>
      </c>
      <c r="T130" s="136">
        <f t="shared" si="25"/>
        <v>1.76</v>
      </c>
      <c r="U130" s="136">
        <f t="shared" si="25"/>
        <v>1.76</v>
      </c>
      <c r="V130" s="136">
        <f t="shared" si="27"/>
        <v>1.76</v>
      </c>
      <c r="W130" s="136">
        <f t="shared" si="27"/>
        <v>1.76</v>
      </c>
      <c r="X130" s="136">
        <f t="shared" si="27"/>
        <v>1.76</v>
      </c>
      <c r="Y130" s="136">
        <f t="shared" si="27"/>
        <v>1.76</v>
      </c>
      <c r="Z130" s="136">
        <f t="shared" si="27"/>
        <v>1.76</v>
      </c>
      <c r="AA130" s="136">
        <f t="shared" si="27"/>
        <v>1.76</v>
      </c>
      <c r="AB130" s="136">
        <f t="shared" si="27"/>
        <v>1.76</v>
      </c>
      <c r="AC130" s="136">
        <f t="shared" si="27"/>
        <v>1.76</v>
      </c>
      <c r="AD130" s="136">
        <f t="shared" si="27"/>
        <v>1.76</v>
      </c>
      <c r="AE130" s="136">
        <f t="shared" si="27"/>
        <v>1.76</v>
      </c>
      <c r="AF130" s="136">
        <f t="shared" si="27"/>
        <v>1.76</v>
      </c>
      <c r="AG130" s="138">
        <v>3</v>
      </c>
      <c r="AH130" s="52"/>
      <c r="AI130" s="53"/>
      <c r="AK130" s="54"/>
    </row>
    <row r="131" spans="1:37" x14ac:dyDescent="0.25">
      <c r="A131" s="124" t="s">
        <v>137</v>
      </c>
      <c r="B131" s="135">
        <v>0</v>
      </c>
      <c r="C131" s="136">
        <f t="shared" si="26"/>
        <v>0</v>
      </c>
      <c r="D131" s="136">
        <f t="shared" si="26"/>
        <v>0</v>
      </c>
      <c r="E131" s="136">
        <f t="shared" si="26"/>
        <v>0</v>
      </c>
      <c r="F131" s="136">
        <f t="shared" si="26"/>
        <v>0</v>
      </c>
      <c r="G131" s="136">
        <f t="shared" si="26"/>
        <v>0</v>
      </c>
      <c r="H131" s="136">
        <f t="shared" si="26"/>
        <v>0</v>
      </c>
      <c r="I131" s="136">
        <f t="shared" si="26"/>
        <v>0</v>
      </c>
      <c r="J131" s="136">
        <f t="shared" si="26"/>
        <v>0</v>
      </c>
      <c r="K131" s="136">
        <f t="shared" si="26"/>
        <v>0</v>
      </c>
      <c r="L131" s="136">
        <f t="shared" si="26"/>
        <v>0</v>
      </c>
      <c r="M131" s="136">
        <f t="shared" si="26"/>
        <v>0</v>
      </c>
      <c r="N131" s="136">
        <f t="shared" si="26"/>
        <v>0</v>
      </c>
      <c r="O131" s="136">
        <f t="shared" si="26"/>
        <v>0</v>
      </c>
      <c r="P131" s="136">
        <f t="shared" si="26"/>
        <v>0</v>
      </c>
      <c r="Q131" s="136">
        <f t="shared" si="26"/>
        <v>0</v>
      </c>
      <c r="R131" s="136">
        <f t="shared" si="25"/>
        <v>0</v>
      </c>
      <c r="S131" s="136">
        <f t="shared" si="25"/>
        <v>0</v>
      </c>
      <c r="T131" s="136">
        <f t="shared" si="25"/>
        <v>0</v>
      </c>
      <c r="U131" s="136">
        <f t="shared" si="25"/>
        <v>0</v>
      </c>
      <c r="V131" s="136">
        <f t="shared" si="27"/>
        <v>0</v>
      </c>
      <c r="W131" s="136">
        <f t="shared" si="27"/>
        <v>0</v>
      </c>
      <c r="X131" s="136">
        <f t="shared" si="27"/>
        <v>0</v>
      </c>
      <c r="Y131" s="136">
        <f t="shared" si="27"/>
        <v>0</v>
      </c>
      <c r="Z131" s="136">
        <f t="shared" si="27"/>
        <v>0</v>
      </c>
      <c r="AA131" s="136">
        <f t="shared" si="27"/>
        <v>0</v>
      </c>
      <c r="AB131" s="136">
        <f t="shared" si="27"/>
        <v>0</v>
      </c>
      <c r="AC131" s="136">
        <f t="shared" si="27"/>
        <v>0</v>
      </c>
      <c r="AD131" s="136">
        <f t="shared" si="27"/>
        <v>0</v>
      </c>
      <c r="AE131" s="136">
        <f t="shared" si="27"/>
        <v>0</v>
      </c>
      <c r="AF131" s="136">
        <f t="shared" si="27"/>
        <v>0</v>
      </c>
      <c r="AG131" s="138">
        <v>3</v>
      </c>
      <c r="AH131" s="52"/>
      <c r="AI131" s="53"/>
      <c r="AK131" s="54"/>
    </row>
    <row r="132" spans="1:37" x14ac:dyDescent="0.25">
      <c r="A132" s="124" t="s">
        <v>138</v>
      </c>
      <c r="B132" s="135">
        <v>0.1</v>
      </c>
      <c r="C132" s="136">
        <f t="shared" si="26"/>
        <v>0.1</v>
      </c>
      <c r="D132" s="136">
        <f t="shared" si="26"/>
        <v>0.1</v>
      </c>
      <c r="E132" s="136">
        <f t="shared" si="26"/>
        <v>0.1</v>
      </c>
      <c r="F132" s="136">
        <f t="shared" si="26"/>
        <v>0.1</v>
      </c>
      <c r="G132" s="136">
        <f t="shared" si="26"/>
        <v>0.1</v>
      </c>
      <c r="H132" s="136">
        <f t="shared" si="26"/>
        <v>0.1</v>
      </c>
      <c r="I132" s="136">
        <f t="shared" si="26"/>
        <v>0.1</v>
      </c>
      <c r="J132" s="136">
        <f t="shared" si="26"/>
        <v>0.1</v>
      </c>
      <c r="K132" s="136">
        <f t="shared" si="26"/>
        <v>0.1</v>
      </c>
      <c r="L132" s="136">
        <f t="shared" si="26"/>
        <v>0.1</v>
      </c>
      <c r="M132" s="136">
        <f t="shared" si="26"/>
        <v>0.1</v>
      </c>
      <c r="N132" s="136">
        <f t="shared" si="26"/>
        <v>0.1</v>
      </c>
      <c r="O132" s="136">
        <f t="shared" si="26"/>
        <v>0.1</v>
      </c>
      <c r="P132" s="136">
        <f t="shared" si="26"/>
        <v>0.1</v>
      </c>
      <c r="Q132" s="136">
        <f t="shared" si="26"/>
        <v>0.1</v>
      </c>
      <c r="R132" s="136">
        <f t="shared" si="25"/>
        <v>0.1</v>
      </c>
      <c r="S132" s="136">
        <f t="shared" si="25"/>
        <v>0.1</v>
      </c>
      <c r="T132" s="136">
        <f t="shared" si="25"/>
        <v>0.1</v>
      </c>
      <c r="U132" s="136">
        <f t="shared" si="25"/>
        <v>0.1</v>
      </c>
      <c r="V132" s="136">
        <f t="shared" si="27"/>
        <v>0.1</v>
      </c>
      <c r="W132" s="136">
        <f t="shared" si="27"/>
        <v>0.1</v>
      </c>
      <c r="X132" s="136">
        <f t="shared" si="27"/>
        <v>0.1</v>
      </c>
      <c r="Y132" s="136">
        <f t="shared" si="27"/>
        <v>0.1</v>
      </c>
      <c r="Z132" s="136">
        <f t="shared" si="27"/>
        <v>0.1</v>
      </c>
      <c r="AA132" s="136">
        <f t="shared" si="27"/>
        <v>0.1</v>
      </c>
      <c r="AB132" s="136">
        <f t="shared" si="27"/>
        <v>0.1</v>
      </c>
      <c r="AC132" s="136">
        <f t="shared" si="27"/>
        <v>0.1</v>
      </c>
      <c r="AD132" s="136">
        <f t="shared" si="27"/>
        <v>0.1</v>
      </c>
      <c r="AE132" s="136">
        <f t="shared" si="27"/>
        <v>0.1</v>
      </c>
      <c r="AF132" s="136">
        <f t="shared" si="27"/>
        <v>0.1</v>
      </c>
      <c r="AG132" s="138">
        <v>3</v>
      </c>
      <c r="AH132" s="52"/>
      <c r="AI132" s="53"/>
      <c r="AK132" s="54"/>
    </row>
    <row r="133" spans="1:37" x14ac:dyDescent="0.25">
      <c r="A133" s="124" t="s">
        <v>139</v>
      </c>
      <c r="B133" s="135">
        <v>2.0499999999999998</v>
      </c>
      <c r="C133" s="136">
        <f t="shared" si="26"/>
        <v>2.0499999999999998</v>
      </c>
      <c r="D133" s="136">
        <f t="shared" si="26"/>
        <v>2.0499999999999998</v>
      </c>
      <c r="E133" s="136">
        <f t="shared" si="26"/>
        <v>2.0499999999999998</v>
      </c>
      <c r="F133" s="136">
        <f t="shared" si="26"/>
        <v>2.0499999999999998</v>
      </c>
      <c r="G133" s="136">
        <f t="shared" si="26"/>
        <v>2.0499999999999998</v>
      </c>
      <c r="H133" s="136">
        <f t="shared" si="26"/>
        <v>2.0499999999999998</v>
      </c>
      <c r="I133" s="136">
        <f t="shared" si="26"/>
        <v>2.0499999999999998</v>
      </c>
      <c r="J133" s="136">
        <f t="shared" si="26"/>
        <v>2.0499999999999998</v>
      </c>
      <c r="K133" s="136">
        <f t="shared" si="26"/>
        <v>2.0499999999999998</v>
      </c>
      <c r="L133" s="136">
        <f t="shared" si="26"/>
        <v>2.0499999999999998</v>
      </c>
      <c r="M133" s="136">
        <f t="shared" si="26"/>
        <v>2.0499999999999998</v>
      </c>
      <c r="N133" s="136">
        <f t="shared" si="26"/>
        <v>2.0499999999999998</v>
      </c>
      <c r="O133" s="136">
        <f t="shared" si="26"/>
        <v>2.0499999999999998</v>
      </c>
      <c r="P133" s="136">
        <f t="shared" si="26"/>
        <v>2.0499999999999998</v>
      </c>
      <c r="Q133" s="136">
        <f t="shared" si="26"/>
        <v>2.0499999999999998</v>
      </c>
      <c r="R133" s="136">
        <f t="shared" si="25"/>
        <v>2.0499999999999998</v>
      </c>
      <c r="S133" s="136">
        <f t="shared" si="25"/>
        <v>2.0499999999999998</v>
      </c>
      <c r="T133" s="136">
        <f t="shared" si="25"/>
        <v>2.0499999999999998</v>
      </c>
      <c r="U133" s="136">
        <f t="shared" si="25"/>
        <v>2.0499999999999998</v>
      </c>
      <c r="V133" s="136">
        <f t="shared" si="27"/>
        <v>2.0499999999999998</v>
      </c>
      <c r="W133" s="136">
        <f t="shared" si="27"/>
        <v>2.0499999999999998</v>
      </c>
      <c r="X133" s="136">
        <f t="shared" si="27"/>
        <v>2.0499999999999998</v>
      </c>
      <c r="Y133" s="136">
        <f t="shared" si="27"/>
        <v>2.0499999999999998</v>
      </c>
      <c r="Z133" s="136">
        <f t="shared" si="27"/>
        <v>2.0499999999999998</v>
      </c>
      <c r="AA133" s="136">
        <f t="shared" si="27"/>
        <v>2.0499999999999998</v>
      </c>
      <c r="AB133" s="136">
        <f t="shared" si="27"/>
        <v>2.0499999999999998</v>
      </c>
      <c r="AC133" s="136">
        <f t="shared" si="27"/>
        <v>2.0499999999999998</v>
      </c>
      <c r="AD133" s="136">
        <f t="shared" si="27"/>
        <v>2.0499999999999998</v>
      </c>
      <c r="AE133" s="136">
        <f t="shared" si="27"/>
        <v>2.0499999999999998</v>
      </c>
      <c r="AF133" s="136">
        <f t="shared" si="27"/>
        <v>2.0499999999999998</v>
      </c>
      <c r="AG133" s="138">
        <v>3</v>
      </c>
      <c r="AH133" s="52"/>
      <c r="AI133" s="53"/>
      <c r="AK133" s="54"/>
    </row>
    <row r="134" spans="1:37" x14ac:dyDescent="0.25">
      <c r="A134" s="124" t="s">
        <v>140</v>
      </c>
      <c r="B134" s="135">
        <v>2.15</v>
      </c>
      <c r="C134" s="136">
        <f t="shared" si="26"/>
        <v>2.15</v>
      </c>
      <c r="D134" s="136">
        <f t="shared" si="26"/>
        <v>2.15</v>
      </c>
      <c r="E134" s="136">
        <f t="shared" si="26"/>
        <v>2.15</v>
      </c>
      <c r="F134" s="136">
        <f t="shared" si="26"/>
        <v>2.15</v>
      </c>
      <c r="G134" s="136">
        <f t="shared" si="26"/>
        <v>2.15</v>
      </c>
      <c r="H134" s="136">
        <f t="shared" si="26"/>
        <v>2.15</v>
      </c>
      <c r="I134" s="136">
        <f t="shared" si="26"/>
        <v>2.15</v>
      </c>
      <c r="J134" s="136">
        <f t="shared" si="26"/>
        <v>2.15</v>
      </c>
      <c r="K134" s="136">
        <f t="shared" si="26"/>
        <v>2.15</v>
      </c>
      <c r="L134" s="136">
        <f t="shared" si="26"/>
        <v>2.15</v>
      </c>
      <c r="M134" s="136">
        <f t="shared" si="26"/>
        <v>2.15</v>
      </c>
      <c r="N134" s="136">
        <f t="shared" si="26"/>
        <v>2.15</v>
      </c>
      <c r="O134" s="136">
        <f t="shared" si="26"/>
        <v>2.15</v>
      </c>
      <c r="P134" s="136">
        <f t="shared" si="26"/>
        <v>2.15</v>
      </c>
      <c r="Q134" s="136">
        <f t="shared" si="26"/>
        <v>2.15</v>
      </c>
      <c r="R134" s="136">
        <f t="shared" si="25"/>
        <v>2.15</v>
      </c>
      <c r="S134" s="136">
        <f t="shared" si="25"/>
        <v>2.15</v>
      </c>
      <c r="T134" s="136">
        <f t="shared" si="25"/>
        <v>2.15</v>
      </c>
      <c r="U134" s="136">
        <f t="shared" si="25"/>
        <v>2.15</v>
      </c>
      <c r="V134" s="136">
        <f t="shared" si="27"/>
        <v>2.15</v>
      </c>
      <c r="W134" s="136">
        <f t="shared" si="27"/>
        <v>2.15</v>
      </c>
      <c r="X134" s="136">
        <f t="shared" si="27"/>
        <v>2.15</v>
      </c>
      <c r="Y134" s="136">
        <f t="shared" si="27"/>
        <v>2.15</v>
      </c>
      <c r="Z134" s="136">
        <f t="shared" si="27"/>
        <v>2.15</v>
      </c>
      <c r="AA134" s="136">
        <f t="shared" si="27"/>
        <v>2.15</v>
      </c>
      <c r="AB134" s="136">
        <f t="shared" si="27"/>
        <v>2.15</v>
      </c>
      <c r="AC134" s="136">
        <f t="shared" si="27"/>
        <v>2.15</v>
      </c>
      <c r="AD134" s="136">
        <f t="shared" si="27"/>
        <v>2.15</v>
      </c>
      <c r="AE134" s="136">
        <f t="shared" si="27"/>
        <v>2.15</v>
      </c>
      <c r="AF134" s="136">
        <f t="shared" si="27"/>
        <v>2.15</v>
      </c>
      <c r="AG134" s="138">
        <v>3</v>
      </c>
      <c r="AH134" s="52"/>
      <c r="AI134" s="53"/>
      <c r="AK134" s="54"/>
    </row>
    <row r="135" spans="1:37" x14ac:dyDescent="0.25">
      <c r="A135" s="124" t="s">
        <v>141</v>
      </c>
      <c r="B135" s="135">
        <v>2.7</v>
      </c>
      <c r="C135" s="136">
        <f t="shared" si="26"/>
        <v>2.7</v>
      </c>
      <c r="D135" s="136">
        <f t="shared" si="26"/>
        <v>2.7</v>
      </c>
      <c r="E135" s="136">
        <f t="shared" si="26"/>
        <v>2.7</v>
      </c>
      <c r="F135" s="136">
        <f t="shared" si="26"/>
        <v>2.7</v>
      </c>
      <c r="G135" s="136">
        <f t="shared" si="26"/>
        <v>2.7</v>
      </c>
      <c r="H135" s="136">
        <f t="shared" si="26"/>
        <v>2.7</v>
      </c>
      <c r="I135" s="136">
        <f t="shared" si="26"/>
        <v>2.7</v>
      </c>
      <c r="J135" s="136">
        <f t="shared" si="26"/>
        <v>2.7</v>
      </c>
      <c r="K135" s="136">
        <f t="shared" si="26"/>
        <v>2.7</v>
      </c>
      <c r="L135" s="136">
        <f t="shared" si="26"/>
        <v>2.7</v>
      </c>
      <c r="M135" s="136">
        <f t="shared" si="26"/>
        <v>2.7</v>
      </c>
      <c r="N135" s="136">
        <f t="shared" si="26"/>
        <v>2.7</v>
      </c>
      <c r="O135" s="136">
        <f t="shared" si="26"/>
        <v>2.7</v>
      </c>
      <c r="P135" s="136">
        <f t="shared" si="26"/>
        <v>2.7</v>
      </c>
      <c r="Q135" s="136">
        <f t="shared" si="26"/>
        <v>2.7</v>
      </c>
      <c r="R135" s="136">
        <f t="shared" si="25"/>
        <v>2.7</v>
      </c>
      <c r="S135" s="136">
        <f t="shared" si="25"/>
        <v>2.7</v>
      </c>
      <c r="T135" s="136">
        <f t="shared" si="25"/>
        <v>2.7</v>
      </c>
      <c r="U135" s="136">
        <f t="shared" si="25"/>
        <v>2.7</v>
      </c>
      <c r="V135" s="136">
        <f t="shared" si="27"/>
        <v>2.7</v>
      </c>
      <c r="W135" s="136">
        <f t="shared" si="27"/>
        <v>2.7</v>
      </c>
      <c r="X135" s="136">
        <f t="shared" si="27"/>
        <v>2.7</v>
      </c>
      <c r="Y135" s="136">
        <f t="shared" si="27"/>
        <v>2.7</v>
      </c>
      <c r="Z135" s="136">
        <f t="shared" si="27"/>
        <v>2.7</v>
      </c>
      <c r="AA135" s="136">
        <f t="shared" si="27"/>
        <v>2.7</v>
      </c>
      <c r="AB135" s="136">
        <f t="shared" si="27"/>
        <v>2.7</v>
      </c>
      <c r="AC135" s="136">
        <f t="shared" si="27"/>
        <v>2.7</v>
      </c>
      <c r="AD135" s="136">
        <f t="shared" si="27"/>
        <v>2.7</v>
      </c>
      <c r="AE135" s="136">
        <f t="shared" si="27"/>
        <v>2.7</v>
      </c>
      <c r="AF135" s="136">
        <f t="shared" si="27"/>
        <v>2.7</v>
      </c>
      <c r="AG135" s="138">
        <v>3</v>
      </c>
      <c r="AH135" s="52"/>
      <c r="AI135" s="53"/>
      <c r="AK135" s="54"/>
    </row>
    <row r="136" spans="1:37" x14ac:dyDescent="0.25">
      <c r="A136" s="124" t="s">
        <v>142</v>
      </c>
      <c r="B136" s="135">
        <v>0.9</v>
      </c>
      <c r="C136" s="136">
        <f t="shared" si="26"/>
        <v>0.9</v>
      </c>
      <c r="D136" s="136">
        <f t="shared" si="26"/>
        <v>0.9</v>
      </c>
      <c r="E136" s="136">
        <f t="shared" si="26"/>
        <v>0.9</v>
      </c>
      <c r="F136" s="136">
        <f t="shared" si="26"/>
        <v>0.9</v>
      </c>
      <c r="G136" s="136">
        <f t="shared" si="26"/>
        <v>0.9</v>
      </c>
      <c r="H136" s="136">
        <f t="shared" si="26"/>
        <v>0.9</v>
      </c>
      <c r="I136" s="136">
        <f t="shared" si="26"/>
        <v>0.9</v>
      </c>
      <c r="J136" s="136">
        <f t="shared" si="26"/>
        <v>0.9</v>
      </c>
      <c r="K136" s="136">
        <f t="shared" si="26"/>
        <v>0.9</v>
      </c>
      <c r="L136" s="136">
        <f t="shared" si="26"/>
        <v>0.9</v>
      </c>
      <c r="M136" s="136">
        <f t="shared" si="26"/>
        <v>0.9</v>
      </c>
      <c r="N136" s="136">
        <f t="shared" si="26"/>
        <v>0.9</v>
      </c>
      <c r="O136" s="136">
        <f t="shared" si="26"/>
        <v>0.9</v>
      </c>
      <c r="P136" s="136">
        <f t="shared" si="26"/>
        <v>0.9</v>
      </c>
      <c r="Q136" s="136">
        <f t="shared" si="26"/>
        <v>0.9</v>
      </c>
      <c r="R136" s="136">
        <f t="shared" si="25"/>
        <v>0.9</v>
      </c>
      <c r="S136" s="136">
        <f t="shared" si="25"/>
        <v>0.9</v>
      </c>
      <c r="T136" s="136">
        <f t="shared" si="25"/>
        <v>0.9</v>
      </c>
      <c r="U136" s="136">
        <f t="shared" si="25"/>
        <v>0.9</v>
      </c>
      <c r="V136" s="136">
        <f t="shared" si="27"/>
        <v>0.9</v>
      </c>
      <c r="W136" s="136">
        <f t="shared" si="27"/>
        <v>0.9</v>
      </c>
      <c r="X136" s="136">
        <f t="shared" si="27"/>
        <v>0.9</v>
      </c>
      <c r="Y136" s="136">
        <f t="shared" si="27"/>
        <v>0.9</v>
      </c>
      <c r="Z136" s="136">
        <f t="shared" si="27"/>
        <v>0.9</v>
      </c>
      <c r="AA136" s="136">
        <f t="shared" si="27"/>
        <v>0.9</v>
      </c>
      <c r="AB136" s="136">
        <f t="shared" si="27"/>
        <v>0.9</v>
      </c>
      <c r="AC136" s="136">
        <f t="shared" si="27"/>
        <v>0.9</v>
      </c>
      <c r="AD136" s="136">
        <f t="shared" si="27"/>
        <v>0.9</v>
      </c>
      <c r="AE136" s="136">
        <f t="shared" si="27"/>
        <v>0.9</v>
      </c>
      <c r="AF136" s="136">
        <f t="shared" si="27"/>
        <v>0.9</v>
      </c>
      <c r="AG136" s="138">
        <v>2.83</v>
      </c>
      <c r="AH136" s="52"/>
      <c r="AI136" s="53"/>
      <c r="AK136" s="54"/>
    </row>
    <row r="137" spans="1:37" x14ac:dyDescent="0.25">
      <c r="A137" s="124" t="s">
        <v>143</v>
      </c>
      <c r="B137" s="135">
        <v>1.08</v>
      </c>
      <c r="C137" s="136">
        <f t="shared" si="26"/>
        <v>1.08</v>
      </c>
      <c r="D137" s="136">
        <f t="shared" si="26"/>
        <v>1.08</v>
      </c>
      <c r="E137" s="136">
        <f t="shared" si="26"/>
        <v>1.08</v>
      </c>
      <c r="F137" s="136">
        <f t="shared" si="26"/>
        <v>1.08</v>
      </c>
      <c r="G137" s="136">
        <f t="shared" si="26"/>
        <v>1.08</v>
      </c>
      <c r="H137" s="136">
        <f t="shared" si="26"/>
        <v>1.08</v>
      </c>
      <c r="I137" s="136">
        <f t="shared" si="26"/>
        <v>1.08</v>
      </c>
      <c r="J137" s="136">
        <f t="shared" si="26"/>
        <v>1.08</v>
      </c>
      <c r="K137" s="136">
        <f t="shared" si="26"/>
        <v>1.08</v>
      </c>
      <c r="L137" s="136">
        <f t="shared" si="26"/>
        <v>1.08</v>
      </c>
      <c r="M137" s="136">
        <f t="shared" si="26"/>
        <v>1.08</v>
      </c>
      <c r="N137" s="136">
        <f t="shared" si="26"/>
        <v>1.08</v>
      </c>
      <c r="O137" s="136">
        <f t="shared" si="26"/>
        <v>1.08</v>
      </c>
      <c r="P137" s="136">
        <f t="shared" si="26"/>
        <v>1.08</v>
      </c>
      <c r="Q137" s="136">
        <f t="shared" si="26"/>
        <v>1.08</v>
      </c>
      <c r="R137" s="136">
        <f t="shared" si="25"/>
        <v>1.08</v>
      </c>
      <c r="S137" s="136">
        <f t="shared" si="25"/>
        <v>1.08</v>
      </c>
      <c r="T137" s="136">
        <f t="shared" si="25"/>
        <v>1.08</v>
      </c>
      <c r="U137" s="136">
        <f t="shared" si="25"/>
        <v>1.08</v>
      </c>
      <c r="V137" s="136">
        <f t="shared" si="27"/>
        <v>1.08</v>
      </c>
      <c r="W137" s="136">
        <f t="shared" si="27"/>
        <v>1.08</v>
      </c>
      <c r="X137" s="136">
        <f t="shared" si="27"/>
        <v>1.08</v>
      </c>
      <c r="Y137" s="136">
        <f t="shared" si="27"/>
        <v>1.08</v>
      </c>
      <c r="Z137" s="136">
        <f t="shared" si="27"/>
        <v>1.08</v>
      </c>
      <c r="AA137" s="136">
        <f t="shared" si="27"/>
        <v>1.08</v>
      </c>
      <c r="AB137" s="136">
        <f t="shared" si="27"/>
        <v>1.08</v>
      </c>
      <c r="AC137" s="136">
        <f t="shared" si="27"/>
        <v>1.08</v>
      </c>
      <c r="AD137" s="136">
        <f t="shared" si="27"/>
        <v>1.08</v>
      </c>
      <c r="AE137" s="136">
        <f t="shared" si="27"/>
        <v>1.08</v>
      </c>
      <c r="AF137" s="136">
        <f t="shared" si="27"/>
        <v>1.08</v>
      </c>
      <c r="AG137" s="138">
        <v>2.5</v>
      </c>
      <c r="AH137" s="52"/>
      <c r="AI137" s="53"/>
      <c r="AK137" s="54"/>
    </row>
    <row r="138" spans="1:37" x14ac:dyDescent="0.25">
      <c r="A138" s="124" t="s">
        <v>144</v>
      </c>
      <c r="B138" s="135">
        <v>2.37</v>
      </c>
      <c r="C138" s="136">
        <f t="shared" ref="C138:Q154" si="28">B138</f>
        <v>2.37</v>
      </c>
      <c r="D138" s="136">
        <f t="shared" si="28"/>
        <v>2.37</v>
      </c>
      <c r="E138" s="136">
        <f t="shared" si="28"/>
        <v>2.37</v>
      </c>
      <c r="F138" s="136">
        <f t="shared" si="28"/>
        <v>2.37</v>
      </c>
      <c r="G138" s="136">
        <f t="shared" si="28"/>
        <v>2.37</v>
      </c>
      <c r="H138" s="136">
        <f t="shared" si="28"/>
        <v>2.37</v>
      </c>
      <c r="I138" s="136">
        <f t="shared" si="28"/>
        <v>2.37</v>
      </c>
      <c r="J138" s="136">
        <f t="shared" si="28"/>
        <v>2.37</v>
      </c>
      <c r="K138" s="136">
        <f t="shared" si="28"/>
        <v>2.37</v>
      </c>
      <c r="L138" s="136">
        <f t="shared" si="28"/>
        <v>2.37</v>
      </c>
      <c r="M138" s="136">
        <f t="shared" si="28"/>
        <v>2.37</v>
      </c>
      <c r="N138" s="136">
        <f t="shared" si="28"/>
        <v>2.37</v>
      </c>
      <c r="O138" s="136">
        <f t="shared" si="28"/>
        <v>2.37</v>
      </c>
      <c r="P138" s="136">
        <f t="shared" si="28"/>
        <v>2.37</v>
      </c>
      <c r="Q138" s="136">
        <f t="shared" si="28"/>
        <v>2.37</v>
      </c>
      <c r="R138" s="136">
        <f t="shared" si="25"/>
        <v>2.37</v>
      </c>
      <c r="S138" s="136">
        <f t="shared" si="25"/>
        <v>2.37</v>
      </c>
      <c r="T138" s="136">
        <f t="shared" si="25"/>
        <v>2.37</v>
      </c>
      <c r="U138" s="136">
        <f t="shared" si="25"/>
        <v>2.37</v>
      </c>
      <c r="V138" s="136">
        <f t="shared" si="27"/>
        <v>2.37</v>
      </c>
      <c r="W138" s="136">
        <f t="shared" si="27"/>
        <v>2.37</v>
      </c>
      <c r="X138" s="136">
        <f t="shared" si="27"/>
        <v>2.37</v>
      </c>
      <c r="Y138" s="136">
        <f t="shared" si="27"/>
        <v>2.37</v>
      </c>
      <c r="Z138" s="136">
        <f t="shared" si="27"/>
        <v>2.37</v>
      </c>
      <c r="AA138" s="136">
        <f t="shared" si="27"/>
        <v>2.37</v>
      </c>
      <c r="AB138" s="136">
        <f t="shared" si="27"/>
        <v>2.37</v>
      </c>
      <c r="AC138" s="136">
        <f t="shared" si="27"/>
        <v>2.37</v>
      </c>
      <c r="AD138" s="136">
        <f t="shared" si="27"/>
        <v>2.37</v>
      </c>
      <c r="AE138" s="136">
        <f t="shared" si="27"/>
        <v>2.37</v>
      </c>
      <c r="AF138" s="136">
        <f t="shared" si="27"/>
        <v>2.37</v>
      </c>
      <c r="AG138" s="138">
        <v>2.5</v>
      </c>
      <c r="AH138" s="52"/>
      <c r="AI138" s="53"/>
      <c r="AK138" s="54"/>
    </row>
    <row r="139" spans="1:37" x14ac:dyDescent="0.25">
      <c r="A139" s="124" t="s">
        <v>145</v>
      </c>
      <c r="B139" s="135">
        <v>1.81</v>
      </c>
      <c r="C139" s="136">
        <f t="shared" si="28"/>
        <v>1.81</v>
      </c>
      <c r="D139" s="136">
        <f t="shared" si="28"/>
        <v>1.81</v>
      </c>
      <c r="E139" s="136">
        <f t="shared" si="28"/>
        <v>1.81</v>
      </c>
      <c r="F139" s="136">
        <f t="shared" si="28"/>
        <v>1.81</v>
      </c>
      <c r="G139" s="136">
        <f t="shared" si="28"/>
        <v>1.81</v>
      </c>
      <c r="H139" s="136">
        <f t="shared" si="28"/>
        <v>1.81</v>
      </c>
      <c r="I139" s="136">
        <f t="shared" si="28"/>
        <v>1.81</v>
      </c>
      <c r="J139" s="136">
        <f t="shared" si="28"/>
        <v>1.81</v>
      </c>
      <c r="K139" s="136">
        <f t="shared" si="28"/>
        <v>1.81</v>
      </c>
      <c r="L139" s="136">
        <f t="shared" si="28"/>
        <v>1.81</v>
      </c>
      <c r="M139" s="136">
        <f t="shared" si="28"/>
        <v>1.81</v>
      </c>
      <c r="N139" s="136">
        <f t="shared" si="28"/>
        <v>1.81</v>
      </c>
      <c r="O139" s="136">
        <f t="shared" si="28"/>
        <v>1.81</v>
      </c>
      <c r="P139" s="136">
        <f t="shared" si="28"/>
        <v>1.81</v>
      </c>
      <c r="Q139" s="136">
        <f t="shared" si="28"/>
        <v>1.81</v>
      </c>
      <c r="R139" s="136">
        <f t="shared" si="25"/>
        <v>1.81</v>
      </c>
      <c r="S139" s="136">
        <f t="shared" si="25"/>
        <v>1.81</v>
      </c>
      <c r="T139" s="136">
        <f t="shared" si="25"/>
        <v>1.81</v>
      </c>
      <c r="U139" s="136">
        <f t="shared" si="25"/>
        <v>1.81</v>
      </c>
      <c r="V139" s="136">
        <f t="shared" si="27"/>
        <v>1.81</v>
      </c>
      <c r="W139" s="136">
        <f t="shared" si="27"/>
        <v>1.81</v>
      </c>
      <c r="X139" s="136">
        <f t="shared" si="27"/>
        <v>1.81</v>
      </c>
      <c r="Y139" s="136">
        <f t="shared" si="27"/>
        <v>1.81</v>
      </c>
      <c r="Z139" s="136">
        <f t="shared" si="27"/>
        <v>1.81</v>
      </c>
      <c r="AA139" s="136">
        <f t="shared" si="27"/>
        <v>1.81</v>
      </c>
      <c r="AB139" s="136">
        <f t="shared" si="27"/>
        <v>1.81</v>
      </c>
      <c r="AC139" s="136">
        <f t="shared" si="27"/>
        <v>1.81</v>
      </c>
      <c r="AD139" s="136">
        <f t="shared" si="27"/>
        <v>1.81</v>
      </c>
      <c r="AE139" s="136">
        <f t="shared" si="27"/>
        <v>1.81</v>
      </c>
      <c r="AF139" s="136">
        <f t="shared" si="27"/>
        <v>1.81</v>
      </c>
      <c r="AG139" s="138">
        <v>2.4</v>
      </c>
      <c r="AH139" s="52"/>
      <c r="AI139" s="53"/>
      <c r="AK139" s="54"/>
    </row>
    <row r="140" spans="1:37" x14ac:dyDescent="0.25">
      <c r="A140" s="124" t="s">
        <v>146</v>
      </c>
      <c r="B140" s="135">
        <v>1.0900000000000001</v>
      </c>
      <c r="C140" s="136">
        <f t="shared" si="28"/>
        <v>1.0900000000000001</v>
      </c>
      <c r="D140" s="136">
        <f t="shared" si="28"/>
        <v>1.0900000000000001</v>
      </c>
      <c r="E140" s="136">
        <f t="shared" si="28"/>
        <v>1.0900000000000001</v>
      </c>
      <c r="F140" s="136">
        <f t="shared" si="28"/>
        <v>1.0900000000000001</v>
      </c>
      <c r="G140" s="136">
        <f t="shared" si="28"/>
        <v>1.0900000000000001</v>
      </c>
      <c r="H140" s="136">
        <f t="shared" si="28"/>
        <v>1.0900000000000001</v>
      </c>
      <c r="I140" s="136">
        <f t="shared" si="28"/>
        <v>1.0900000000000001</v>
      </c>
      <c r="J140" s="136">
        <f t="shared" si="28"/>
        <v>1.0900000000000001</v>
      </c>
      <c r="K140" s="136">
        <f t="shared" si="28"/>
        <v>1.0900000000000001</v>
      </c>
      <c r="L140" s="136">
        <f t="shared" si="28"/>
        <v>1.0900000000000001</v>
      </c>
      <c r="M140" s="136">
        <f t="shared" si="28"/>
        <v>1.0900000000000001</v>
      </c>
      <c r="N140" s="136">
        <f t="shared" si="28"/>
        <v>1.0900000000000001</v>
      </c>
      <c r="O140" s="136">
        <f t="shared" si="28"/>
        <v>1.0900000000000001</v>
      </c>
      <c r="P140" s="136">
        <f t="shared" si="28"/>
        <v>1.0900000000000001</v>
      </c>
      <c r="Q140" s="136">
        <f t="shared" si="28"/>
        <v>1.0900000000000001</v>
      </c>
      <c r="R140" s="136">
        <f t="shared" si="25"/>
        <v>1.0900000000000001</v>
      </c>
      <c r="S140" s="136">
        <f t="shared" si="25"/>
        <v>1.0900000000000001</v>
      </c>
      <c r="T140" s="136">
        <f t="shared" si="25"/>
        <v>1.0900000000000001</v>
      </c>
      <c r="U140" s="136">
        <f t="shared" si="25"/>
        <v>1.0900000000000001</v>
      </c>
      <c r="V140" s="136">
        <f t="shared" si="27"/>
        <v>1.0900000000000001</v>
      </c>
      <c r="W140" s="136">
        <f t="shared" si="27"/>
        <v>1.0900000000000001</v>
      </c>
      <c r="X140" s="136">
        <f t="shared" si="27"/>
        <v>1.0900000000000001</v>
      </c>
      <c r="Y140" s="136">
        <f t="shared" si="27"/>
        <v>1.0900000000000001</v>
      </c>
      <c r="Z140" s="136">
        <f t="shared" si="27"/>
        <v>1.0900000000000001</v>
      </c>
      <c r="AA140" s="136">
        <f t="shared" si="27"/>
        <v>1.0900000000000001</v>
      </c>
      <c r="AB140" s="136">
        <f t="shared" si="27"/>
        <v>1.0900000000000001</v>
      </c>
      <c r="AC140" s="136">
        <f t="shared" si="27"/>
        <v>1.0900000000000001</v>
      </c>
      <c r="AD140" s="136">
        <f t="shared" si="27"/>
        <v>1.0900000000000001</v>
      </c>
      <c r="AE140" s="136">
        <f t="shared" si="27"/>
        <v>1.0900000000000001</v>
      </c>
      <c r="AF140" s="136">
        <f t="shared" si="27"/>
        <v>1.0900000000000001</v>
      </c>
      <c r="AG140" s="138">
        <v>2.2000000000000002</v>
      </c>
      <c r="AH140" s="52"/>
      <c r="AI140" s="53"/>
      <c r="AK140" s="54"/>
    </row>
    <row r="141" spans="1:37" x14ac:dyDescent="0.25">
      <c r="A141" s="124" t="s">
        <v>147</v>
      </c>
      <c r="B141" s="135">
        <v>1.58</v>
      </c>
      <c r="C141" s="136">
        <f t="shared" si="28"/>
        <v>1.58</v>
      </c>
      <c r="D141" s="136">
        <f t="shared" si="28"/>
        <v>1.58</v>
      </c>
      <c r="E141" s="136">
        <f t="shared" si="28"/>
        <v>1.58</v>
      </c>
      <c r="F141" s="136">
        <f t="shared" si="28"/>
        <v>1.58</v>
      </c>
      <c r="G141" s="136">
        <f t="shared" si="28"/>
        <v>1.58</v>
      </c>
      <c r="H141" s="136">
        <f t="shared" si="28"/>
        <v>1.58</v>
      </c>
      <c r="I141" s="136">
        <f t="shared" si="28"/>
        <v>1.58</v>
      </c>
      <c r="J141" s="136">
        <f t="shared" si="28"/>
        <v>1.58</v>
      </c>
      <c r="K141" s="136">
        <f t="shared" si="28"/>
        <v>1.58</v>
      </c>
      <c r="L141" s="136">
        <f t="shared" si="28"/>
        <v>1.58</v>
      </c>
      <c r="M141" s="136">
        <f t="shared" si="28"/>
        <v>1.58</v>
      </c>
      <c r="N141" s="136">
        <f t="shared" si="28"/>
        <v>1.58</v>
      </c>
      <c r="O141" s="136">
        <f t="shared" si="28"/>
        <v>1.58</v>
      </c>
      <c r="P141" s="136">
        <f t="shared" si="28"/>
        <v>1.58</v>
      </c>
      <c r="Q141" s="136">
        <f t="shared" si="28"/>
        <v>1.58</v>
      </c>
      <c r="R141" s="136">
        <f t="shared" si="25"/>
        <v>1.58</v>
      </c>
      <c r="S141" s="136">
        <f t="shared" si="25"/>
        <v>1.58</v>
      </c>
      <c r="T141" s="136">
        <f t="shared" si="25"/>
        <v>1.58</v>
      </c>
      <c r="U141" s="136">
        <f t="shared" si="25"/>
        <v>1.58</v>
      </c>
      <c r="V141" s="136">
        <f t="shared" si="27"/>
        <v>1.58</v>
      </c>
      <c r="W141" s="136">
        <f t="shared" si="27"/>
        <v>1.58</v>
      </c>
      <c r="X141" s="136">
        <f t="shared" si="27"/>
        <v>1.58</v>
      </c>
      <c r="Y141" s="136">
        <f t="shared" si="27"/>
        <v>1.58</v>
      </c>
      <c r="Z141" s="136">
        <f t="shared" si="27"/>
        <v>1.58</v>
      </c>
      <c r="AA141" s="136">
        <f t="shared" si="27"/>
        <v>1.58</v>
      </c>
      <c r="AB141" s="136">
        <f t="shared" si="27"/>
        <v>1.58</v>
      </c>
      <c r="AC141" s="136">
        <f t="shared" si="27"/>
        <v>1.58</v>
      </c>
      <c r="AD141" s="136">
        <f t="shared" si="27"/>
        <v>1.58</v>
      </c>
      <c r="AE141" s="136">
        <f t="shared" si="27"/>
        <v>1.58</v>
      </c>
      <c r="AF141" s="136">
        <f t="shared" si="27"/>
        <v>1.58</v>
      </c>
      <c r="AG141" s="138">
        <v>2</v>
      </c>
      <c r="AH141" s="52"/>
      <c r="AI141" s="53"/>
      <c r="AK141" s="54"/>
    </row>
    <row r="142" spans="1:37" x14ac:dyDescent="0.25">
      <c r="A142" s="124" t="s">
        <v>148</v>
      </c>
      <c r="B142" s="135">
        <v>2</v>
      </c>
      <c r="C142" s="136">
        <f t="shared" si="28"/>
        <v>2</v>
      </c>
      <c r="D142" s="136">
        <f t="shared" si="28"/>
        <v>2</v>
      </c>
      <c r="E142" s="136">
        <f t="shared" si="28"/>
        <v>2</v>
      </c>
      <c r="F142" s="136">
        <f t="shared" si="28"/>
        <v>2</v>
      </c>
      <c r="G142" s="136">
        <f t="shared" si="28"/>
        <v>2</v>
      </c>
      <c r="H142" s="136">
        <f t="shared" si="28"/>
        <v>2</v>
      </c>
      <c r="I142" s="136">
        <f t="shared" si="28"/>
        <v>2</v>
      </c>
      <c r="J142" s="136">
        <f t="shared" si="28"/>
        <v>2</v>
      </c>
      <c r="K142" s="136">
        <f t="shared" si="28"/>
        <v>2</v>
      </c>
      <c r="L142" s="136">
        <f t="shared" si="28"/>
        <v>2</v>
      </c>
      <c r="M142" s="136">
        <f t="shared" si="28"/>
        <v>2</v>
      </c>
      <c r="N142" s="136">
        <f t="shared" si="28"/>
        <v>2</v>
      </c>
      <c r="O142" s="136">
        <f t="shared" si="28"/>
        <v>2</v>
      </c>
      <c r="P142" s="136">
        <f t="shared" si="28"/>
        <v>2</v>
      </c>
      <c r="Q142" s="136">
        <f t="shared" si="28"/>
        <v>2</v>
      </c>
      <c r="R142" s="136">
        <f t="shared" si="25"/>
        <v>2</v>
      </c>
      <c r="S142" s="136">
        <f t="shared" si="25"/>
        <v>2</v>
      </c>
      <c r="T142" s="136">
        <f t="shared" si="25"/>
        <v>2</v>
      </c>
      <c r="U142" s="136">
        <f t="shared" si="25"/>
        <v>2</v>
      </c>
      <c r="V142" s="136">
        <f t="shared" si="27"/>
        <v>2</v>
      </c>
      <c r="W142" s="136">
        <f t="shared" si="27"/>
        <v>2</v>
      </c>
      <c r="X142" s="136">
        <f t="shared" si="27"/>
        <v>2</v>
      </c>
      <c r="Y142" s="136">
        <f t="shared" si="27"/>
        <v>2</v>
      </c>
      <c r="Z142" s="136">
        <f t="shared" si="27"/>
        <v>2</v>
      </c>
      <c r="AA142" s="136">
        <f t="shared" si="27"/>
        <v>2</v>
      </c>
      <c r="AB142" s="136">
        <f t="shared" si="27"/>
        <v>2</v>
      </c>
      <c r="AC142" s="136">
        <f t="shared" si="27"/>
        <v>2</v>
      </c>
      <c r="AD142" s="136">
        <f t="shared" si="27"/>
        <v>2</v>
      </c>
      <c r="AE142" s="136">
        <f t="shared" si="27"/>
        <v>2</v>
      </c>
      <c r="AF142" s="136">
        <f t="shared" si="27"/>
        <v>2</v>
      </c>
      <c r="AG142" s="138">
        <v>2</v>
      </c>
      <c r="AH142" s="52"/>
      <c r="AI142" s="53"/>
      <c r="AK142" s="54"/>
    </row>
    <row r="143" spans="1:37" x14ac:dyDescent="0.25">
      <c r="A143" s="124" t="s">
        <v>149</v>
      </c>
      <c r="B143" s="135">
        <v>0.47</v>
      </c>
      <c r="C143" s="136">
        <f t="shared" si="28"/>
        <v>0.47</v>
      </c>
      <c r="D143" s="136">
        <f t="shared" si="28"/>
        <v>0.47</v>
      </c>
      <c r="E143" s="136">
        <f t="shared" si="28"/>
        <v>0.47</v>
      </c>
      <c r="F143" s="136">
        <f t="shared" si="28"/>
        <v>0.47</v>
      </c>
      <c r="G143" s="136">
        <f t="shared" si="28"/>
        <v>0.47</v>
      </c>
      <c r="H143" s="136">
        <f t="shared" si="28"/>
        <v>0.47</v>
      </c>
      <c r="I143" s="136">
        <f t="shared" si="28"/>
        <v>0.47</v>
      </c>
      <c r="J143" s="136">
        <f t="shared" si="28"/>
        <v>0.47</v>
      </c>
      <c r="K143" s="136">
        <f t="shared" si="28"/>
        <v>0.47</v>
      </c>
      <c r="L143" s="136">
        <f t="shared" si="28"/>
        <v>0.47</v>
      </c>
      <c r="M143" s="136">
        <f t="shared" si="28"/>
        <v>0.47</v>
      </c>
      <c r="N143" s="136">
        <f t="shared" si="28"/>
        <v>0.47</v>
      </c>
      <c r="O143" s="136">
        <f t="shared" si="28"/>
        <v>0.47</v>
      </c>
      <c r="P143" s="136">
        <f t="shared" si="28"/>
        <v>0.47</v>
      </c>
      <c r="Q143" s="136">
        <f t="shared" si="28"/>
        <v>0.47</v>
      </c>
      <c r="R143" s="136">
        <f t="shared" si="25"/>
        <v>0.47</v>
      </c>
      <c r="S143" s="136">
        <f t="shared" si="25"/>
        <v>0.47</v>
      </c>
      <c r="T143" s="136">
        <f t="shared" si="25"/>
        <v>0.47</v>
      </c>
      <c r="U143" s="136">
        <f t="shared" si="25"/>
        <v>0.47</v>
      </c>
      <c r="V143" s="136">
        <f t="shared" si="27"/>
        <v>0.47</v>
      </c>
      <c r="W143" s="136">
        <f t="shared" si="27"/>
        <v>0.47</v>
      </c>
      <c r="X143" s="136">
        <f t="shared" si="27"/>
        <v>0.47</v>
      </c>
      <c r="Y143" s="136">
        <f t="shared" si="27"/>
        <v>0.47</v>
      </c>
      <c r="Z143" s="136">
        <f t="shared" si="27"/>
        <v>0.47</v>
      </c>
      <c r="AA143" s="136">
        <f t="shared" si="27"/>
        <v>0.47</v>
      </c>
      <c r="AB143" s="136">
        <f t="shared" si="27"/>
        <v>0.47</v>
      </c>
      <c r="AC143" s="136">
        <f t="shared" si="27"/>
        <v>0.47</v>
      </c>
      <c r="AD143" s="136">
        <f t="shared" si="27"/>
        <v>0.47</v>
      </c>
      <c r="AE143" s="136">
        <f t="shared" si="27"/>
        <v>0.47</v>
      </c>
      <c r="AF143" s="136">
        <f t="shared" si="27"/>
        <v>0.47</v>
      </c>
      <c r="AG143" s="138">
        <v>2</v>
      </c>
      <c r="AH143" s="52"/>
      <c r="AI143" s="53"/>
      <c r="AK143" s="54"/>
    </row>
    <row r="144" spans="1:37" x14ac:dyDescent="0.25">
      <c r="A144" s="124" t="s">
        <v>150</v>
      </c>
      <c r="B144" s="135">
        <v>0</v>
      </c>
      <c r="C144" s="136">
        <f t="shared" si="28"/>
        <v>0</v>
      </c>
      <c r="D144" s="136">
        <f t="shared" si="28"/>
        <v>0</v>
      </c>
      <c r="E144" s="136">
        <f t="shared" si="28"/>
        <v>0</v>
      </c>
      <c r="F144" s="136">
        <f t="shared" si="28"/>
        <v>0</v>
      </c>
      <c r="G144" s="136">
        <f t="shared" si="28"/>
        <v>0</v>
      </c>
      <c r="H144" s="136">
        <f t="shared" si="28"/>
        <v>0</v>
      </c>
      <c r="I144" s="136">
        <f t="shared" si="28"/>
        <v>0</v>
      </c>
      <c r="J144" s="136">
        <f t="shared" si="28"/>
        <v>0</v>
      </c>
      <c r="K144" s="136">
        <f t="shared" si="28"/>
        <v>0</v>
      </c>
      <c r="L144" s="136">
        <f t="shared" si="28"/>
        <v>0</v>
      </c>
      <c r="M144" s="136">
        <f t="shared" si="28"/>
        <v>0</v>
      </c>
      <c r="N144" s="136">
        <f t="shared" si="28"/>
        <v>0</v>
      </c>
      <c r="O144" s="136">
        <f t="shared" si="28"/>
        <v>0</v>
      </c>
      <c r="P144" s="136">
        <f t="shared" si="28"/>
        <v>0</v>
      </c>
      <c r="Q144" s="136">
        <f t="shared" si="28"/>
        <v>0</v>
      </c>
      <c r="R144" s="136">
        <f t="shared" si="25"/>
        <v>0</v>
      </c>
      <c r="S144" s="136">
        <f t="shared" si="25"/>
        <v>0</v>
      </c>
      <c r="T144" s="136">
        <f t="shared" si="25"/>
        <v>0</v>
      </c>
      <c r="U144" s="136">
        <f t="shared" si="25"/>
        <v>0</v>
      </c>
      <c r="V144" s="136">
        <f t="shared" si="27"/>
        <v>0</v>
      </c>
      <c r="W144" s="136">
        <f t="shared" si="27"/>
        <v>0</v>
      </c>
      <c r="X144" s="136">
        <f t="shared" si="27"/>
        <v>0</v>
      </c>
      <c r="Y144" s="136">
        <f t="shared" si="27"/>
        <v>0</v>
      </c>
      <c r="Z144" s="136">
        <f t="shared" si="27"/>
        <v>0</v>
      </c>
      <c r="AA144" s="136">
        <f t="shared" si="27"/>
        <v>0</v>
      </c>
      <c r="AB144" s="136">
        <f t="shared" si="27"/>
        <v>0</v>
      </c>
      <c r="AC144" s="136">
        <f t="shared" si="27"/>
        <v>0</v>
      </c>
      <c r="AD144" s="136">
        <f t="shared" si="27"/>
        <v>0</v>
      </c>
      <c r="AE144" s="136">
        <f t="shared" si="27"/>
        <v>0</v>
      </c>
      <c r="AF144" s="136">
        <f t="shared" si="27"/>
        <v>0</v>
      </c>
      <c r="AG144" s="138">
        <v>1.8</v>
      </c>
      <c r="AH144" s="52"/>
      <c r="AI144" s="53"/>
      <c r="AK144" s="54"/>
    </row>
    <row r="145" spans="1:37" x14ac:dyDescent="0.25">
      <c r="A145" s="124" t="s">
        <v>151</v>
      </c>
      <c r="B145" s="135">
        <v>0</v>
      </c>
      <c r="C145" s="136">
        <f t="shared" si="28"/>
        <v>0</v>
      </c>
      <c r="D145" s="136">
        <f t="shared" si="28"/>
        <v>0</v>
      </c>
      <c r="E145" s="136">
        <f t="shared" si="28"/>
        <v>0</v>
      </c>
      <c r="F145" s="136">
        <f t="shared" si="28"/>
        <v>0</v>
      </c>
      <c r="G145" s="136">
        <f t="shared" si="28"/>
        <v>0</v>
      </c>
      <c r="H145" s="136">
        <f t="shared" si="28"/>
        <v>0</v>
      </c>
      <c r="I145" s="136">
        <f t="shared" si="28"/>
        <v>0</v>
      </c>
      <c r="J145" s="136">
        <f t="shared" si="28"/>
        <v>0</v>
      </c>
      <c r="K145" s="136">
        <f t="shared" si="28"/>
        <v>0</v>
      </c>
      <c r="L145" s="136">
        <f t="shared" si="28"/>
        <v>0</v>
      </c>
      <c r="M145" s="136">
        <f t="shared" si="28"/>
        <v>0</v>
      </c>
      <c r="N145" s="136">
        <f t="shared" si="28"/>
        <v>0</v>
      </c>
      <c r="O145" s="136">
        <f t="shared" si="28"/>
        <v>0</v>
      </c>
      <c r="P145" s="136">
        <f t="shared" si="28"/>
        <v>0</v>
      </c>
      <c r="Q145" s="136">
        <f t="shared" si="28"/>
        <v>0</v>
      </c>
      <c r="R145" s="136">
        <f t="shared" si="25"/>
        <v>0</v>
      </c>
      <c r="S145" s="136">
        <f t="shared" si="25"/>
        <v>0</v>
      </c>
      <c r="T145" s="136">
        <f t="shared" si="25"/>
        <v>0</v>
      </c>
      <c r="U145" s="136">
        <f t="shared" si="25"/>
        <v>0</v>
      </c>
      <c r="V145" s="136">
        <f t="shared" si="27"/>
        <v>0</v>
      </c>
      <c r="W145" s="136">
        <f t="shared" si="27"/>
        <v>0</v>
      </c>
      <c r="X145" s="136">
        <f t="shared" si="27"/>
        <v>0</v>
      </c>
      <c r="Y145" s="136">
        <f t="shared" si="27"/>
        <v>0</v>
      </c>
      <c r="Z145" s="136">
        <f t="shared" si="27"/>
        <v>0</v>
      </c>
      <c r="AA145" s="136">
        <f t="shared" si="27"/>
        <v>0</v>
      </c>
      <c r="AB145" s="136">
        <f t="shared" si="27"/>
        <v>0</v>
      </c>
      <c r="AC145" s="136">
        <f t="shared" si="27"/>
        <v>0</v>
      </c>
      <c r="AD145" s="136">
        <f t="shared" si="27"/>
        <v>0</v>
      </c>
      <c r="AE145" s="136">
        <f t="shared" si="27"/>
        <v>0</v>
      </c>
      <c r="AF145" s="136">
        <f t="shared" si="27"/>
        <v>0</v>
      </c>
      <c r="AG145" s="138">
        <v>1.8</v>
      </c>
      <c r="AH145" s="52"/>
      <c r="AI145" s="53"/>
      <c r="AK145" s="54"/>
    </row>
    <row r="146" spans="1:37" x14ac:dyDescent="0.25">
      <c r="A146" s="124" t="s">
        <v>152</v>
      </c>
      <c r="B146" s="135">
        <v>0.8</v>
      </c>
      <c r="C146" s="136">
        <f t="shared" si="28"/>
        <v>0.8</v>
      </c>
      <c r="D146" s="136">
        <f t="shared" si="28"/>
        <v>0.8</v>
      </c>
      <c r="E146" s="136">
        <f t="shared" si="28"/>
        <v>0.8</v>
      </c>
      <c r="F146" s="136">
        <f t="shared" si="28"/>
        <v>0.8</v>
      </c>
      <c r="G146" s="136">
        <f t="shared" si="28"/>
        <v>0.8</v>
      </c>
      <c r="H146" s="136">
        <f t="shared" si="28"/>
        <v>0.8</v>
      </c>
      <c r="I146" s="136">
        <f t="shared" si="28"/>
        <v>0.8</v>
      </c>
      <c r="J146" s="136">
        <f t="shared" si="28"/>
        <v>0.8</v>
      </c>
      <c r="K146" s="136">
        <f t="shared" si="28"/>
        <v>0.8</v>
      </c>
      <c r="L146" s="136">
        <f t="shared" si="28"/>
        <v>0.8</v>
      </c>
      <c r="M146" s="136">
        <f t="shared" si="28"/>
        <v>0.8</v>
      </c>
      <c r="N146" s="136">
        <f t="shared" si="28"/>
        <v>0.8</v>
      </c>
      <c r="O146" s="136">
        <f t="shared" si="28"/>
        <v>0.8</v>
      </c>
      <c r="P146" s="136">
        <f t="shared" si="28"/>
        <v>0.8</v>
      </c>
      <c r="Q146" s="136">
        <f t="shared" si="28"/>
        <v>0.8</v>
      </c>
      <c r="R146" s="136">
        <f t="shared" si="25"/>
        <v>0.8</v>
      </c>
      <c r="S146" s="136">
        <f t="shared" si="25"/>
        <v>0.8</v>
      </c>
      <c r="T146" s="136">
        <f t="shared" si="25"/>
        <v>0.8</v>
      </c>
      <c r="U146" s="136">
        <f t="shared" si="25"/>
        <v>0.8</v>
      </c>
      <c r="V146" s="136">
        <f t="shared" si="27"/>
        <v>0.8</v>
      </c>
      <c r="W146" s="136">
        <f t="shared" si="27"/>
        <v>0.8</v>
      </c>
      <c r="X146" s="136">
        <f t="shared" ref="X146:AF170" si="29">W146</f>
        <v>0.8</v>
      </c>
      <c r="Y146" s="136">
        <f t="shared" si="29"/>
        <v>0.8</v>
      </c>
      <c r="Z146" s="136">
        <f t="shared" si="29"/>
        <v>0.8</v>
      </c>
      <c r="AA146" s="136">
        <f t="shared" si="29"/>
        <v>0.8</v>
      </c>
      <c r="AB146" s="136">
        <f t="shared" si="29"/>
        <v>0.8</v>
      </c>
      <c r="AC146" s="136">
        <f t="shared" si="29"/>
        <v>0.8</v>
      </c>
      <c r="AD146" s="136">
        <f t="shared" si="29"/>
        <v>0.8</v>
      </c>
      <c r="AE146" s="136">
        <f t="shared" si="29"/>
        <v>0.8</v>
      </c>
      <c r="AF146" s="136">
        <f t="shared" si="29"/>
        <v>0.8</v>
      </c>
      <c r="AG146" s="138">
        <v>1.65</v>
      </c>
      <c r="AH146" s="52"/>
      <c r="AI146" s="53"/>
      <c r="AK146" s="54"/>
    </row>
    <row r="147" spans="1:37" x14ac:dyDescent="0.25">
      <c r="A147" s="124" t="s">
        <v>153</v>
      </c>
      <c r="B147" s="135">
        <v>1.5</v>
      </c>
      <c r="C147" s="136">
        <f t="shared" si="28"/>
        <v>1.5</v>
      </c>
      <c r="D147" s="136">
        <f t="shared" si="28"/>
        <v>1.5</v>
      </c>
      <c r="E147" s="136">
        <f t="shared" si="28"/>
        <v>1.5</v>
      </c>
      <c r="F147" s="136">
        <f t="shared" si="28"/>
        <v>1.5</v>
      </c>
      <c r="G147" s="136">
        <f t="shared" si="28"/>
        <v>1.5</v>
      </c>
      <c r="H147" s="136">
        <f t="shared" si="28"/>
        <v>1.5</v>
      </c>
      <c r="I147" s="136">
        <f t="shared" si="28"/>
        <v>1.5</v>
      </c>
      <c r="J147" s="136">
        <f t="shared" si="28"/>
        <v>1.5</v>
      </c>
      <c r="K147" s="136">
        <f t="shared" si="28"/>
        <v>1.5</v>
      </c>
      <c r="L147" s="136">
        <f t="shared" si="28"/>
        <v>1.5</v>
      </c>
      <c r="M147" s="136">
        <f t="shared" si="28"/>
        <v>1.5</v>
      </c>
      <c r="N147" s="136">
        <f t="shared" si="28"/>
        <v>1.5</v>
      </c>
      <c r="O147" s="136">
        <f t="shared" si="28"/>
        <v>1.5</v>
      </c>
      <c r="P147" s="136">
        <f t="shared" si="28"/>
        <v>1.5</v>
      </c>
      <c r="Q147" s="136">
        <f t="shared" si="28"/>
        <v>1.5</v>
      </c>
      <c r="R147" s="136">
        <f t="shared" si="25"/>
        <v>1.5</v>
      </c>
      <c r="S147" s="136">
        <f t="shared" si="25"/>
        <v>1.5</v>
      </c>
      <c r="T147" s="136">
        <f t="shared" si="25"/>
        <v>1.5</v>
      </c>
      <c r="U147" s="136">
        <f t="shared" si="25"/>
        <v>1.5</v>
      </c>
      <c r="V147" s="136">
        <f t="shared" si="25"/>
        <v>1.5</v>
      </c>
      <c r="W147" s="136">
        <f t="shared" si="25"/>
        <v>1.5</v>
      </c>
      <c r="X147" s="136">
        <f t="shared" si="29"/>
        <v>1.5</v>
      </c>
      <c r="Y147" s="136">
        <f t="shared" si="29"/>
        <v>1.5</v>
      </c>
      <c r="Z147" s="136">
        <f t="shared" si="29"/>
        <v>1.5</v>
      </c>
      <c r="AA147" s="136">
        <f t="shared" si="29"/>
        <v>1.5</v>
      </c>
      <c r="AB147" s="136">
        <f t="shared" si="29"/>
        <v>1.5</v>
      </c>
      <c r="AC147" s="136">
        <f t="shared" si="29"/>
        <v>1.5</v>
      </c>
      <c r="AD147" s="136">
        <f t="shared" si="29"/>
        <v>1.5</v>
      </c>
      <c r="AE147" s="136">
        <f t="shared" si="29"/>
        <v>1.5</v>
      </c>
      <c r="AF147" s="136">
        <f t="shared" si="29"/>
        <v>1.5</v>
      </c>
      <c r="AG147" s="138">
        <v>1.5</v>
      </c>
      <c r="AH147" s="52"/>
      <c r="AI147" s="53"/>
      <c r="AK147" s="54"/>
    </row>
    <row r="148" spans="1:37" x14ac:dyDescent="0.25">
      <c r="A148" s="124" t="s">
        <v>154</v>
      </c>
      <c r="B148" s="135">
        <v>1</v>
      </c>
      <c r="C148" s="136">
        <f t="shared" si="28"/>
        <v>1</v>
      </c>
      <c r="D148" s="136">
        <f t="shared" si="28"/>
        <v>1</v>
      </c>
      <c r="E148" s="136">
        <f t="shared" si="28"/>
        <v>1</v>
      </c>
      <c r="F148" s="136">
        <f t="shared" si="28"/>
        <v>1</v>
      </c>
      <c r="G148" s="136">
        <f t="shared" si="28"/>
        <v>1</v>
      </c>
      <c r="H148" s="136">
        <f t="shared" si="28"/>
        <v>1</v>
      </c>
      <c r="I148" s="136">
        <f t="shared" si="28"/>
        <v>1</v>
      </c>
      <c r="J148" s="136">
        <f t="shared" si="28"/>
        <v>1</v>
      </c>
      <c r="K148" s="136">
        <f t="shared" si="28"/>
        <v>1</v>
      </c>
      <c r="L148" s="136">
        <f t="shared" si="28"/>
        <v>1</v>
      </c>
      <c r="M148" s="136">
        <f t="shared" si="28"/>
        <v>1</v>
      </c>
      <c r="N148" s="136">
        <f t="shared" si="28"/>
        <v>1</v>
      </c>
      <c r="O148" s="136">
        <f t="shared" si="28"/>
        <v>1</v>
      </c>
      <c r="P148" s="136">
        <f t="shared" si="28"/>
        <v>1</v>
      </c>
      <c r="Q148" s="136">
        <f t="shared" si="28"/>
        <v>1</v>
      </c>
      <c r="R148" s="136">
        <f t="shared" si="25"/>
        <v>1</v>
      </c>
      <c r="S148" s="136">
        <f t="shared" si="25"/>
        <v>1</v>
      </c>
      <c r="T148" s="136">
        <f t="shared" si="25"/>
        <v>1</v>
      </c>
      <c r="U148" s="136">
        <f t="shared" si="25"/>
        <v>1</v>
      </c>
      <c r="V148" s="136">
        <f t="shared" si="25"/>
        <v>1</v>
      </c>
      <c r="W148" s="136">
        <f t="shared" si="25"/>
        <v>1</v>
      </c>
      <c r="X148" s="136">
        <f t="shared" si="29"/>
        <v>1</v>
      </c>
      <c r="Y148" s="136">
        <f t="shared" si="29"/>
        <v>1</v>
      </c>
      <c r="Z148" s="136">
        <f t="shared" si="29"/>
        <v>1</v>
      </c>
      <c r="AA148" s="136">
        <f t="shared" si="29"/>
        <v>1</v>
      </c>
      <c r="AB148" s="136">
        <f t="shared" si="29"/>
        <v>1</v>
      </c>
      <c r="AC148" s="136">
        <f t="shared" si="29"/>
        <v>1</v>
      </c>
      <c r="AD148" s="136">
        <f t="shared" si="29"/>
        <v>1</v>
      </c>
      <c r="AE148" s="136">
        <f t="shared" si="29"/>
        <v>1</v>
      </c>
      <c r="AF148" s="136">
        <f t="shared" si="29"/>
        <v>1</v>
      </c>
      <c r="AG148" s="138">
        <v>0.998</v>
      </c>
      <c r="AH148" s="52"/>
      <c r="AI148" s="53"/>
      <c r="AK148" s="54"/>
    </row>
    <row r="149" spans="1:37" x14ac:dyDescent="0.25">
      <c r="A149" s="124" t="s">
        <v>155</v>
      </c>
      <c r="B149" s="135">
        <v>1</v>
      </c>
      <c r="C149" s="136">
        <f t="shared" si="28"/>
        <v>1</v>
      </c>
      <c r="D149" s="136">
        <f t="shared" si="28"/>
        <v>1</v>
      </c>
      <c r="E149" s="136">
        <f t="shared" si="28"/>
        <v>1</v>
      </c>
      <c r="F149" s="136">
        <f t="shared" si="28"/>
        <v>1</v>
      </c>
      <c r="G149" s="136">
        <f t="shared" si="28"/>
        <v>1</v>
      </c>
      <c r="H149" s="136">
        <f t="shared" si="28"/>
        <v>1</v>
      </c>
      <c r="I149" s="136">
        <f t="shared" si="28"/>
        <v>1</v>
      </c>
      <c r="J149" s="136">
        <f t="shared" si="28"/>
        <v>1</v>
      </c>
      <c r="K149" s="136">
        <f t="shared" si="28"/>
        <v>1</v>
      </c>
      <c r="L149" s="136">
        <f t="shared" si="28"/>
        <v>1</v>
      </c>
      <c r="M149" s="136">
        <f t="shared" si="28"/>
        <v>1</v>
      </c>
      <c r="N149" s="136">
        <f t="shared" si="28"/>
        <v>1</v>
      </c>
      <c r="O149" s="136">
        <f t="shared" si="28"/>
        <v>1</v>
      </c>
      <c r="P149" s="136">
        <f t="shared" si="28"/>
        <v>1</v>
      </c>
      <c r="Q149" s="136">
        <f t="shared" si="28"/>
        <v>1</v>
      </c>
      <c r="R149" s="136">
        <f t="shared" si="25"/>
        <v>1</v>
      </c>
      <c r="S149" s="136">
        <f t="shared" si="25"/>
        <v>1</v>
      </c>
      <c r="T149" s="136">
        <f t="shared" si="25"/>
        <v>1</v>
      </c>
      <c r="U149" s="136">
        <f t="shared" si="25"/>
        <v>1</v>
      </c>
      <c r="V149" s="136">
        <f t="shared" si="25"/>
        <v>1</v>
      </c>
      <c r="W149" s="136">
        <f t="shared" si="25"/>
        <v>1</v>
      </c>
      <c r="X149" s="136">
        <f t="shared" si="29"/>
        <v>1</v>
      </c>
      <c r="Y149" s="136">
        <f t="shared" si="29"/>
        <v>1</v>
      </c>
      <c r="Z149" s="136">
        <f t="shared" si="29"/>
        <v>1</v>
      </c>
      <c r="AA149" s="136">
        <f t="shared" si="29"/>
        <v>1</v>
      </c>
      <c r="AB149" s="136">
        <f t="shared" si="29"/>
        <v>1</v>
      </c>
      <c r="AC149" s="136">
        <f t="shared" si="29"/>
        <v>1</v>
      </c>
      <c r="AD149" s="136">
        <f t="shared" si="29"/>
        <v>1</v>
      </c>
      <c r="AE149" s="136">
        <f t="shared" si="29"/>
        <v>1</v>
      </c>
      <c r="AF149" s="136">
        <f t="shared" si="29"/>
        <v>1</v>
      </c>
      <c r="AG149" s="138">
        <v>0.997</v>
      </c>
      <c r="AH149" s="52"/>
      <c r="AI149" s="53"/>
      <c r="AK149" s="54"/>
    </row>
    <row r="150" spans="1:37" x14ac:dyDescent="0.25">
      <c r="A150" s="124" t="s">
        <v>156</v>
      </c>
      <c r="B150" s="135">
        <v>0.42</v>
      </c>
      <c r="C150" s="136">
        <f t="shared" si="28"/>
        <v>0.42</v>
      </c>
      <c r="D150" s="136">
        <f t="shared" si="28"/>
        <v>0.42</v>
      </c>
      <c r="E150" s="136">
        <f t="shared" si="28"/>
        <v>0.42</v>
      </c>
      <c r="F150" s="136">
        <f t="shared" si="28"/>
        <v>0.42</v>
      </c>
      <c r="G150" s="136">
        <f t="shared" si="28"/>
        <v>0.42</v>
      </c>
      <c r="H150" s="136">
        <f t="shared" si="28"/>
        <v>0.42</v>
      </c>
      <c r="I150" s="136">
        <f t="shared" si="28"/>
        <v>0.42</v>
      </c>
      <c r="J150" s="136">
        <f t="shared" si="28"/>
        <v>0.42</v>
      </c>
      <c r="K150" s="136">
        <f t="shared" si="28"/>
        <v>0.42</v>
      </c>
      <c r="L150" s="136">
        <f t="shared" si="28"/>
        <v>0.42</v>
      </c>
      <c r="M150" s="136">
        <f t="shared" si="28"/>
        <v>0.42</v>
      </c>
      <c r="N150" s="136">
        <f t="shared" si="28"/>
        <v>0.42</v>
      </c>
      <c r="O150" s="136">
        <f t="shared" si="28"/>
        <v>0.42</v>
      </c>
      <c r="P150" s="136">
        <f t="shared" si="28"/>
        <v>0.42</v>
      </c>
      <c r="Q150" s="136">
        <f t="shared" si="28"/>
        <v>0.42</v>
      </c>
      <c r="R150" s="136">
        <f t="shared" si="25"/>
        <v>0.42</v>
      </c>
      <c r="S150" s="136">
        <f t="shared" si="25"/>
        <v>0.42</v>
      </c>
      <c r="T150" s="136">
        <f t="shared" si="25"/>
        <v>0.42</v>
      </c>
      <c r="U150" s="136">
        <f t="shared" si="25"/>
        <v>0.42</v>
      </c>
      <c r="V150" s="136">
        <f t="shared" si="25"/>
        <v>0.42</v>
      </c>
      <c r="W150" s="136">
        <f t="shared" si="25"/>
        <v>0.42</v>
      </c>
      <c r="X150" s="136">
        <f t="shared" si="29"/>
        <v>0.42</v>
      </c>
      <c r="Y150" s="136">
        <f t="shared" si="29"/>
        <v>0.42</v>
      </c>
      <c r="Z150" s="136">
        <f t="shared" si="29"/>
        <v>0.42</v>
      </c>
      <c r="AA150" s="136">
        <f t="shared" si="29"/>
        <v>0.42</v>
      </c>
      <c r="AB150" s="136">
        <f t="shared" si="29"/>
        <v>0.42</v>
      </c>
      <c r="AC150" s="136">
        <f t="shared" si="29"/>
        <v>0.42</v>
      </c>
      <c r="AD150" s="136">
        <f t="shared" si="29"/>
        <v>0.42</v>
      </c>
      <c r="AE150" s="136">
        <f t="shared" si="29"/>
        <v>0.42</v>
      </c>
      <c r="AF150" s="136">
        <f t="shared" si="29"/>
        <v>0.42</v>
      </c>
      <c r="AG150" s="138">
        <v>0.996</v>
      </c>
      <c r="AH150" s="52"/>
      <c r="AI150" s="53"/>
      <c r="AK150" s="54"/>
    </row>
    <row r="151" spans="1:37" x14ac:dyDescent="0.25">
      <c r="A151" s="124" t="s">
        <v>157</v>
      </c>
      <c r="B151" s="135">
        <v>0.46</v>
      </c>
      <c r="C151" s="136">
        <f t="shared" si="28"/>
        <v>0.46</v>
      </c>
      <c r="D151" s="136">
        <f t="shared" si="28"/>
        <v>0.46</v>
      </c>
      <c r="E151" s="136">
        <f t="shared" si="28"/>
        <v>0.46</v>
      </c>
      <c r="F151" s="136">
        <f t="shared" si="28"/>
        <v>0.46</v>
      </c>
      <c r="G151" s="136">
        <f t="shared" si="28"/>
        <v>0.46</v>
      </c>
      <c r="H151" s="136">
        <f t="shared" si="28"/>
        <v>0.46</v>
      </c>
      <c r="I151" s="136">
        <f t="shared" si="28"/>
        <v>0.46</v>
      </c>
      <c r="J151" s="136">
        <f t="shared" si="28"/>
        <v>0.46</v>
      </c>
      <c r="K151" s="136">
        <f t="shared" si="28"/>
        <v>0.46</v>
      </c>
      <c r="L151" s="136">
        <f t="shared" si="28"/>
        <v>0.46</v>
      </c>
      <c r="M151" s="136">
        <f t="shared" si="28"/>
        <v>0.46</v>
      </c>
      <c r="N151" s="136">
        <f t="shared" si="28"/>
        <v>0.46</v>
      </c>
      <c r="O151" s="136">
        <f t="shared" si="28"/>
        <v>0.46</v>
      </c>
      <c r="P151" s="136">
        <f t="shared" si="28"/>
        <v>0.46</v>
      </c>
      <c r="Q151" s="136">
        <f t="shared" si="28"/>
        <v>0.46</v>
      </c>
      <c r="R151" s="136">
        <f t="shared" si="25"/>
        <v>0.46</v>
      </c>
      <c r="S151" s="136">
        <f t="shared" si="25"/>
        <v>0.46</v>
      </c>
      <c r="T151" s="136">
        <f t="shared" si="25"/>
        <v>0.46</v>
      </c>
      <c r="U151" s="136">
        <f t="shared" si="25"/>
        <v>0.46</v>
      </c>
      <c r="V151" s="136">
        <f t="shared" si="25"/>
        <v>0.46</v>
      </c>
      <c r="W151" s="136">
        <f t="shared" si="25"/>
        <v>0.46</v>
      </c>
      <c r="X151" s="136">
        <f t="shared" si="29"/>
        <v>0.46</v>
      </c>
      <c r="Y151" s="136">
        <f t="shared" si="29"/>
        <v>0.46</v>
      </c>
      <c r="Z151" s="136">
        <f t="shared" si="29"/>
        <v>0.46</v>
      </c>
      <c r="AA151" s="136">
        <f t="shared" si="29"/>
        <v>0.46</v>
      </c>
      <c r="AB151" s="136">
        <f t="shared" si="29"/>
        <v>0.46</v>
      </c>
      <c r="AC151" s="136">
        <f t="shared" si="29"/>
        <v>0.46</v>
      </c>
      <c r="AD151" s="136">
        <f t="shared" si="29"/>
        <v>0.46</v>
      </c>
      <c r="AE151" s="136">
        <f t="shared" si="29"/>
        <v>0.46</v>
      </c>
      <c r="AF151" s="136">
        <f t="shared" si="29"/>
        <v>0.46</v>
      </c>
      <c r="AG151" s="138">
        <v>0.996</v>
      </c>
      <c r="AH151" s="52"/>
      <c r="AI151" s="53"/>
      <c r="AK151" s="54"/>
    </row>
    <row r="152" spans="1:37" x14ac:dyDescent="0.25">
      <c r="A152" s="124" t="s">
        <v>158</v>
      </c>
      <c r="B152" s="135">
        <v>0.85</v>
      </c>
      <c r="C152" s="136">
        <f t="shared" si="28"/>
        <v>0.85</v>
      </c>
      <c r="D152" s="136">
        <f t="shared" si="28"/>
        <v>0.85</v>
      </c>
      <c r="E152" s="136">
        <f t="shared" si="28"/>
        <v>0.85</v>
      </c>
      <c r="F152" s="136">
        <f t="shared" si="28"/>
        <v>0.85</v>
      </c>
      <c r="G152" s="136">
        <f t="shared" si="28"/>
        <v>0.85</v>
      </c>
      <c r="H152" s="136">
        <f t="shared" si="28"/>
        <v>0.85</v>
      </c>
      <c r="I152" s="136">
        <f t="shared" si="28"/>
        <v>0.85</v>
      </c>
      <c r="J152" s="136">
        <f t="shared" si="28"/>
        <v>0.85</v>
      </c>
      <c r="K152" s="136">
        <f t="shared" si="28"/>
        <v>0.85</v>
      </c>
      <c r="L152" s="136">
        <f t="shared" si="28"/>
        <v>0.85</v>
      </c>
      <c r="M152" s="136">
        <f t="shared" si="28"/>
        <v>0.85</v>
      </c>
      <c r="N152" s="136">
        <f t="shared" si="28"/>
        <v>0.85</v>
      </c>
      <c r="O152" s="136">
        <f t="shared" si="28"/>
        <v>0.85</v>
      </c>
      <c r="P152" s="136">
        <f t="shared" si="28"/>
        <v>0.85</v>
      </c>
      <c r="Q152" s="136">
        <f t="shared" si="28"/>
        <v>0.85</v>
      </c>
      <c r="R152" s="136">
        <f t="shared" si="25"/>
        <v>0.85</v>
      </c>
      <c r="S152" s="136">
        <f t="shared" si="25"/>
        <v>0.85</v>
      </c>
      <c r="T152" s="136">
        <f t="shared" si="25"/>
        <v>0.85</v>
      </c>
      <c r="U152" s="136">
        <f t="shared" si="25"/>
        <v>0.85</v>
      </c>
      <c r="V152" s="136">
        <f t="shared" si="25"/>
        <v>0.85</v>
      </c>
      <c r="W152" s="136">
        <f t="shared" si="25"/>
        <v>0.85</v>
      </c>
      <c r="X152" s="136">
        <f t="shared" si="29"/>
        <v>0.85</v>
      </c>
      <c r="Y152" s="136">
        <f t="shared" si="29"/>
        <v>0.85</v>
      </c>
      <c r="Z152" s="136">
        <f t="shared" si="29"/>
        <v>0.85</v>
      </c>
      <c r="AA152" s="136">
        <f t="shared" si="29"/>
        <v>0.85</v>
      </c>
      <c r="AB152" s="136">
        <f t="shared" si="29"/>
        <v>0.85</v>
      </c>
      <c r="AC152" s="136">
        <f t="shared" si="29"/>
        <v>0.85</v>
      </c>
      <c r="AD152" s="136">
        <f t="shared" si="29"/>
        <v>0.85</v>
      </c>
      <c r="AE152" s="136">
        <f t="shared" si="29"/>
        <v>0.85</v>
      </c>
      <c r="AF152" s="136">
        <f t="shared" si="29"/>
        <v>0.85</v>
      </c>
      <c r="AG152" s="138">
        <v>0.996</v>
      </c>
      <c r="AH152" s="52"/>
      <c r="AI152" s="53"/>
      <c r="AK152" s="54"/>
    </row>
    <row r="153" spans="1:37" x14ac:dyDescent="0.25">
      <c r="A153" s="124" t="s">
        <v>159</v>
      </c>
      <c r="B153" s="135">
        <v>0.9</v>
      </c>
      <c r="C153" s="136">
        <f t="shared" si="28"/>
        <v>0.9</v>
      </c>
      <c r="D153" s="136">
        <f t="shared" si="28"/>
        <v>0.9</v>
      </c>
      <c r="E153" s="136">
        <f t="shared" si="28"/>
        <v>0.9</v>
      </c>
      <c r="F153" s="136">
        <f t="shared" si="28"/>
        <v>0.9</v>
      </c>
      <c r="G153" s="136">
        <f t="shared" si="28"/>
        <v>0.9</v>
      </c>
      <c r="H153" s="136">
        <f t="shared" si="28"/>
        <v>0.9</v>
      </c>
      <c r="I153" s="136">
        <f t="shared" si="28"/>
        <v>0.9</v>
      </c>
      <c r="J153" s="136">
        <f t="shared" si="28"/>
        <v>0.9</v>
      </c>
      <c r="K153" s="136">
        <f t="shared" si="28"/>
        <v>0.9</v>
      </c>
      <c r="L153" s="136">
        <f t="shared" si="28"/>
        <v>0.9</v>
      </c>
      <c r="M153" s="136">
        <f t="shared" si="28"/>
        <v>0.9</v>
      </c>
      <c r="N153" s="136">
        <f t="shared" si="28"/>
        <v>0.9</v>
      </c>
      <c r="O153" s="136">
        <f t="shared" si="28"/>
        <v>0.9</v>
      </c>
      <c r="P153" s="136">
        <f t="shared" si="28"/>
        <v>0.9</v>
      </c>
      <c r="Q153" s="136">
        <f t="shared" si="28"/>
        <v>0.9</v>
      </c>
      <c r="R153" s="136">
        <f t="shared" si="25"/>
        <v>0.9</v>
      </c>
      <c r="S153" s="136">
        <f t="shared" si="25"/>
        <v>0.9</v>
      </c>
      <c r="T153" s="136">
        <f t="shared" si="25"/>
        <v>0.9</v>
      </c>
      <c r="U153" s="136">
        <f t="shared" si="25"/>
        <v>0.9</v>
      </c>
      <c r="V153" s="136">
        <f t="shared" si="25"/>
        <v>0.9</v>
      </c>
      <c r="W153" s="136">
        <f t="shared" si="25"/>
        <v>0.9</v>
      </c>
      <c r="X153" s="136">
        <f t="shared" si="29"/>
        <v>0.9</v>
      </c>
      <c r="Y153" s="136">
        <f t="shared" si="29"/>
        <v>0.9</v>
      </c>
      <c r="Z153" s="136">
        <f t="shared" si="29"/>
        <v>0.9</v>
      </c>
      <c r="AA153" s="136">
        <f t="shared" si="29"/>
        <v>0.9</v>
      </c>
      <c r="AB153" s="136">
        <f t="shared" si="29"/>
        <v>0.9</v>
      </c>
      <c r="AC153" s="136">
        <f t="shared" si="29"/>
        <v>0.9</v>
      </c>
      <c r="AD153" s="136">
        <f t="shared" si="29"/>
        <v>0.9</v>
      </c>
      <c r="AE153" s="136">
        <f t="shared" si="29"/>
        <v>0.9</v>
      </c>
      <c r="AF153" s="136">
        <f t="shared" si="29"/>
        <v>0.9</v>
      </c>
      <c r="AG153" s="138">
        <v>0.995</v>
      </c>
      <c r="AH153" s="52"/>
      <c r="AI153" s="53"/>
      <c r="AK153" s="54"/>
    </row>
    <row r="154" spans="1:37" x14ac:dyDescent="0.25">
      <c r="A154" s="124" t="s">
        <v>160</v>
      </c>
      <c r="B154" s="135">
        <v>0.44</v>
      </c>
      <c r="C154" s="136">
        <f t="shared" si="28"/>
        <v>0.44</v>
      </c>
      <c r="D154" s="136">
        <f t="shared" si="28"/>
        <v>0.44</v>
      </c>
      <c r="E154" s="136">
        <f t="shared" si="28"/>
        <v>0.44</v>
      </c>
      <c r="F154" s="136">
        <f t="shared" si="28"/>
        <v>0.44</v>
      </c>
      <c r="G154" s="136">
        <f t="shared" si="28"/>
        <v>0.44</v>
      </c>
      <c r="H154" s="136">
        <f t="shared" si="28"/>
        <v>0.44</v>
      </c>
      <c r="I154" s="136">
        <f t="shared" si="28"/>
        <v>0.44</v>
      </c>
      <c r="J154" s="136">
        <f t="shared" si="28"/>
        <v>0.44</v>
      </c>
      <c r="K154" s="136">
        <f t="shared" si="28"/>
        <v>0.44</v>
      </c>
      <c r="L154" s="136">
        <f t="shared" si="28"/>
        <v>0.44</v>
      </c>
      <c r="M154" s="136">
        <f t="shared" si="28"/>
        <v>0.44</v>
      </c>
      <c r="N154" s="136">
        <f t="shared" si="28"/>
        <v>0.44</v>
      </c>
      <c r="O154" s="136">
        <f t="shared" si="28"/>
        <v>0.44</v>
      </c>
      <c r="P154" s="136">
        <f t="shared" si="28"/>
        <v>0.44</v>
      </c>
      <c r="Q154" s="136">
        <f t="shared" si="28"/>
        <v>0.44</v>
      </c>
      <c r="R154" s="136">
        <f t="shared" si="25"/>
        <v>0.44</v>
      </c>
      <c r="S154" s="136">
        <f t="shared" si="25"/>
        <v>0.44</v>
      </c>
      <c r="T154" s="136">
        <f t="shared" si="25"/>
        <v>0.44</v>
      </c>
      <c r="U154" s="136">
        <f t="shared" si="25"/>
        <v>0.44</v>
      </c>
      <c r="V154" s="136">
        <f t="shared" si="25"/>
        <v>0.44</v>
      </c>
      <c r="W154" s="136">
        <f t="shared" si="25"/>
        <v>0.44</v>
      </c>
      <c r="X154" s="136">
        <f t="shared" si="29"/>
        <v>0.44</v>
      </c>
      <c r="Y154" s="136">
        <f t="shared" si="29"/>
        <v>0.44</v>
      </c>
      <c r="Z154" s="136">
        <f t="shared" si="29"/>
        <v>0.44</v>
      </c>
      <c r="AA154" s="136">
        <f t="shared" si="29"/>
        <v>0.44</v>
      </c>
      <c r="AB154" s="136">
        <f t="shared" si="29"/>
        <v>0.44</v>
      </c>
      <c r="AC154" s="136">
        <f t="shared" si="29"/>
        <v>0.44</v>
      </c>
      <c r="AD154" s="136">
        <f t="shared" si="29"/>
        <v>0.44</v>
      </c>
      <c r="AE154" s="136">
        <f t="shared" si="29"/>
        <v>0.44</v>
      </c>
      <c r="AF154" s="136">
        <f t="shared" si="29"/>
        <v>0.44</v>
      </c>
      <c r="AG154" s="138">
        <v>0.99299999999999999</v>
      </c>
      <c r="AH154" s="52"/>
      <c r="AI154" s="53"/>
      <c r="AK154" s="54"/>
    </row>
    <row r="155" spans="1:37" x14ac:dyDescent="0.25">
      <c r="A155" s="124" t="s">
        <v>161</v>
      </c>
      <c r="B155" s="135">
        <v>0.9</v>
      </c>
      <c r="C155" s="136">
        <f t="shared" ref="C155:Q170" si="30">B155</f>
        <v>0.9</v>
      </c>
      <c r="D155" s="136">
        <f t="shared" si="30"/>
        <v>0.9</v>
      </c>
      <c r="E155" s="136">
        <f t="shared" si="30"/>
        <v>0.9</v>
      </c>
      <c r="F155" s="136">
        <f t="shared" si="30"/>
        <v>0.9</v>
      </c>
      <c r="G155" s="136">
        <f t="shared" si="30"/>
        <v>0.9</v>
      </c>
      <c r="H155" s="136">
        <f t="shared" si="30"/>
        <v>0.9</v>
      </c>
      <c r="I155" s="136">
        <f t="shared" si="30"/>
        <v>0.9</v>
      </c>
      <c r="J155" s="136">
        <f t="shared" si="30"/>
        <v>0.9</v>
      </c>
      <c r="K155" s="136">
        <f t="shared" si="30"/>
        <v>0.9</v>
      </c>
      <c r="L155" s="136">
        <f t="shared" si="30"/>
        <v>0.9</v>
      </c>
      <c r="M155" s="136">
        <f t="shared" si="30"/>
        <v>0.9</v>
      </c>
      <c r="N155" s="136">
        <f t="shared" si="30"/>
        <v>0.9</v>
      </c>
      <c r="O155" s="136">
        <f t="shared" si="30"/>
        <v>0.9</v>
      </c>
      <c r="P155" s="136">
        <f t="shared" si="30"/>
        <v>0.9</v>
      </c>
      <c r="Q155" s="136">
        <f t="shared" si="30"/>
        <v>0.9</v>
      </c>
      <c r="R155" s="136">
        <f t="shared" si="25"/>
        <v>0.9</v>
      </c>
      <c r="S155" s="136">
        <f t="shared" si="25"/>
        <v>0.9</v>
      </c>
      <c r="T155" s="136">
        <f t="shared" si="25"/>
        <v>0.9</v>
      </c>
      <c r="U155" s="136">
        <f t="shared" si="25"/>
        <v>0.9</v>
      </c>
      <c r="V155" s="136">
        <f t="shared" si="25"/>
        <v>0.9</v>
      </c>
      <c r="W155" s="136">
        <f t="shared" si="25"/>
        <v>0.9</v>
      </c>
      <c r="X155" s="136">
        <f t="shared" si="29"/>
        <v>0.9</v>
      </c>
      <c r="Y155" s="136">
        <f t="shared" si="29"/>
        <v>0.9</v>
      </c>
      <c r="Z155" s="136">
        <f t="shared" si="29"/>
        <v>0.9</v>
      </c>
      <c r="AA155" s="136">
        <f t="shared" si="29"/>
        <v>0.9</v>
      </c>
      <c r="AB155" s="136">
        <f t="shared" si="29"/>
        <v>0.9</v>
      </c>
      <c r="AC155" s="136">
        <f t="shared" si="29"/>
        <v>0.9</v>
      </c>
      <c r="AD155" s="136">
        <f t="shared" si="29"/>
        <v>0.9</v>
      </c>
      <c r="AE155" s="136">
        <f t="shared" si="29"/>
        <v>0.9</v>
      </c>
      <c r="AF155" s="136">
        <f t="shared" si="29"/>
        <v>0.9</v>
      </c>
      <c r="AG155" s="138">
        <v>0.99099999999999999</v>
      </c>
      <c r="AH155" s="52"/>
      <c r="AI155" s="53"/>
      <c r="AK155" s="54"/>
    </row>
    <row r="156" spans="1:37" x14ac:dyDescent="0.25">
      <c r="A156" s="124" t="s">
        <v>162</v>
      </c>
      <c r="B156" s="135">
        <v>2.1</v>
      </c>
      <c r="C156" s="136">
        <f t="shared" si="30"/>
        <v>2.1</v>
      </c>
      <c r="D156" s="136">
        <f t="shared" si="30"/>
        <v>2.1</v>
      </c>
      <c r="E156" s="136">
        <f t="shared" si="30"/>
        <v>2.1</v>
      </c>
      <c r="F156" s="136">
        <f t="shared" si="30"/>
        <v>2.1</v>
      </c>
      <c r="G156" s="136">
        <f t="shared" si="30"/>
        <v>2.1</v>
      </c>
      <c r="H156" s="136">
        <f t="shared" si="30"/>
        <v>2.1</v>
      </c>
      <c r="I156" s="136">
        <f t="shared" si="30"/>
        <v>2.1</v>
      </c>
      <c r="J156" s="136">
        <f t="shared" si="30"/>
        <v>2.1</v>
      </c>
      <c r="K156" s="136">
        <f t="shared" si="30"/>
        <v>2.1</v>
      </c>
      <c r="L156" s="136">
        <f t="shared" si="30"/>
        <v>2.1</v>
      </c>
      <c r="M156" s="136">
        <f t="shared" si="30"/>
        <v>2.1</v>
      </c>
      <c r="N156" s="136">
        <f t="shared" si="30"/>
        <v>2.1</v>
      </c>
      <c r="O156" s="136">
        <f t="shared" si="30"/>
        <v>2.1</v>
      </c>
      <c r="P156" s="136">
        <f t="shared" si="30"/>
        <v>2.1</v>
      </c>
      <c r="Q156" s="136">
        <f t="shared" si="30"/>
        <v>2.1</v>
      </c>
      <c r="R156" s="136">
        <f t="shared" si="25"/>
        <v>2.1</v>
      </c>
      <c r="S156" s="136">
        <f t="shared" si="25"/>
        <v>2.1</v>
      </c>
      <c r="T156" s="136">
        <f t="shared" si="25"/>
        <v>2.1</v>
      </c>
      <c r="U156" s="136">
        <f t="shared" si="25"/>
        <v>2.1</v>
      </c>
      <c r="V156" s="136">
        <f t="shared" si="25"/>
        <v>2.1</v>
      </c>
      <c r="W156" s="136">
        <f t="shared" si="25"/>
        <v>2.1</v>
      </c>
      <c r="X156" s="136">
        <f t="shared" si="29"/>
        <v>2.1</v>
      </c>
      <c r="Y156" s="136">
        <f t="shared" si="29"/>
        <v>2.1</v>
      </c>
      <c r="Z156" s="136">
        <f t="shared" si="29"/>
        <v>2.1</v>
      </c>
      <c r="AA156" s="136">
        <f t="shared" si="29"/>
        <v>2.1</v>
      </c>
      <c r="AB156" s="136">
        <f t="shared" si="29"/>
        <v>2.1</v>
      </c>
      <c r="AC156" s="136">
        <f t="shared" si="29"/>
        <v>2.1</v>
      </c>
      <c r="AD156" s="136">
        <f t="shared" si="29"/>
        <v>2.1</v>
      </c>
      <c r="AE156" s="136">
        <f t="shared" si="29"/>
        <v>2.1</v>
      </c>
      <c r="AF156" s="136">
        <f t="shared" si="29"/>
        <v>2.1</v>
      </c>
      <c r="AG156" s="138">
        <v>0.99</v>
      </c>
      <c r="AH156" s="52"/>
      <c r="AI156" s="53"/>
      <c r="AK156" s="54"/>
    </row>
    <row r="157" spans="1:37" x14ac:dyDescent="0.25">
      <c r="A157" s="124" t="s">
        <v>163</v>
      </c>
      <c r="B157" s="135">
        <v>0.9</v>
      </c>
      <c r="C157" s="136">
        <f t="shared" si="30"/>
        <v>0.9</v>
      </c>
      <c r="D157" s="136">
        <f t="shared" si="30"/>
        <v>0.9</v>
      </c>
      <c r="E157" s="136">
        <f t="shared" si="30"/>
        <v>0.9</v>
      </c>
      <c r="F157" s="136">
        <f t="shared" si="30"/>
        <v>0.9</v>
      </c>
      <c r="G157" s="136">
        <f t="shared" si="30"/>
        <v>0.9</v>
      </c>
      <c r="H157" s="136">
        <f t="shared" si="30"/>
        <v>0.9</v>
      </c>
      <c r="I157" s="136">
        <f t="shared" si="30"/>
        <v>0.9</v>
      </c>
      <c r="J157" s="136">
        <f t="shared" si="30"/>
        <v>0.9</v>
      </c>
      <c r="K157" s="136">
        <f t="shared" si="30"/>
        <v>0.9</v>
      </c>
      <c r="L157" s="136">
        <f t="shared" si="30"/>
        <v>0.9</v>
      </c>
      <c r="M157" s="136">
        <f t="shared" si="30"/>
        <v>0.9</v>
      </c>
      <c r="N157" s="136">
        <f t="shared" si="30"/>
        <v>0.9</v>
      </c>
      <c r="O157" s="136">
        <f t="shared" si="30"/>
        <v>0.9</v>
      </c>
      <c r="P157" s="136">
        <f t="shared" si="30"/>
        <v>0.9</v>
      </c>
      <c r="Q157" s="136">
        <f t="shared" si="30"/>
        <v>0.9</v>
      </c>
      <c r="R157" s="136">
        <f t="shared" si="25"/>
        <v>0.9</v>
      </c>
      <c r="S157" s="136">
        <f t="shared" si="25"/>
        <v>0.9</v>
      </c>
      <c r="T157" s="136">
        <f t="shared" si="25"/>
        <v>0.9</v>
      </c>
      <c r="U157" s="136">
        <f t="shared" si="25"/>
        <v>0.9</v>
      </c>
      <c r="V157" s="136">
        <f t="shared" si="25"/>
        <v>0.9</v>
      </c>
      <c r="W157" s="136">
        <f t="shared" si="25"/>
        <v>0.9</v>
      </c>
      <c r="X157" s="136">
        <f t="shared" si="29"/>
        <v>0.9</v>
      </c>
      <c r="Y157" s="136">
        <f t="shared" si="29"/>
        <v>0.9</v>
      </c>
      <c r="Z157" s="136">
        <f t="shared" si="29"/>
        <v>0.9</v>
      </c>
      <c r="AA157" s="136">
        <f t="shared" si="29"/>
        <v>0.9</v>
      </c>
      <c r="AB157" s="136">
        <f t="shared" si="29"/>
        <v>0.9</v>
      </c>
      <c r="AC157" s="136">
        <f t="shared" si="29"/>
        <v>0.9</v>
      </c>
      <c r="AD157" s="136">
        <f t="shared" si="29"/>
        <v>0.9</v>
      </c>
      <c r="AE157" s="136">
        <f t="shared" si="29"/>
        <v>0.9</v>
      </c>
      <c r="AF157" s="136">
        <f t="shared" si="29"/>
        <v>0.9</v>
      </c>
      <c r="AG157" s="138">
        <v>0.97899999999999998</v>
      </c>
      <c r="AH157" s="52"/>
      <c r="AI157" s="53"/>
      <c r="AK157" s="54"/>
    </row>
    <row r="158" spans="1:37" x14ac:dyDescent="0.25">
      <c r="A158" s="124" t="s">
        <v>164</v>
      </c>
      <c r="B158" s="135">
        <v>0.57999999999999996</v>
      </c>
      <c r="C158" s="136">
        <f t="shared" si="30"/>
        <v>0.57999999999999996</v>
      </c>
      <c r="D158" s="136">
        <f t="shared" si="30"/>
        <v>0.57999999999999996</v>
      </c>
      <c r="E158" s="136">
        <f t="shared" si="30"/>
        <v>0.57999999999999996</v>
      </c>
      <c r="F158" s="136">
        <f t="shared" si="30"/>
        <v>0.57999999999999996</v>
      </c>
      <c r="G158" s="136">
        <f t="shared" si="30"/>
        <v>0.57999999999999996</v>
      </c>
      <c r="H158" s="136">
        <f t="shared" si="30"/>
        <v>0.57999999999999996</v>
      </c>
      <c r="I158" s="136">
        <f t="shared" si="30"/>
        <v>0.57999999999999996</v>
      </c>
      <c r="J158" s="136">
        <f t="shared" si="30"/>
        <v>0.57999999999999996</v>
      </c>
      <c r="K158" s="136">
        <f t="shared" si="30"/>
        <v>0.57999999999999996</v>
      </c>
      <c r="L158" s="136">
        <f t="shared" si="30"/>
        <v>0.57999999999999996</v>
      </c>
      <c r="M158" s="136">
        <f t="shared" si="30"/>
        <v>0.57999999999999996</v>
      </c>
      <c r="N158" s="136">
        <f t="shared" si="30"/>
        <v>0.57999999999999996</v>
      </c>
      <c r="O158" s="136">
        <f t="shared" si="30"/>
        <v>0.57999999999999996</v>
      </c>
      <c r="P158" s="136">
        <f t="shared" si="30"/>
        <v>0.57999999999999996</v>
      </c>
      <c r="Q158" s="136">
        <f t="shared" si="30"/>
        <v>0.57999999999999996</v>
      </c>
      <c r="R158" s="136">
        <f t="shared" si="25"/>
        <v>0.57999999999999996</v>
      </c>
      <c r="S158" s="136">
        <f t="shared" si="25"/>
        <v>0.57999999999999996</v>
      </c>
      <c r="T158" s="136">
        <f t="shared" si="25"/>
        <v>0.57999999999999996</v>
      </c>
      <c r="U158" s="136">
        <f t="shared" si="25"/>
        <v>0.57999999999999996</v>
      </c>
      <c r="V158" s="136">
        <f t="shared" si="25"/>
        <v>0.57999999999999996</v>
      </c>
      <c r="W158" s="136">
        <f t="shared" si="25"/>
        <v>0.57999999999999996</v>
      </c>
      <c r="X158" s="136">
        <f t="shared" si="29"/>
        <v>0.57999999999999996</v>
      </c>
      <c r="Y158" s="136">
        <f t="shared" si="29"/>
        <v>0.57999999999999996</v>
      </c>
      <c r="Z158" s="136">
        <f t="shared" si="29"/>
        <v>0.57999999999999996</v>
      </c>
      <c r="AA158" s="136">
        <f t="shared" si="29"/>
        <v>0.57999999999999996</v>
      </c>
      <c r="AB158" s="136">
        <f t="shared" si="29"/>
        <v>0.57999999999999996</v>
      </c>
      <c r="AC158" s="136">
        <f t="shared" si="29"/>
        <v>0.57999999999999996</v>
      </c>
      <c r="AD158" s="136">
        <f t="shared" si="29"/>
        <v>0.57999999999999996</v>
      </c>
      <c r="AE158" s="136">
        <f t="shared" si="29"/>
        <v>0.57999999999999996</v>
      </c>
      <c r="AF158" s="136">
        <f t="shared" si="29"/>
        <v>0.57999999999999996</v>
      </c>
      <c r="AG158" s="138">
        <v>0.96</v>
      </c>
      <c r="AH158" s="52"/>
      <c r="AI158" s="53"/>
      <c r="AK158" s="54"/>
    </row>
    <row r="159" spans="1:37" x14ac:dyDescent="0.25">
      <c r="A159" s="124" t="s">
        <v>165</v>
      </c>
      <c r="B159" s="135">
        <v>0.8</v>
      </c>
      <c r="C159" s="136">
        <f t="shared" si="30"/>
        <v>0.8</v>
      </c>
      <c r="D159" s="136">
        <f t="shared" si="30"/>
        <v>0.8</v>
      </c>
      <c r="E159" s="136">
        <f t="shared" si="30"/>
        <v>0.8</v>
      </c>
      <c r="F159" s="136">
        <f t="shared" si="30"/>
        <v>0.8</v>
      </c>
      <c r="G159" s="136">
        <f t="shared" si="30"/>
        <v>0.8</v>
      </c>
      <c r="H159" s="136">
        <f t="shared" si="30"/>
        <v>0.8</v>
      </c>
      <c r="I159" s="136">
        <f t="shared" si="30"/>
        <v>0.8</v>
      </c>
      <c r="J159" s="136">
        <f t="shared" si="30"/>
        <v>0.8</v>
      </c>
      <c r="K159" s="136">
        <f t="shared" si="30"/>
        <v>0.8</v>
      </c>
      <c r="L159" s="136">
        <f t="shared" si="30"/>
        <v>0.8</v>
      </c>
      <c r="M159" s="136">
        <f t="shared" si="30"/>
        <v>0.8</v>
      </c>
      <c r="N159" s="136">
        <f t="shared" si="30"/>
        <v>0.8</v>
      </c>
      <c r="O159" s="136">
        <f t="shared" si="30"/>
        <v>0.8</v>
      </c>
      <c r="P159" s="136">
        <f t="shared" si="30"/>
        <v>0.8</v>
      </c>
      <c r="Q159" s="136">
        <f t="shared" si="30"/>
        <v>0.8</v>
      </c>
      <c r="R159" s="136">
        <f t="shared" si="25"/>
        <v>0.8</v>
      </c>
      <c r="S159" s="136">
        <f t="shared" si="25"/>
        <v>0.8</v>
      </c>
      <c r="T159" s="136">
        <f t="shared" si="25"/>
        <v>0.8</v>
      </c>
      <c r="U159" s="136">
        <f t="shared" si="25"/>
        <v>0.8</v>
      </c>
      <c r="V159" s="136">
        <f t="shared" si="25"/>
        <v>0.8</v>
      </c>
      <c r="W159" s="136">
        <f t="shared" si="25"/>
        <v>0.8</v>
      </c>
      <c r="X159" s="136">
        <f t="shared" si="29"/>
        <v>0.8</v>
      </c>
      <c r="Y159" s="136">
        <f t="shared" si="29"/>
        <v>0.8</v>
      </c>
      <c r="Z159" s="136">
        <f t="shared" si="29"/>
        <v>0.8</v>
      </c>
      <c r="AA159" s="136">
        <f t="shared" si="29"/>
        <v>0.8</v>
      </c>
      <c r="AB159" s="136">
        <f t="shared" si="29"/>
        <v>0.8</v>
      </c>
      <c r="AC159" s="136">
        <f t="shared" si="29"/>
        <v>0.8</v>
      </c>
      <c r="AD159" s="136">
        <f t="shared" si="29"/>
        <v>0.8</v>
      </c>
      <c r="AE159" s="136">
        <f t="shared" si="29"/>
        <v>0.8</v>
      </c>
      <c r="AF159" s="136">
        <f t="shared" si="29"/>
        <v>0.8</v>
      </c>
      <c r="AG159" s="138">
        <v>0.75</v>
      </c>
      <c r="AH159" s="52"/>
      <c r="AI159" s="53"/>
      <c r="AK159" s="54"/>
    </row>
    <row r="160" spans="1:37" x14ac:dyDescent="0.25">
      <c r="A160" s="124" t="s">
        <v>166</v>
      </c>
      <c r="B160" s="135">
        <v>0</v>
      </c>
      <c r="C160" s="136">
        <f t="shared" si="30"/>
        <v>0</v>
      </c>
      <c r="D160" s="136">
        <f t="shared" si="30"/>
        <v>0</v>
      </c>
      <c r="E160" s="136">
        <f t="shared" si="30"/>
        <v>0</v>
      </c>
      <c r="F160" s="136">
        <f t="shared" si="30"/>
        <v>0</v>
      </c>
      <c r="G160" s="136">
        <f t="shared" si="30"/>
        <v>0</v>
      </c>
      <c r="H160" s="136">
        <f t="shared" si="30"/>
        <v>0</v>
      </c>
      <c r="I160" s="136">
        <f t="shared" si="30"/>
        <v>0</v>
      </c>
      <c r="J160" s="136">
        <f t="shared" si="30"/>
        <v>0</v>
      </c>
      <c r="K160" s="136">
        <f t="shared" si="30"/>
        <v>0</v>
      </c>
      <c r="L160" s="136">
        <f t="shared" si="30"/>
        <v>0</v>
      </c>
      <c r="M160" s="136">
        <f t="shared" si="30"/>
        <v>0</v>
      </c>
      <c r="N160" s="136">
        <f t="shared" si="30"/>
        <v>0</v>
      </c>
      <c r="O160" s="136">
        <f t="shared" si="30"/>
        <v>0</v>
      </c>
      <c r="P160" s="136">
        <f t="shared" si="30"/>
        <v>0</v>
      </c>
      <c r="Q160" s="136">
        <f t="shared" si="30"/>
        <v>0</v>
      </c>
      <c r="R160" s="136">
        <f t="shared" si="25"/>
        <v>0</v>
      </c>
      <c r="S160" s="136">
        <f t="shared" si="25"/>
        <v>0</v>
      </c>
      <c r="T160" s="136">
        <f t="shared" si="25"/>
        <v>0</v>
      </c>
      <c r="U160" s="136">
        <f t="shared" si="25"/>
        <v>0</v>
      </c>
      <c r="V160" s="136">
        <f t="shared" si="25"/>
        <v>0</v>
      </c>
      <c r="W160" s="136">
        <f t="shared" si="25"/>
        <v>0</v>
      </c>
      <c r="X160" s="136">
        <f t="shared" si="29"/>
        <v>0</v>
      </c>
      <c r="Y160" s="136">
        <f t="shared" si="29"/>
        <v>0</v>
      </c>
      <c r="Z160" s="136">
        <f t="shared" si="29"/>
        <v>0</v>
      </c>
      <c r="AA160" s="136">
        <f t="shared" si="29"/>
        <v>0</v>
      </c>
      <c r="AB160" s="136">
        <f t="shared" si="29"/>
        <v>0</v>
      </c>
      <c r="AC160" s="136">
        <f t="shared" si="29"/>
        <v>0</v>
      </c>
      <c r="AD160" s="136">
        <f t="shared" si="29"/>
        <v>0</v>
      </c>
      <c r="AE160" s="136">
        <f t="shared" si="29"/>
        <v>0</v>
      </c>
      <c r="AF160" s="136">
        <f t="shared" si="29"/>
        <v>0</v>
      </c>
      <c r="AG160" s="138">
        <v>0.6804</v>
      </c>
      <c r="AH160" s="52"/>
      <c r="AI160" s="53"/>
      <c r="AK160" s="54"/>
    </row>
    <row r="161" spans="1:37" x14ac:dyDescent="0.25">
      <c r="A161" s="124" t="s">
        <v>167</v>
      </c>
      <c r="B161" s="135">
        <v>0.6</v>
      </c>
      <c r="C161" s="136">
        <f t="shared" si="30"/>
        <v>0.6</v>
      </c>
      <c r="D161" s="136">
        <f t="shared" si="30"/>
        <v>0.6</v>
      </c>
      <c r="E161" s="136">
        <f t="shared" si="30"/>
        <v>0.6</v>
      </c>
      <c r="F161" s="136">
        <f t="shared" si="30"/>
        <v>0.6</v>
      </c>
      <c r="G161" s="136">
        <f t="shared" si="30"/>
        <v>0.6</v>
      </c>
      <c r="H161" s="136">
        <f t="shared" si="30"/>
        <v>0.6</v>
      </c>
      <c r="I161" s="136">
        <f t="shared" si="30"/>
        <v>0.6</v>
      </c>
      <c r="J161" s="136">
        <f t="shared" si="30"/>
        <v>0.6</v>
      </c>
      <c r="K161" s="136">
        <f t="shared" si="30"/>
        <v>0.6</v>
      </c>
      <c r="L161" s="136">
        <f t="shared" si="30"/>
        <v>0.6</v>
      </c>
      <c r="M161" s="136">
        <f t="shared" si="30"/>
        <v>0.6</v>
      </c>
      <c r="N161" s="136">
        <f t="shared" si="30"/>
        <v>0.6</v>
      </c>
      <c r="O161" s="136">
        <f t="shared" si="30"/>
        <v>0.6</v>
      </c>
      <c r="P161" s="136">
        <f t="shared" si="30"/>
        <v>0.6</v>
      </c>
      <c r="Q161" s="136">
        <f t="shared" si="30"/>
        <v>0.6</v>
      </c>
      <c r="R161" s="136">
        <f t="shared" si="25"/>
        <v>0.6</v>
      </c>
      <c r="S161" s="136">
        <f t="shared" si="25"/>
        <v>0.6</v>
      </c>
      <c r="T161" s="136">
        <f t="shared" si="25"/>
        <v>0.6</v>
      </c>
      <c r="U161" s="136">
        <f t="shared" si="25"/>
        <v>0.6</v>
      </c>
      <c r="V161" s="136">
        <f t="shared" si="25"/>
        <v>0.6</v>
      </c>
      <c r="W161" s="136">
        <f t="shared" si="25"/>
        <v>0.6</v>
      </c>
      <c r="X161" s="136">
        <f t="shared" si="29"/>
        <v>0.6</v>
      </c>
      <c r="Y161" s="136">
        <f t="shared" si="29"/>
        <v>0.6</v>
      </c>
      <c r="Z161" s="136">
        <f t="shared" si="29"/>
        <v>0.6</v>
      </c>
      <c r="AA161" s="136">
        <f t="shared" si="29"/>
        <v>0.6</v>
      </c>
      <c r="AB161" s="136">
        <f t="shared" si="29"/>
        <v>0.6</v>
      </c>
      <c r="AC161" s="136">
        <f t="shared" si="29"/>
        <v>0.6</v>
      </c>
      <c r="AD161" s="136">
        <f t="shared" si="29"/>
        <v>0.6</v>
      </c>
      <c r="AE161" s="136">
        <f t="shared" si="29"/>
        <v>0.6</v>
      </c>
      <c r="AF161" s="136">
        <f t="shared" si="29"/>
        <v>0.6</v>
      </c>
      <c r="AG161" s="138">
        <v>0.6</v>
      </c>
      <c r="AH161" s="52"/>
      <c r="AI161" s="53"/>
      <c r="AK161" s="54"/>
    </row>
    <row r="162" spans="1:37" x14ac:dyDescent="0.25">
      <c r="A162" s="124" t="s">
        <v>168</v>
      </c>
      <c r="B162" s="135">
        <v>0.6</v>
      </c>
      <c r="C162" s="136">
        <f t="shared" si="30"/>
        <v>0.6</v>
      </c>
      <c r="D162" s="136">
        <f t="shared" si="30"/>
        <v>0.6</v>
      </c>
      <c r="E162" s="136">
        <f t="shared" si="30"/>
        <v>0.6</v>
      </c>
      <c r="F162" s="136">
        <f t="shared" si="30"/>
        <v>0.6</v>
      </c>
      <c r="G162" s="136">
        <f t="shared" si="30"/>
        <v>0.6</v>
      </c>
      <c r="H162" s="136">
        <f t="shared" si="30"/>
        <v>0.6</v>
      </c>
      <c r="I162" s="136">
        <f t="shared" si="30"/>
        <v>0.6</v>
      </c>
      <c r="J162" s="136">
        <f t="shared" si="30"/>
        <v>0.6</v>
      </c>
      <c r="K162" s="136">
        <f t="shared" si="30"/>
        <v>0.6</v>
      </c>
      <c r="L162" s="136">
        <f t="shared" si="30"/>
        <v>0.6</v>
      </c>
      <c r="M162" s="136">
        <f t="shared" si="30"/>
        <v>0.6</v>
      </c>
      <c r="N162" s="136">
        <f t="shared" si="30"/>
        <v>0.6</v>
      </c>
      <c r="O162" s="136">
        <f t="shared" si="30"/>
        <v>0.6</v>
      </c>
      <c r="P162" s="136">
        <f t="shared" si="30"/>
        <v>0.6</v>
      </c>
      <c r="Q162" s="136">
        <f t="shared" si="30"/>
        <v>0.6</v>
      </c>
      <c r="R162" s="136">
        <f t="shared" si="25"/>
        <v>0.6</v>
      </c>
      <c r="S162" s="136">
        <f t="shared" si="25"/>
        <v>0.6</v>
      </c>
      <c r="T162" s="136">
        <f t="shared" si="25"/>
        <v>0.6</v>
      </c>
      <c r="U162" s="136">
        <f t="shared" si="25"/>
        <v>0.6</v>
      </c>
      <c r="V162" s="136">
        <f t="shared" si="25"/>
        <v>0.6</v>
      </c>
      <c r="W162" s="136">
        <f t="shared" si="25"/>
        <v>0.6</v>
      </c>
      <c r="X162" s="136">
        <f t="shared" si="29"/>
        <v>0.6</v>
      </c>
      <c r="Y162" s="136">
        <f t="shared" si="29"/>
        <v>0.6</v>
      </c>
      <c r="Z162" s="136">
        <f t="shared" si="29"/>
        <v>0.6</v>
      </c>
      <c r="AA162" s="136">
        <f t="shared" si="29"/>
        <v>0.6</v>
      </c>
      <c r="AB162" s="136">
        <f t="shared" si="29"/>
        <v>0.6</v>
      </c>
      <c r="AC162" s="136">
        <f t="shared" si="29"/>
        <v>0.6</v>
      </c>
      <c r="AD162" s="136">
        <f t="shared" si="29"/>
        <v>0.6</v>
      </c>
      <c r="AE162" s="136">
        <f t="shared" si="29"/>
        <v>0.6</v>
      </c>
      <c r="AF162" s="136">
        <f t="shared" si="29"/>
        <v>0.6</v>
      </c>
      <c r="AG162" s="138">
        <v>0.6</v>
      </c>
      <c r="AH162" s="52"/>
      <c r="AI162" s="53"/>
      <c r="AK162" s="54"/>
    </row>
    <row r="163" spans="1:37" x14ac:dyDescent="0.25">
      <c r="A163" s="124" t="s">
        <v>169</v>
      </c>
      <c r="B163" s="135">
        <v>0.35</v>
      </c>
      <c r="C163" s="136">
        <f t="shared" si="30"/>
        <v>0.35</v>
      </c>
      <c r="D163" s="136">
        <f t="shared" si="30"/>
        <v>0.35</v>
      </c>
      <c r="E163" s="136">
        <f t="shared" si="30"/>
        <v>0.35</v>
      </c>
      <c r="F163" s="136">
        <f t="shared" si="30"/>
        <v>0.35</v>
      </c>
      <c r="G163" s="136">
        <f t="shared" si="30"/>
        <v>0.35</v>
      </c>
      <c r="H163" s="136">
        <f t="shared" si="30"/>
        <v>0.35</v>
      </c>
      <c r="I163" s="136">
        <f t="shared" si="30"/>
        <v>0.35</v>
      </c>
      <c r="J163" s="136">
        <f t="shared" si="30"/>
        <v>0.35</v>
      </c>
      <c r="K163" s="136">
        <f t="shared" si="30"/>
        <v>0.35</v>
      </c>
      <c r="L163" s="136">
        <f t="shared" si="30"/>
        <v>0.35</v>
      </c>
      <c r="M163" s="136">
        <f t="shared" si="30"/>
        <v>0.35</v>
      </c>
      <c r="N163" s="136">
        <f t="shared" si="30"/>
        <v>0.35</v>
      </c>
      <c r="O163" s="136">
        <f t="shared" si="30"/>
        <v>0.35</v>
      </c>
      <c r="P163" s="136">
        <f t="shared" si="30"/>
        <v>0.35</v>
      </c>
      <c r="Q163" s="136">
        <f t="shared" si="30"/>
        <v>0.35</v>
      </c>
      <c r="R163" s="136">
        <f t="shared" si="25"/>
        <v>0.35</v>
      </c>
      <c r="S163" s="136">
        <f t="shared" si="25"/>
        <v>0.35</v>
      </c>
      <c r="T163" s="136">
        <f t="shared" si="25"/>
        <v>0.35</v>
      </c>
      <c r="U163" s="136">
        <f t="shared" si="25"/>
        <v>0.35</v>
      </c>
      <c r="V163" s="136">
        <f t="shared" si="25"/>
        <v>0.35</v>
      </c>
      <c r="W163" s="136">
        <f t="shared" si="25"/>
        <v>0.35</v>
      </c>
      <c r="X163" s="136">
        <f t="shared" si="29"/>
        <v>0.35</v>
      </c>
      <c r="Y163" s="136">
        <f t="shared" si="29"/>
        <v>0.35</v>
      </c>
      <c r="Z163" s="136">
        <f t="shared" si="29"/>
        <v>0.35</v>
      </c>
      <c r="AA163" s="136">
        <f t="shared" si="29"/>
        <v>0.35</v>
      </c>
      <c r="AB163" s="136">
        <f t="shared" si="29"/>
        <v>0.35</v>
      </c>
      <c r="AC163" s="136">
        <f t="shared" si="29"/>
        <v>0.35</v>
      </c>
      <c r="AD163" s="136">
        <f t="shared" si="29"/>
        <v>0.35</v>
      </c>
      <c r="AE163" s="136">
        <f t="shared" si="29"/>
        <v>0.35</v>
      </c>
      <c r="AF163" s="136">
        <f t="shared" si="29"/>
        <v>0.35</v>
      </c>
      <c r="AG163" s="138">
        <v>0.51800000000000002</v>
      </c>
      <c r="AH163" s="52"/>
      <c r="AI163" s="53"/>
      <c r="AK163" s="54"/>
    </row>
    <row r="164" spans="1:37" x14ac:dyDescent="0.25">
      <c r="A164" s="124" t="s">
        <v>170</v>
      </c>
      <c r="B164" s="135">
        <v>0.28999999999999998</v>
      </c>
      <c r="C164" s="136">
        <f t="shared" si="30"/>
        <v>0.28999999999999998</v>
      </c>
      <c r="D164" s="136">
        <f t="shared" si="30"/>
        <v>0.28999999999999998</v>
      </c>
      <c r="E164" s="136">
        <f t="shared" si="30"/>
        <v>0.28999999999999998</v>
      </c>
      <c r="F164" s="136">
        <f t="shared" si="30"/>
        <v>0.28999999999999998</v>
      </c>
      <c r="G164" s="136">
        <f t="shared" si="30"/>
        <v>0.28999999999999998</v>
      </c>
      <c r="H164" s="136">
        <f t="shared" si="30"/>
        <v>0.28999999999999998</v>
      </c>
      <c r="I164" s="136">
        <f t="shared" si="30"/>
        <v>0.28999999999999998</v>
      </c>
      <c r="J164" s="136">
        <f t="shared" si="30"/>
        <v>0.28999999999999998</v>
      </c>
      <c r="K164" s="136">
        <f t="shared" si="30"/>
        <v>0.28999999999999998</v>
      </c>
      <c r="L164" s="136">
        <f t="shared" si="30"/>
        <v>0.28999999999999998</v>
      </c>
      <c r="M164" s="136">
        <f t="shared" si="30"/>
        <v>0.28999999999999998</v>
      </c>
      <c r="N164" s="136">
        <f t="shared" si="30"/>
        <v>0.28999999999999998</v>
      </c>
      <c r="O164" s="136">
        <f t="shared" si="30"/>
        <v>0.28999999999999998</v>
      </c>
      <c r="P164" s="136">
        <f t="shared" si="30"/>
        <v>0.28999999999999998</v>
      </c>
      <c r="Q164" s="136">
        <f t="shared" si="30"/>
        <v>0.28999999999999998</v>
      </c>
      <c r="R164" s="136">
        <f t="shared" si="25"/>
        <v>0.28999999999999998</v>
      </c>
      <c r="S164" s="136">
        <f t="shared" si="25"/>
        <v>0.28999999999999998</v>
      </c>
      <c r="T164" s="136">
        <f t="shared" si="25"/>
        <v>0.28999999999999998</v>
      </c>
      <c r="U164" s="136">
        <f t="shared" si="25"/>
        <v>0.28999999999999998</v>
      </c>
      <c r="V164" s="136">
        <f t="shared" si="25"/>
        <v>0.28999999999999998</v>
      </c>
      <c r="W164" s="136">
        <f t="shared" si="25"/>
        <v>0.28999999999999998</v>
      </c>
      <c r="X164" s="136">
        <f t="shared" si="29"/>
        <v>0.28999999999999998</v>
      </c>
      <c r="Y164" s="136">
        <f t="shared" si="29"/>
        <v>0.28999999999999998</v>
      </c>
      <c r="Z164" s="136">
        <f t="shared" si="29"/>
        <v>0.28999999999999998</v>
      </c>
      <c r="AA164" s="136">
        <f t="shared" si="29"/>
        <v>0.28999999999999998</v>
      </c>
      <c r="AB164" s="136">
        <f t="shared" si="29"/>
        <v>0.28999999999999998</v>
      </c>
      <c r="AC164" s="136">
        <f t="shared" si="29"/>
        <v>0.28999999999999998</v>
      </c>
      <c r="AD164" s="136">
        <f t="shared" si="29"/>
        <v>0.28999999999999998</v>
      </c>
      <c r="AE164" s="136">
        <f t="shared" si="29"/>
        <v>0.28999999999999998</v>
      </c>
      <c r="AF164" s="136">
        <f t="shared" si="29"/>
        <v>0.28999999999999998</v>
      </c>
      <c r="AG164" s="138">
        <v>0.5</v>
      </c>
      <c r="AH164" s="52"/>
      <c r="AI164" s="53"/>
      <c r="AK164" s="54"/>
    </row>
    <row r="165" spans="1:37" x14ac:dyDescent="0.25">
      <c r="A165" s="122" t="s">
        <v>171</v>
      </c>
      <c r="B165" s="135">
        <v>0.06</v>
      </c>
      <c r="C165" s="136">
        <f t="shared" si="30"/>
        <v>0.06</v>
      </c>
      <c r="D165" s="136">
        <f t="shared" si="30"/>
        <v>0.06</v>
      </c>
      <c r="E165" s="136">
        <f t="shared" si="30"/>
        <v>0.06</v>
      </c>
      <c r="F165" s="136">
        <f t="shared" si="30"/>
        <v>0.06</v>
      </c>
      <c r="G165" s="136">
        <f t="shared" si="30"/>
        <v>0.06</v>
      </c>
      <c r="H165" s="136">
        <f t="shared" si="30"/>
        <v>0.06</v>
      </c>
      <c r="I165" s="136">
        <f t="shared" si="30"/>
        <v>0.06</v>
      </c>
      <c r="J165" s="136">
        <f t="shared" si="30"/>
        <v>0.06</v>
      </c>
      <c r="K165" s="136">
        <f t="shared" si="30"/>
        <v>0.06</v>
      </c>
      <c r="L165" s="136">
        <f t="shared" si="30"/>
        <v>0.06</v>
      </c>
      <c r="M165" s="136">
        <f t="shared" si="30"/>
        <v>0.06</v>
      </c>
      <c r="N165" s="136">
        <f t="shared" si="30"/>
        <v>0.06</v>
      </c>
      <c r="O165" s="136">
        <f t="shared" si="30"/>
        <v>0.06</v>
      </c>
      <c r="P165" s="136">
        <f t="shared" si="30"/>
        <v>0.06</v>
      </c>
      <c r="Q165" s="136">
        <f t="shared" si="30"/>
        <v>0.06</v>
      </c>
      <c r="R165" s="136">
        <f t="shared" si="25"/>
        <v>0.06</v>
      </c>
      <c r="S165" s="136">
        <f t="shared" si="25"/>
        <v>0.06</v>
      </c>
      <c r="T165" s="136">
        <f t="shared" si="25"/>
        <v>0.06</v>
      </c>
      <c r="U165" s="136">
        <f t="shared" si="25"/>
        <v>0.06</v>
      </c>
      <c r="V165" s="136">
        <f t="shared" si="25"/>
        <v>0.06</v>
      </c>
      <c r="W165" s="136">
        <f t="shared" si="25"/>
        <v>0.06</v>
      </c>
      <c r="X165" s="136">
        <f t="shared" si="29"/>
        <v>0.06</v>
      </c>
      <c r="Y165" s="136">
        <f t="shared" si="29"/>
        <v>0.06</v>
      </c>
      <c r="Z165" s="136">
        <f t="shared" si="29"/>
        <v>0.06</v>
      </c>
      <c r="AA165" s="136">
        <f t="shared" si="29"/>
        <v>0.06</v>
      </c>
      <c r="AB165" s="136">
        <f t="shared" si="29"/>
        <v>0.06</v>
      </c>
      <c r="AC165" s="136">
        <f t="shared" si="29"/>
        <v>0.06</v>
      </c>
      <c r="AD165" s="136">
        <f t="shared" si="29"/>
        <v>0.06</v>
      </c>
      <c r="AE165" s="136">
        <f t="shared" si="29"/>
        <v>0.06</v>
      </c>
      <c r="AF165" s="136">
        <f t="shared" si="29"/>
        <v>0.06</v>
      </c>
      <c r="AG165" s="137">
        <v>0.25</v>
      </c>
      <c r="AH165" s="52"/>
      <c r="AI165" s="53"/>
      <c r="AK165" s="54"/>
    </row>
    <row r="166" spans="1:37" x14ac:dyDescent="0.25">
      <c r="A166" s="122" t="s">
        <v>172</v>
      </c>
      <c r="B166" s="135">
        <v>0.11</v>
      </c>
      <c r="C166" s="136">
        <f t="shared" si="30"/>
        <v>0.11</v>
      </c>
      <c r="D166" s="136">
        <f t="shared" si="30"/>
        <v>0.11</v>
      </c>
      <c r="E166" s="136">
        <f t="shared" si="30"/>
        <v>0.11</v>
      </c>
      <c r="F166" s="136">
        <f t="shared" si="30"/>
        <v>0.11</v>
      </c>
      <c r="G166" s="136">
        <f t="shared" si="30"/>
        <v>0.11</v>
      </c>
      <c r="H166" s="136">
        <f t="shared" si="30"/>
        <v>0.11</v>
      </c>
      <c r="I166" s="136">
        <f t="shared" si="30"/>
        <v>0.11</v>
      </c>
      <c r="J166" s="136">
        <f t="shared" si="30"/>
        <v>0.11</v>
      </c>
      <c r="K166" s="136">
        <f t="shared" si="30"/>
        <v>0.11</v>
      </c>
      <c r="L166" s="136">
        <f t="shared" si="30"/>
        <v>0.11</v>
      </c>
      <c r="M166" s="136">
        <f t="shared" si="30"/>
        <v>0.11</v>
      </c>
      <c r="N166" s="136">
        <f t="shared" si="30"/>
        <v>0.11</v>
      </c>
      <c r="O166" s="136">
        <f t="shared" si="30"/>
        <v>0.11</v>
      </c>
      <c r="P166" s="136">
        <f t="shared" si="30"/>
        <v>0.11</v>
      </c>
      <c r="Q166" s="136">
        <f t="shared" si="30"/>
        <v>0.11</v>
      </c>
      <c r="R166" s="136">
        <f t="shared" si="25"/>
        <v>0.11</v>
      </c>
      <c r="S166" s="136">
        <f t="shared" si="25"/>
        <v>0.11</v>
      </c>
      <c r="T166" s="136">
        <f t="shared" si="25"/>
        <v>0.11</v>
      </c>
      <c r="U166" s="136">
        <f t="shared" si="25"/>
        <v>0.11</v>
      </c>
      <c r="V166" s="136">
        <f t="shared" si="25"/>
        <v>0.11</v>
      </c>
      <c r="W166" s="136">
        <f t="shared" si="25"/>
        <v>0.11</v>
      </c>
      <c r="X166" s="136">
        <f t="shared" si="29"/>
        <v>0.11</v>
      </c>
      <c r="Y166" s="136">
        <f t="shared" si="29"/>
        <v>0.11</v>
      </c>
      <c r="Z166" s="136">
        <f t="shared" si="29"/>
        <v>0.11</v>
      </c>
      <c r="AA166" s="136">
        <f t="shared" si="29"/>
        <v>0.11</v>
      </c>
      <c r="AB166" s="136">
        <f t="shared" si="29"/>
        <v>0.11</v>
      </c>
      <c r="AC166" s="136">
        <f t="shared" si="29"/>
        <v>0.11</v>
      </c>
      <c r="AD166" s="136">
        <f t="shared" si="29"/>
        <v>0.11</v>
      </c>
      <c r="AE166" s="136">
        <f t="shared" si="29"/>
        <v>0.11</v>
      </c>
      <c r="AF166" s="136">
        <f t="shared" si="29"/>
        <v>0.11</v>
      </c>
      <c r="AG166" s="137">
        <v>0.183</v>
      </c>
      <c r="AH166" s="52"/>
      <c r="AI166" s="53"/>
      <c r="AK166" s="54"/>
    </row>
    <row r="167" spans="1:37" x14ac:dyDescent="0.25">
      <c r="A167" s="122" t="s">
        <v>173</v>
      </c>
      <c r="B167" s="135">
        <v>0.1</v>
      </c>
      <c r="C167" s="136">
        <f t="shared" si="30"/>
        <v>0.1</v>
      </c>
      <c r="D167" s="136">
        <f t="shared" si="30"/>
        <v>0.1</v>
      </c>
      <c r="E167" s="136">
        <f t="shared" si="30"/>
        <v>0.1</v>
      </c>
      <c r="F167" s="136">
        <f t="shared" si="30"/>
        <v>0.1</v>
      </c>
      <c r="G167" s="136">
        <f t="shared" si="30"/>
        <v>0.1</v>
      </c>
      <c r="H167" s="136">
        <f t="shared" si="30"/>
        <v>0.1</v>
      </c>
      <c r="I167" s="136">
        <f t="shared" si="30"/>
        <v>0.1</v>
      </c>
      <c r="J167" s="136">
        <f t="shared" si="30"/>
        <v>0.1</v>
      </c>
      <c r="K167" s="136">
        <f t="shared" si="30"/>
        <v>0.1</v>
      </c>
      <c r="L167" s="136">
        <f t="shared" si="30"/>
        <v>0.1</v>
      </c>
      <c r="M167" s="136">
        <f t="shared" si="30"/>
        <v>0.1</v>
      </c>
      <c r="N167" s="136">
        <f t="shared" si="30"/>
        <v>0.1</v>
      </c>
      <c r="O167" s="136">
        <f t="shared" si="30"/>
        <v>0.1</v>
      </c>
      <c r="P167" s="136">
        <f t="shared" si="30"/>
        <v>0.1</v>
      </c>
      <c r="Q167" s="136">
        <f t="shared" si="30"/>
        <v>0.1</v>
      </c>
      <c r="R167" s="136">
        <f t="shared" si="25"/>
        <v>0.1</v>
      </c>
      <c r="S167" s="136">
        <f t="shared" si="25"/>
        <v>0.1</v>
      </c>
      <c r="T167" s="136">
        <f t="shared" si="25"/>
        <v>0.1</v>
      </c>
      <c r="U167" s="136">
        <f t="shared" si="25"/>
        <v>0.1</v>
      </c>
      <c r="V167" s="136">
        <f t="shared" si="25"/>
        <v>0.1</v>
      </c>
      <c r="W167" s="136">
        <f t="shared" si="25"/>
        <v>0.1</v>
      </c>
      <c r="X167" s="136">
        <f t="shared" si="29"/>
        <v>0.1</v>
      </c>
      <c r="Y167" s="136">
        <f t="shared" si="29"/>
        <v>0.1</v>
      </c>
      <c r="Z167" s="136">
        <f t="shared" si="29"/>
        <v>0.1</v>
      </c>
      <c r="AA167" s="136">
        <f t="shared" si="29"/>
        <v>0.1</v>
      </c>
      <c r="AB167" s="136">
        <f t="shared" si="29"/>
        <v>0.1</v>
      </c>
      <c r="AC167" s="136">
        <f t="shared" si="29"/>
        <v>0.1</v>
      </c>
      <c r="AD167" s="136">
        <f t="shared" si="29"/>
        <v>0.1</v>
      </c>
      <c r="AE167" s="136">
        <f t="shared" si="29"/>
        <v>0.1</v>
      </c>
      <c r="AF167" s="136">
        <f t="shared" si="29"/>
        <v>0.1</v>
      </c>
      <c r="AG167" s="137">
        <v>0.1</v>
      </c>
      <c r="AH167" s="52"/>
      <c r="AI167" s="53"/>
      <c r="AK167" s="54"/>
    </row>
    <row r="168" spans="1:37" x14ac:dyDescent="0.25">
      <c r="A168" s="122" t="s">
        <v>174</v>
      </c>
      <c r="B168" s="135">
        <v>0.09</v>
      </c>
      <c r="C168" s="136">
        <f t="shared" si="30"/>
        <v>0.09</v>
      </c>
      <c r="D168" s="136">
        <f t="shared" si="30"/>
        <v>0.09</v>
      </c>
      <c r="E168" s="136">
        <f t="shared" si="30"/>
        <v>0.09</v>
      </c>
      <c r="F168" s="136">
        <f t="shared" si="30"/>
        <v>0.09</v>
      </c>
      <c r="G168" s="136">
        <f t="shared" si="30"/>
        <v>0.09</v>
      </c>
      <c r="H168" s="136">
        <f t="shared" si="30"/>
        <v>0.09</v>
      </c>
      <c r="I168" s="136">
        <f t="shared" si="30"/>
        <v>0.09</v>
      </c>
      <c r="J168" s="136">
        <f t="shared" si="30"/>
        <v>0.09</v>
      </c>
      <c r="K168" s="136">
        <f t="shared" si="30"/>
        <v>0.09</v>
      </c>
      <c r="L168" s="136">
        <f t="shared" si="30"/>
        <v>0.09</v>
      </c>
      <c r="M168" s="136">
        <f t="shared" si="30"/>
        <v>0.09</v>
      </c>
      <c r="N168" s="136">
        <f t="shared" si="30"/>
        <v>0.09</v>
      </c>
      <c r="O168" s="136">
        <f t="shared" si="30"/>
        <v>0.09</v>
      </c>
      <c r="P168" s="136">
        <f t="shared" si="30"/>
        <v>0.09</v>
      </c>
      <c r="Q168" s="136">
        <f t="shared" si="30"/>
        <v>0.09</v>
      </c>
      <c r="R168" s="136">
        <f t="shared" si="25"/>
        <v>0.09</v>
      </c>
      <c r="S168" s="136">
        <f t="shared" si="25"/>
        <v>0.09</v>
      </c>
      <c r="T168" s="136">
        <f t="shared" si="25"/>
        <v>0.09</v>
      </c>
      <c r="U168" s="136">
        <f t="shared" si="25"/>
        <v>0.09</v>
      </c>
      <c r="V168" s="136">
        <f t="shared" si="25"/>
        <v>0.09</v>
      </c>
      <c r="W168" s="136">
        <f t="shared" si="25"/>
        <v>0.09</v>
      </c>
      <c r="X168" s="136">
        <f t="shared" si="29"/>
        <v>0.09</v>
      </c>
      <c r="Y168" s="136">
        <f t="shared" si="29"/>
        <v>0.09</v>
      </c>
      <c r="Z168" s="136">
        <f t="shared" si="29"/>
        <v>0.09</v>
      </c>
      <c r="AA168" s="136">
        <f t="shared" si="29"/>
        <v>0.09</v>
      </c>
      <c r="AB168" s="136">
        <f t="shared" si="29"/>
        <v>0.09</v>
      </c>
      <c r="AC168" s="136">
        <f t="shared" si="29"/>
        <v>0.09</v>
      </c>
      <c r="AD168" s="136">
        <f t="shared" si="29"/>
        <v>0.09</v>
      </c>
      <c r="AE168" s="136">
        <f t="shared" si="29"/>
        <v>0.09</v>
      </c>
      <c r="AF168" s="136">
        <f t="shared" si="29"/>
        <v>0.09</v>
      </c>
      <c r="AG168" s="137">
        <v>0.09</v>
      </c>
      <c r="AH168" s="52"/>
      <c r="AI168" s="53"/>
      <c r="AK168" s="54"/>
    </row>
    <row r="169" spans="1:37" x14ac:dyDescent="0.25">
      <c r="A169" s="139" t="s">
        <v>175</v>
      </c>
      <c r="B169" s="51">
        <v>0.04</v>
      </c>
      <c r="C169" s="136">
        <f t="shared" si="30"/>
        <v>0.04</v>
      </c>
      <c r="D169" s="136">
        <f t="shared" si="30"/>
        <v>0.04</v>
      </c>
      <c r="E169" s="136">
        <f t="shared" si="30"/>
        <v>0.04</v>
      </c>
      <c r="F169" s="136">
        <f t="shared" si="30"/>
        <v>0.04</v>
      </c>
      <c r="G169" s="136">
        <f t="shared" si="30"/>
        <v>0.04</v>
      </c>
      <c r="H169" s="136">
        <f t="shared" si="30"/>
        <v>0.04</v>
      </c>
      <c r="I169" s="136">
        <f t="shared" si="30"/>
        <v>0.04</v>
      </c>
      <c r="J169" s="136">
        <f t="shared" si="30"/>
        <v>0.04</v>
      </c>
      <c r="K169" s="136">
        <f t="shared" si="30"/>
        <v>0.04</v>
      </c>
      <c r="L169" s="136">
        <f t="shared" si="30"/>
        <v>0.04</v>
      </c>
      <c r="M169" s="136">
        <f t="shared" si="30"/>
        <v>0.04</v>
      </c>
      <c r="N169" s="136">
        <f t="shared" si="30"/>
        <v>0.04</v>
      </c>
      <c r="O169" s="136">
        <f t="shared" si="30"/>
        <v>0.04</v>
      </c>
      <c r="P169" s="136">
        <f t="shared" si="30"/>
        <v>0.04</v>
      </c>
      <c r="Q169" s="136">
        <f t="shared" si="30"/>
        <v>0.04</v>
      </c>
      <c r="R169" s="136">
        <f t="shared" si="25"/>
        <v>0.04</v>
      </c>
      <c r="S169" s="136">
        <f t="shared" si="25"/>
        <v>0.04</v>
      </c>
      <c r="T169" s="136">
        <f t="shared" si="25"/>
        <v>0.04</v>
      </c>
      <c r="U169" s="136">
        <f t="shared" si="25"/>
        <v>0.04</v>
      </c>
      <c r="V169" s="136">
        <f t="shared" si="25"/>
        <v>0.04</v>
      </c>
      <c r="W169" s="136">
        <f t="shared" si="25"/>
        <v>0.04</v>
      </c>
      <c r="X169" s="136">
        <f t="shared" si="29"/>
        <v>0.04</v>
      </c>
      <c r="Y169" s="136">
        <f t="shared" si="29"/>
        <v>0.04</v>
      </c>
      <c r="Z169" s="136">
        <f t="shared" si="29"/>
        <v>0.04</v>
      </c>
      <c r="AA169" s="136">
        <f t="shared" si="29"/>
        <v>0.04</v>
      </c>
      <c r="AB169" s="136">
        <f t="shared" si="29"/>
        <v>0.04</v>
      </c>
      <c r="AC169" s="136">
        <f t="shared" si="29"/>
        <v>0.04</v>
      </c>
      <c r="AD169" s="136">
        <f t="shared" si="29"/>
        <v>0.04</v>
      </c>
      <c r="AE169" s="136">
        <f t="shared" si="29"/>
        <v>0.04</v>
      </c>
      <c r="AF169" s="136">
        <f t="shared" si="29"/>
        <v>0.04</v>
      </c>
      <c r="AG169" s="137">
        <v>0.04</v>
      </c>
      <c r="AH169" s="52"/>
      <c r="AI169" s="53"/>
      <c r="AK169" s="54"/>
    </row>
    <row r="170" spans="1:37" x14ac:dyDescent="0.25">
      <c r="A170" s="139" t="s">
        <v>176</v>
      </c>
      <c r="B170" s="51">
        <v>2.3E-2</v>
      </c>
      <c r="C170" s="136">
        <f>B170</f>
        <v>2.3E-2</v>
      </c>
      <c r="D170" s="136">
        <f t="shared" si="30"/>
        <v>2.3E-2</v>
      </c>
      <c r="E170" s="136">
        <f t="shared" si="30"/>
        <v>2.3E-2</v>
      </c>
      <c r="F170" s="136">
        <f t="shared" si="30"/>
        <v>2.3E-2</v>
      </c>
      <c r="G170" s="136">
        <f t="shared" si="30"/>
        <v>2.3E-2</v>
      </c>
      <c r="H170" s="136">
        <f t="shared" si="30"/>
        <v>2.3E-2</v>
      </c>
      <c r="I170" s="136">
        <f t="shared" si="30"/>
        <v>2.3E-2</v>
      </c>
      <c r="J170" s="136">
        <f t="shared" si="30"/>
        <v>2.3E-2</v>
      </c>
      <c r="K170" s="136">
        <f t="shared" si="30"/>
        <v>2.3E-2</v>
      </c>
      <c r="L170" s="136">
        <f t="shared" si="30"/>
        <v>2.3E-2</v>
      </c>
      <c r="M170" s="136">
        <f t="shared" si="30"/>
        <v>2.3E-2</v>
      </c>
      <c r="N170" s="136">
        <f t="shared" si="30"/>
        <v>2.3E-2</v>
      </c>
      <c r="O170" s="136">
        <f t="shared" si="30"/>
        <v>2.3E-2</v>
      </c>
      <c r="P170" s="136">
        <f t="shared" si="30"/>
        <v>2.3E-2</v>
      </c>
      <c r="Q170" s="136">
        <f t="shared" si="30"/>
        <v>2.3E-2</v>
      </c>
      <c r="R170" s="136">
        <f t="shared" si="25"/>
        <v>2.3E-2</v>
      </c>
      <c r="S170" s="136">
        <f t="shared" si="25"/>
        <v>2.3E-2</v>
      </c>
      <c r="T170" s="136">
        <f t="shared" si="25"/>
        <v>2.3E-2</v>
      </c>
      <c r="U170" s="136">
        <f t="shared" si="25"/>
        <v>2.3E-2</v>
      </c>
      <c r="V170" s="136">
        <f t="shared" si="25"/>
        <v>2.3E-2</v>
      </c>
      <c r="W170" s="136">
        <f t="shared" si="25"/>
        <v>2.3E-2</v>
      </c>
      <c r="X170" s="136">
        <f t="shared" si="29"/>
        <v>2.3E-2</v>
      </c>
      <c r="Y170" s="136">
        <f t="shared" si="29"/>
        <v>2.3E-2</v>
      </c>
      <c r="Z170" s="136">
        <f t="shared" si="29"/>
        <v>2.3E-2</v>
      </c>
      <c r="AA170" s="136">
        <f t="shared" si="29"/>
        <v>2.3E-2</v>
      </c>
      <c r="AB170" s="136">
        <f t="shared" si="29"/>
        <v>2.3E-2</v>
      </c>
      <c r="AC170" s="136">
        <f t="shared" si="29"/>
        <v>2.3E-2</v>
      </c>
      <c r="AD170" s="136">
        <f t="shared" si="29"/>
        <v>2.3E-2</v>
      </c>
      <c r="AE170" s="136">
        <f t="shared" si="29"/>
        <v>2.3E-2</v>
      </c>
      <c r="AF170" s="136">
        <f t="shared" si="29"/>
        <v>2.3E-2</v>
      </c>
      <c r="AG170" s="137">
        <v>2.3E-2</v>
      </c>
      <c r="AH170" s="52"/>
      <c r="AI170" s="53"/>
      <c r="AK170" s="54"/>
    </row>
    <row r="171" spans="1:37" ht="15.75" thickBot="1" x14ac:dyDescent="0.3">
      <c r="A171" s="140" t="s">
        <v>177</v>
      </c>
      <c r="B171" s="141">
        <f t="shared" ref="B171:AG171" si="31">SUM(B89:B170)</f>
        <v>195.60600000000002</v>
      </c>
      <c r="C171" s="141">
        <f t="shared" si="31"/>
        <v>195.60600000000002</v>
      </c>
      <c r="D171" s="141">
        <f t="shared" si="31"/>
        <v>195.60600000000002</v>
      </c>
      <c r="E171" s="141">
        <f t="shared" si="31"/>
        <v>195.60600000000002</v>
      </c>
      <c r="F171" s="141">
        <f t="shared" si="31"/>
        <v>195.60600000000002</v>
      </c>
      <c r="G171" s="141">
        <f t="shared" si="31"/>
        <v>195.60600000000002</v>
      </c>
      <c r="H171" s="141">
        <f t="shared" si="31"/>
        <v>195.60600000000002</v>
      </c>
      <c r="I171" s="141">
        <f t="shared" si="31"/>
        <v>193.00600000000006</v>
      </c>
      <c r="J171" s="141">
        <f t="shared" si="31"/>
        <v>193.00600000000006</v>
      </c>
      <c r="K171" s="141">
        <f t="shared" si="31"/>
        <v>193.00600000000006</v>
      </c>
      <c r="L171" s="141">
        <f t="shared" si="31"/>
        <v>193.00600000000006</v>
      </c>
      <c r="M171" s="141">
        <f t="shared" si="31"/>
        <v>193.00600000000006</v>
      </c>
      <c r="N171" s="141">
        <f t="shared" si="31"/>
        <v>193.00600000000006</v>
      </c>
      <c r="O171" s="141">
        <f t="shared" si="31"/>
        <v>193.00600000000006</v>
      </c>
      <c r="P171" s="141">
        <f t="shared" si="31"/>
        <v>193.00600000000006</v>
      </c>
      <c r="Q171" s="141">
        <f t="shared" si="31"/>
        <v>193.00600000000006</v>
      </c>
      <c r="R171" s="141">
        <f t="shared" si="31"/>
        <v>193.00600000000006</v>
      </c>
      <c r="S171" s="141">
        <f t="shared" si="31"/>
        <v>193.00600000000006</v>
      </c>
      <c r="T171" s="141">
        <f t="shared" si="31"/>
        <v>193.00600000000006</v>
      </c>
      <c r="U171" s="141">
        <f t="shared" si="31"/>
        <v>193.00600000000006</v>
      </c>
      <c r="V171" s="141">
        <f t="shared" si="31"/>
        <v>193.00600000000006</v>
      </c>
      <c r="W171" s="141">
        <f t="shared" si="31"/>
        <v>193.00600000000006</v>
      </c>
      <c r="X171" s="141">
        <f t="shared" si="31"/>
        <v>193.00600000000006</v>
      </c>
      <c r="Y171" s="141">
        <f t="shared" si="31"/>
        <v>193.00600000000006</v>
      </c>
      <c r="Z171" s="141">
        <f t="shared" si="31"/>
        <v>193.00600000000006</v>
      </c>
      <c r="AA171" s="141">
        <f t="shared" si="31"/>
        <v>193.00600000000006</v>
      </c>
      <c r="AB171" s="141">
        <f t="shared" si="31"/>
        <v>193.00600000000006</v>
      </c>
      <c r="AC171" s="141">
        <f t="shared" si="31"/>
        <v>193.00600000000006</v>
      </c>
      <c r="AD171" s="141">
        <f t="shared" si="31"/>
        <v>193.00600000000006</v>
      </c>
      <c r="AE171" s="141">
        <f t="shared" si="31"/>
        <v>193.00600000000006</v>
      </c>
      <c r="AF171" s="141">
        <f t="shared" si="31"/>
        <v>193.00600000000006</v>
      </c>
      <c r="AG171" s="142">
        <f t="shared" si="31"/>
        <v>305.18839999999994</v>
      </c>
      <c r="AH171" s="52"/>
      <c r="AI171" s="53"/>
      <c r="AK171" s="54"/>
    </row>
    <row r="172" spans="1:37" ht="15.75" thickBot="1" x14ac:dyDescent="0.3">
      <c r="A172" s="29" t="s">
        <v>49</v>
      </c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52"/>
      <c r="AI172" s="53"/>
      <c r="AK172" s="54"/>
    </row>
    <row r="173" spans="1:37" x14ac:dyDescent="0.25">
      <c r="A173" s="117" t="s">
        <v>178</v>
      </c>
      <c r="B173" s="143">
        <v>0.3</v>
      </c>
      <c r="C173" s="143">
        <f t="shared" ref="C173:R178" si="32">B173</f>
        <v>0.3</v>
      </c>
      <c r="D173" s="143">
        <f t="shared" si="32"/>
        <v>0.3</v>
      </c>
      <c r="E173" s="143">
        <f t="shared" si="32"/>
        <v>0.3</v>
      </c>
      <c r="F173" s="143">
        <f t="shared" si="32"/>
        <v>0.3</v>
      </c>
      <c r="G173" s="143">
        <f t="shared" si="32"/>
        <v>0.3</v>
      </c>
      <c r="H173" s="143">
        <f t="shared" si="32"/>
        <v>0.3</v>
      </c>
      <c r="I173" s="143">
        <f t="shared" si="32"/>
        <v>0.3</v>
      </c>
      <c r="J173" s="143">
        <f t="shared" si="32"/>
        <v>0.3</v>
      </c>
      <c r="K173" s="143">
        <f t="shared" si="32"/>
        <v>0.3</v>
      </c>
      <c r="L173" s="143">
        <f t="shared" si="32"/>
        <v>0.3</v>
      </c>
      <c r="M173" s="143">
        <f t="shared" si="32"/>
        <v>0.3</v>
      </c>
      <c r="N173" s="143">
        <f t="shared" si="32"/>
        <v>0.3</v>
      </c>
      <c r="O173" s="143">
        <f t="shared" si="32"/>
        <v>0.3</v>
      </c>
      <c r="P173" s="143">
        <f t="shared" si="32"/>
        <v>0.3</v>
      </c>
      <c r="Q173" s="143">
        <f t="shared" si="32"/>
        <v>0.3</v>
      </c>
      <c r="R173" s="143">
        <f t="shared" si="32"/>
        <v>0.3</v>
      </c>
      <c r="S173" s="143">
        <f t="shared" ref="S173:AF178" si="33">R173</f>
        <v>0.3</v>
      </c>
      <c r="T173" s="143">
        <f t="shared" si="33"/>
        <v>0.3</v>
      </c>
      <c r="U173" s="143">
        <f t="shared" si="33"/>
        <v>0.3</v>
      </c>
      <c r="V173" s="143">
        <f t="shared" si="33"/>
        <v>0.3</v>
      </c>
      <c r="W173" s="143">
        <f t="shared" si="33"/>
        <v>0.3</v>
      </c>
      <c r="X173" s="143">
        <f t="shared" si="33"/>
        <v>0.3</v>
      </c>
      <c r="Y173" s="143">
        <f t="shared" si="33"/>
        <v>0.3</v>
      </c>
      <c r="Z173" s="143">
        <f t="shared" si="33"/>
        <v>0.3</v>
      </c>
      <c r="AA173" s="143">
        <f t="shared" si="33"/>
        <v>0.3</v>
      </c>
      <c r="AB173" s="143">
        <f t="shared" si="33"/>
        <v>0.3</v>
      </c>
      <c r="AC173" s="143">
        <f t="shared" si="33"/>
        <v>0.3</v>
      </c>
      <c r="AD173" s="143">
        <f t="shared" si="33"/>
        <v>0.3</v>
      </c>
      <c r="AE173" s="143">
        <f t="shared" si="33"/>
        <v>0.3</v>
      </c>
      <c r="AF173" s="143">
        <f t="shared" si="33"/>
        <v>0.3</v>
      </c>
      <c r="AG173" s="144">
        <v>2.4</v>
      </c>
      <c r="AH173" s="52"/>
      <c r="AI173" s="53"/>
      <c r="AK173" s="54"/>
    </row>
    <row r="174" spans="1:37" x14ac:dyDescent="0.25">
      <c r="A174" s="122" t="s">
        <v>179</v>
      </c>
      <c r="B174" s="136">
        <v>0.4</v>
      </c>
      <c r="C174" s="136">
        <f t="shared" si="32"/>
        <v>0.4</v>
      </c>
      <c r="D174" s="136">
        <f t="shared" si="32"/>
        <v>0.4</v>
      </c>
      <c r="E174" s="136">
        <f t="shared" si="32"/>
        <v>0.4</v>
      </c>
      <c r="F174" s="136">
        <f t="shared" si="32"/>
        <v>0.4</v>
      </c>
      <c r="G174" s="136">
        <f t="shared" si="32"/>
        <v>0.4</v>
      </c>
      <c r="H174" s="136">
        <f t="shared" si="32"/>
        <v>0.4</v>
      </c>
      <c r="I174" s="136">
        <f t="shared" si="32"/>
        <v>0.4</v>
      </c>
      <c r="J174" s="136">
        <f t="shared" si="32"/>
        <v>0.4</v>
      </c>
      <c r="K174" s="136">
        <f t="shared" si="32"/>
        <v>0.4</v>
      </c>
      <c r="L174" s="136">
        <f t="shared" si="32"/>
        <v>0.4</v>
      </c>
      <c r="M174" s="136">
        <f t="shared" si="32"/>
        <v>0.4</v>
      </c>
      <c r="N174" s="136">
        <f t="shared" si="32"/>
        <v>0.4</v>
      </c>
      <c r="O174" s="136">
        <f t="shared" si="32"/>
        <v>0.4</v>
      </c>
      <c r="P174" s="136">
        <f t="shared" si="32"/>
        <v>0.4</v>
      </c>
      <c r="Q174" s="136">
        <f t="shared" si="32"/>
        <v>0.4</v>
      </c>
      <c r="R174" s="136">
        <f t="shared" si="32"/>
        <v>0.4</v>
      </c>
      <c r="S174" s="136">
        <f t="shared" si="33"/>
        <v>0.4</v>
      </c>
      <c r="T174" s="136">
        <f t="shared" si="33"/>
        <v>0.4</v>
      </c>
      <c r="U174" s="136">
        <f t="shared" si="33"/>
        <v>0.4</v>
      </c>
      <c r="V174" s="136">
        <f>U174</f>
        <v>0.4</v>
      </c>
      <c r="W174" s="136">
        <f>V174</f>
        <v>0.4</v>
      </c>
      <c r="X174" s="136">
        <f t="shared" si="33"/>
        <v>0.4</v>
      </c>
      <c r="Y174" s="136">
        <f t="shared" si="33"/>
        <v>0.4</v>
      </c>
      <c r="Z174" s="136">
        <f t="shared" si="33"/>
        <v>0.4</v>
      </c>
      <c r="AA174" s="136">
        <f t="shared" si="33"/>
        <v>0.4</v>
      </c>
      <c r="AB174" s="136">
        <f t="shared" si="33"/>
        <v>0.4</v>
      </c>
      <c r="AC174" s="136">
        <f t="shared" si="33"/>
        <v>0.4</v>
      </c>
      <c r="AD174" s="136">
        <f t="shared" si="33"/>
        <v>0.4</v>
      </c>
      <c r="AE174" s="136">
        <f t="shared" si="33"/>
        <v>0.4</v>
      </c>
      <c r="AF174" s="136">
        <f t="shared" si="33"/>
        <v>0.4</v>
      </c>
      <c r="AG174" s="145">
        <v>2</v>
      </c>
      <c r="AH174" s="52"/>
      <c r="AI174" s="53"/>
      <c r="AK174" s="54"/>
    </row>
    <row r="175" spans="1:37" x14ac:dyDescent="0.25">
      <c r="A175" s="122" t="s">
        <v>180</v>
      </c>
      <c r="B175" s="136">
        <v>1.5</v>
      </c>
      <c r="C175" s="136">
        <f t="shared" si="32"/>
        <v>1.5</v>
      </c>
      <c r="D175" s="136">
        <f t="shared" si="32"/>
        <v>1.5</v>
      </c>
      <c r="E175" s="136">
        <f t="shared" si="32"/>
        <v>1.5</v>
      </c>
      <c r="F175" s="136">
        <f t="shared" si="32"/>
        <v>1.5</v>
      </c>
      <c r="G175" s="136">
        <f t="shared" si="32"/>
        <v>1.5</v>
      </c>
      <c r="H175" s="136">
        <f t="shared" si="32"/>
        <v>1.5</v>
      </c>
      <c r="I175" s="136">
        <f t="shared" si="32"/>
        <v>1.5</v>
      </c>
      <c r="J175" s="136">
        <f t="shared" si="32"/>
        <v>1.5</v>
      </c>
      <c r="K175" s="136">
        <f t="shared" si="32"/>
        <v>1.5</v>
      </c>
      <c r="L175" s="136">
        <f t="shared" si="32"/>
        <v>1.5</v>
      </c>
      <c r="M175" s="136">
        <f t="shared" si="32"/>
        <v>1.5</v>
      </c>
      <c r="N175" s="136">
        <f t="shared" si="32"/>
        <v>1.5</v>
      </c>
      <c r="O175" s="136">
        <f t="shared" si="32"/>
        <v>1.5</v>
      </c>
      <c r="P175" s="136">
        <f t="shared" si="32"/>
        <v>1.5</v>
      </c>
      <c r="Q175" s="136">
        <f t="shared" si="32"/>
        <v>1.5</v>
      </c>
      <c r="R175" s="136">
        <f t="shared" si="32"/>
        <v>1.5</v>
      </c>
      <c r="S175" s="136">
        <f t="shared" si="33"/>
        <v>1.5</v>
      </c>
      <c r="T175" s="136">
        <f t="shared" si="33"/>
        <v>1.5</v>
      </c>
      <c r="U175" s="136">
        <f t="shared" si="33"/>
        <v>1.5</v>
      </c>
      <c r="V175" s="136">
        <f t="shared" si="33"/>
        <v>1.5</v>
      </c>
      <c r="W175" s="136">
        <f t="shared" si="33"/>
        <v>1.5</v>
      </c>
      <c r="X175" s="136">
        <f t="shared" si="33"/>
        <v>1.5</v>
      </c>
      <c r="Y175" s="136">
        <f t="shared" si="33"/>
        <v>1.5</v>
      </c>
      <c r="Z175" s="136">
        <f t="shared" si="33"/>
        <v>1.5</v>
      </c>
      <c r="AA175" s="136">
        <f t="shared" si="33"/>
        <v>1.5</v>
      </c>
      <c r="AB175" s="136">
        <f t="shared" si="33"/>
        <v>1.5</v>
      </c>
      <c r="AC175" s="136">
        <f t="shared" si="33"/>
        <v>1.5</v>
      </c>
      <c r="AD175" s="136">
        <f t="shared" si="33"/>
        <v>1.5</v>
      </c>
      <c r="AE175" s="136">
        <f t="shared" si="33"/>
        <v>1.5</v>
      </c>
      <c r="AF175" s="136">
        <f t="shared" si="33"/>
        <v>1.5</v>
      </c>
      <c r="AG175" s="145">
        <v>1.5</v>
      </c>
      <c r="AH175" s="52"/>
      <c r="AI175" s="53"/>
      <c r="AK175" s="54"/>
    </row>
    <row r="176" spans="1:37" x14ac:dyDescent="0.25">
      <c r="A176" s="122" t="s">
        <v>181</v>
      </c>
      <c r="B176" s="136">
        <v>0.3</v>
      </c>
      <c r="C176" s="136">
        <f t="shared" si="32"/>
        <v>0.3</v>
      </c>
      <c r="D176" s="136">
        <f t="shared" si="32"/>
        <v>0.3</v>
      </c>
      <c r="E176" s="136">
        <f t="shared" si="32"/>
        <v>0.3</v>
      </c>
      <c r="F176" s="136">
        <f t="shared" si="32"/>
        <v>0.3</v>
      </c>
      <c r="G176" s="136">
        <f t="shared" si="32"/>
        <v>0.3</v>
      </c>
      <c r="H176" s="136">
        <f t="shared" si="32"/>
        <v>0.3</v>
      </c>
      <c r="I176" s="136">
        <f t="shared" si="32"/>
        <v>0.3</v>
      </c>
      <c r="J176" s="136">
        <f t="shared" si="32"/>
        <v>0.3</v>
      </c>
      <c r="K176" s="136">
        <f t="shared" si="32"/>
        <v>0.3</v>
      </c>
      <c r="L176" s="136">
        <f t="shared" si="32"/>
        <v>0.3</v>
      </c>
      <c r="M176" s="136">
        <f t="shared" si="32"/>
        <v>0.3</v>
      </c>
      <c r="N176" s="136">
        <f t="shared" si="32"/>
        <v>0.3</v>
      </c>
      <c r="O176" s="136">
        <f t="shared" si="32"/>
        <v>0.3</v>
      </c>
      <c r="P176" s="136">
        <f t="shared" si="32"/>
        <v>0.3</v>
      </c>
      <c r="Q176" s="136">
        <f t="shared" si="32"/>
        <v>0.3</v>
      </c>
      <c r="R176" s="136">
        <f t="shared" si="32"/>
        <v>0.3</v>
      </c>
      <c r="S176" s="136">
        <f t="shared" si="33"/>
        <v>0.3</v>
      </c>
      <c r="T176" s="136">
        <f t="shared" si="33"/>
        <v>0.3</v>
      </c>
      <c r="U176" s="136">
        <f t="shared" si="33"/>
        <v>0.3</v>
      </c>
      <c r="V176" s="136">
        <f t="shared" si="33"/>
        <v>0.3</v>
      </c>
      <c r="W176" s="136">
        <f t="shared" si="33"/>
        <v>0.3</v>
      </c>
      <c r="X176" s="136">
        <f t="shared" si="33"/>
        <v>0.3</v>
      </c>
      <c r="Y176" s="136">
        <f t="shared" si="33"/>
        <v>0.3</v>
      </c>
      <c r="Z176" s="136">
        <f t="shared" si="33"/>
        <v>0.3</v>
      </c>
      <c r="AA176" s="136">
        <f t="shared" si="33"/>
        <v>0.3</v>
      </c>
      <c r="AB176" s="136">
        <f t="shared" si="33"/>
        <v>0.3</v>
      </c>
      <c r="AC176" s="136">
        <f t="shared" si="33"/>
        <v>0.3</v>
      </c>
      <c r="AD176" s="136">
        <f t="shared" si="33"/>
        <v>0.3</v>
      </c>
      <c r="AE176" s="136">
        <f t="shared" si="33"/>
        <v>0.3</v>
      </c>
      <c r="AF176" s="136">
        <f t="shared" si="33"/>
        <v>0.3</v>
      </c>
      <c r="AG176" s="145">
        <v>1</v>
      </c>
      <c r="AH176" s="52"/>
      <c r="AI176" s="53"/>
      <c r="AK176" s="54"/>
    </row>
    <row r="177" spans="1:50" x14ac:dyDescent="0.25">
      <c r="A177" s="122" t="s">
        <v>182</v>
      </c>
      <c r="B177" s="136">
        <v>0.4</v>
      </c>
      <c r="C177" s="136">
        <f t="shared" si="32"/>
        <v>0.4</v>
      </c>
      <c r="D177" s="136">
        <f t="shared" si="32"/>
        <v>0.4</v>
      </c>
      <c r="E177" s="136">
        <f t="shared" si="32"/>
        <v>0.4</v>
      </c>
      <c r="F177" s="136">
        <f t="shared" si="32"/>
        <v>0.4</v>
      </c>
      <c r="G177" s="136">
        <f t="shared" si="32"/>
        <v>0.4</v>
      </c>
      <c r="H177" s="136">
        <f t="shared" si="32"/>
        <v>0.4</v>
      </c>
      <c r="I177" s="136">
        <f t="shared" si="32"/>
        <v>0.4</v>
      </c>
      <c r="J177" s="136">
        <f t="shared" si="32"/>
        <v>0.4</v>
      </c>
      <c r="K177" s="136">
        <f t="shared" si="32"/>
        <v>0.4</v>
      </c>
      <c r="L177" s="136">
        <f t="shared" si="32"/>
        <v>0.4</v>
      </c>
      <c r="M177" s="136">
        <f t="shared" si="32"/>
        <v>0.4</v>
      </c>
      <c r="N177" s="136">
        <f t="shared" si="32"/>
        <v>0.4</v>
      </c>
      <c r="O177" s="136">
        <f t="shared" si="32"/>
        <v>0.4</v>
      </c>
      <c r="P177" s="136">
        <f t="shared" si="32"/>
        <v>0.4</v>
      </c>
      <c r="Q177" s="136">
        <f t="shared" si="32"/>
        <v>0.4</v>
      </c>
      <c r="R177" s="136">
        <f t="shared" si="32"/>
        <v>0.4</v>
      </c>
      <c r="S177" s="136">
        <f t="shared" si="33"/>
        <v>0.4</v>
      </c>
      <c r="T177" s="136">
        <f t="shared" si="33"/>
        <v>0.4</v>
      </c>
      <c r="U177" s="136">
        <f t="shared" si="33"/>
        <v>0.4</v>
      </c>
      <c r="V177" s="136">
        <f t="shared" si="33"/>
        <v>0.4</v>
      </c>
      <c r="W177" s="136">
        <f t="shared" si="33"/>
        <v>0.4</v>
      </c>
      <c r="X177" s="136">
        <f t="shared" si="33"/>
        <v>0.4</v>
      </c>
      <c r="Y177" s="136">
        <f t="shared" si="33"/>
        <v>0.4</v>
      </c>
      <c r="Z177" s="136">
        <f t="shared" si="33"/>
        <v>0.4</v>
      </c>
      <c r="AA177" s="136">
        <f t="shared" si="33"/>
        <v>0.4</v>
      </c>
      <c r="AB177" s="136">
        <f t="shared" si="33"/>
        <v>0.4</v>
      </c>
      <c r="AC177" s="136">
        <f t="shared" si="33"/>
        <v>0.4</v>
      </c>
      <c r="AD177" s="136">
        <f t="shared" si="33"/>
        <v>0.4</v>
      </c>
      <c r="AE177" s="136">
        <f t="shared" si="33"/>
        <v>0.4</v>
      </c>
      <c r="AF177" s="136">
        <f t="shared" si="33"/>
        <v>0.4</v>
      </c>
      <c r="AG177" s="145">
        <v>1</v>
      </c>
      <c r="AH177" s="52"/>
      <c r="AI177" s="53"/>
      <c r="AK177" s="54"/>
    </row>
    <row r="178" spans="1:50" ht="15.75" thickBot="1" x14ac:dyDescent="0.3">
      <c r="A178" s="124" t="s">
        <v>183</v>
      </c>
      <c r="B178" s="146">
        <v>0.64</v>
      </c>
      <c r="C178" s="146">
        <f t="shared" si="32"/>
        <v>0.64</v>
      </c>
      <c r="D178" s="146">
        <f t="shared" si="32"/>
        <v>0.64</v>
      </c>
      <c r="E178" s="146">
        <f t="shared" si="32"/>
        <v>0.64</v>
      </c>
      <c r="F178" s="146">
        <f t="shared" si="32"/>
        <v>0.64</v>
      </c>
      <c r="G178" s="146">
        <f t="shared" si="32"/>
        <v>0.64</v>
      </c>
      <c r="H178" s="146">
        <f t="shared" si="32"/>
        <v>0.64</v>
      </c>
      <c r="I178" s="146">
        <f t="shared" si="32"/>
        <v>0.64</v>
      </c>
      <c r="J178" s="146">
        <f t="shared" si="32"/>
        <v>0.64</v>
      </c>
      <c r="K178" s="146">
        <f t="shared" si="32"/>
        <v>0.64</v>
      </c>
      <c r="L178" s="146">
        <f t="shared" si="32"/>
        <v>0.64</v>
      </c>
      <c r="M178" s="146">
        <f t="shared" si="32"/>
        <v>0.64</v>
      </c>
      <c r="N178" s="146">
        <f t="shared" si="32"/>
        <v>0.64</v>
      </c>
      <c r="O178" s="146">
        <f t="shared" si="32"/>
        <v>0.64</v>
      </c>
      <c r="P178" s="146">
        <f t="shared" si="32"/>
        <v>0.64</v>
      </c>
      <c r="Q178" s="146">
        <f t="shared" si="32"/>
        <v>0.64</v>
      </c>
      <c r="R178" s="146">
        <f t="shared" si="32"/>
        <v>0.64</v>
      </c>
      <c r="S178" s="146">
        <f t="shared" si="33"/>
        <v>0.64</v>
      </c>
      <c r="T178" s="146">
        <f t="shared" si="33"/>
        <v>0.64</v>
      </c>
      <c r="U178" s="146">
        <f t="shared" si="33"/>
        <v>0.64</v>
      </c>
      <c r="V178" s="146">
        <f t="shared" si="33"/>
        <v>0.64</v>
      </c>
      <c r="W178" s="146">
        <f t="shared" si="33"/>
        <v>0.64</v>
      </c>
      <c r="X178" s="146">
        <f t="shared" si="33"/>
        <v>0.64</v>
      </c>
      <c r="Y178" s="146">
        <f t="shared" si="33"/>
        <v>0.64</v>
      </c>
      <c r="Z178" s="146">
        <f t="shared" si="33"/>
        <v>0.64</v>
      </c>
      <c r="AA178" s="146">
        <f t="shared" si="33"/>
        <v>0.64</v>
      </c>
      <c r="AB178" s="146">
        <f t="shared" si="33"/>
        <v>0.64</v>
      </c>
      <c r="AC178" s="146">
        <f t="shared" si="33"/>
        <v>0.64</v>
      </c>
      <c r="AD178" s="146">
        <f t="shared" si="33"/>
        <v>0.64</v>
      </c>
      <c r="AE178" s="146">
        <f t="shared" si="33"/>
        <v>0.64</v>
      </c>
      <c r="AF178" s="146">
        <f t="shared" si="33"/>
        <v>0.64</v>
      </c>
      <c r="AG178" s="147">
        <v>0.66</v>
      </c>
      <c r="AH178" s="52"/>
      <c r="AI178" s="53"/>
      <c r="AK178" s="54"/>
    </row>
    <row r="179" spans="1:50" ht="15.75" thickBot="1" x14ac:dyDescent="0.3">
      <c r="A179" s="148" t="s">
        <v>49</v>
      </c>
      <c r="B179" s="149">
        <f>SUM(B173:B178)</f>
        <v>3.54</v>
      </c>
      <c r="C179" s="149">
        <f t="shared" ref="C179:K179" si="34">SUM(C173:C178)</f>
        <v>3.54</v>
      </c>
      <c r="D179" s="149">
        <f t="shared" si="34"/>
        <v>3.54</v>
      </c>
      <c r="E179" s="149">
        <f t="shared" si="34"/>
        <v>3.54</v>
      </c>
      <c r="F179" s="149">
        <f t="shared" si="34"/>
        <v>3.54</v>
      </c>
      <c r="G179" s="149">
        <f t="shared" si="34"/>
        <v>3.54</v>
      </c>
      <c r="H179" s="149">
        <f t="shared" si="34"/>
        <v>3.54</v>
      </c>
      <c r="I179" s="149">
        <f t="shared" si="34"/>
        <v>3.54</v>
      </c>
      <c r="J179" s="149">
        <f t="shared" si="34"/>
        <v>3.54</v>
      </c>
      <c r="K179" s="149">
        <f t="shared" si="34"/>
        <v>3.54</v>
      </c>
      <c r="L179" s="149">
        <f>SUM(L173:L178)</f>
        <v>3.54</v>
      </c>
      <c r="M179" s="149">
        <f t="shared" ref="M179:R179" si="35">SUM(M173:M178)</f>
        <v>3.54</v>
      </c>
      <c r="N179" s="149">
        <f t="shared" si="35"/>
        <v>3.54</v>
      </c>
      <c r="O179" s="149">
        <f t="shared" si="35"/>
        <v>3.54</v>
      </c>
      <c r="P179" s="149">
        <f t="shared" si="35"/>
        <v>3.54</v>
      </c>
      <c r="Q179" s="149">
        <f t="shared" si="35"/>
        <v>3.54</v>
      </c>
      <c r="R179" s="149">
        <f t="shared" si="35"/>
        <v>3.54</v>
      </c>
      <c r="S179" s="149">
        <f>SUM(S173:S178)</f>
        <v>3.54</v>
      </c>
      <c r="T179" s="149">
        <f t="shared" ref="T179:AG179" si="36">SUM(T173:T178)</f>
        <v>3.54</v>
      </c>
      <c r="U179" s="149">
        <f t="shared" si="36"/>
        <v>3.54</v>
      </c>
      <c r="V179" s="149">
        <f t="shared" si="36"/>
        <v>3.54</v>
      </c>
      <c r="W179" s="149">
        <f t="shared" si="36"/>
        <v>3.54</v>
      </c>
      <c r="X179" s="149">
        <f t="shared" si="36"/>
        <v>3.54</v>
      </c>
      <c r="Y179" s="149">
        <f t="shared" si="36"/>
        <v>3.54</v>
      </c>
      <c r="Z179" s="149">
        <f t="shared" si="36"/>
        <v>3.54</v>
      </c>
      <c r="AA179" s="149">
        <f t="shared" si="36"/>
        <v>3.54</v>
      </c>
      <c r="AB179" s="149">
        <f t="shared" si="36"/>
        <v>3.54</v>
      </c>
      <c r="AC179" s="149">
        <f t="shared" si="36"/>
        <v>3.54</v>
      </c>
      <c r="AD179" s="149">
        <f t="shared" si="36"/>
        <v>3.54</v>
      </c>
      <c r="AE179" s="149">
        <f t="shared" si="36"/>
        <v>3.54</v>
      </c>
      <c r="AF179" s="149">
        <f t="shared" si="36"/>
        <v>3.54</v>
      </c>
      <c r="AG179" s="150">
        <f t="shared" si="36"/>
        <v>8.56</v>
      </c>
      <c r="AH179" s="52"/>
      <c r="AI179" s="53"/>
    </row>
    <row r="180" spans="1:50" ht="15.75" thickBot="1" x14ac:dyDescent="0.3"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111"/>
      <c r="AH180" s="46"/>
    </row>
    <row r="181" spans="1:50" x14ac:dyDescent="0.25">
      <c r="A181" s="93" t="s">
        <v>184</v>
      </c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2"/>
      <c r="AG181" s="46"/>
      <c r="AH181" s="52"/>
      <c r="AI181" s="53"/>
    </row>
    <row r="182" spans="1:50" x14ac:dyDescent="0.25">
      <c r="A182" s="153" t="s">
        <v>185</v>
      </c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5"/>
      <c r="AG182" s="156"/>
      <c r="AH182" s="52"/>
      <c r="AI182" s="53"/>
    </row>
    <row r="183" spans="1:50" x14ac:dyDescent="0.25">
      <c r="A183" s="98" t="s">
        <v>186</v>
      </c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8"/>
      <c r="AG183" s="156"/>
      <c r="AH183" s="52"/>
      <c r="AI183" s="53"/>
    </row>
    <row r="184" spans="1:50" x14ac:dyDescent="0.25">
      <c r="A184" s="98" t="s">
        <v>187</v>
      </c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8"/>
      <c r="AG184" s="156"/>
      <c r="AH184" s="52"/>
      <c r="AI184" s="53"/>
    </row>
    <row r="185" spans="1:50" ht="15.75" thickBot="1" x14ac:dyDescent="0.3">
      <c r="A185" s="159" t="s">
        <v>188</v>
      </c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1"/>
      <c r="AG185" s="156"/>
      <c r="AH185" s="52"/>
      <c r="AI185" s="53"/>
    </row>
    <row r="186" spans="1:50" x14ac:dyDescent="0.25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</row>
    <row r="187" spans="1:5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</row>
    <row r="188" spans="1:50" x14ac:dyDescent="0.25">
      <c r="A188" s="162" t="s">
        <v>189</v>
      </c>
      <c r="B188" s="163">
        <f>MAX(F65:M65)</f>
        <v>153.54</v>
      </c>
      <c r="C188" s="164">
        <f>INDEX(F9:M9,1,MATCH(MAX(F65:M65),F65:M65,0))</f>
        <v>0.20833333333333301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</row>
    <row r="189" spans="1:50" x14ac:dyDescent="0.25"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165" t="str">
        <f ca="1">MID(CELL("filename",C7),FIND("]",CELL("filename",C7))+1,600)</f>
        <v>sample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</row>
    <row r="190" spans="1:50" x14ac:dyDescent="0.25">
      <c r="A190" s="334" t="s">
        <v>190</v>
      </c>
      <c r="B190" s="334"/>
      <c r="C190" s="46"/>
      <c r="D190" s="165" t="str">
        <f ca="1">"Pie Chart of Daily Peak Demand(Inclusive of Export) of Nepal ("&amp;A4&amp;" "&amp;C4&amp;")"</f>
        <v>Pie Chart of Daily Peak Demand(Inclusive of Export) of Nepal (Date: 2078 Jestha sample)</v>
      </c>
      <c r="E190" s="46"/>
      <c r="F190" s="46"/>
      <c r="G190" s="16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165" t="str">
        <f ca="1">"Daily Load Curve(Excluding of Export) of Nepal ("&amp;A4&amp;" "&amp;C4&amp;")"</f>
        <v>Daily Load Curve(Excluding of Export) of Nepal (Date: 2078 Jestha sample)</v>
      </c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</row>
    <row r="191" spans="1:50" ht="15.75" thickBot="1" x14ac:dyDescent="0.3">
      <c r="A191" s="166" t="s">
        <v>7</v>
      </c>
      <c r="B191" s="167"/>
      <c r="C191" s="46"/>
      <c r="D191" s="16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</row>
    <row r="192" spans="1:50" ht="12.75" customHeight="1" thickTop="1" x14ac:dyDescent="0.25">
      <c r="A192" s="166" t="s">
        <v>191</v>
      </c>
      <c r="B192" s="167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169" t="s">
        <v>192</v>
      </c>
      <c r="T192" s="170">
        <v>4.1666666666666664E-2</v>
      </c>
      <c r="U192" s="171">
        <v>8.3333333333333301E-2</v>
      </c>
      <c r="V192" s="171">
        <v>0.125</v>
      </c>
      <c r="W192" s="171">
        <v>0.16666666666666699</v>
      </c>
      <c r="X192" s="171">
        <v>0.20833333333333301</v>
      </c>
      <c r="Y192" s="171">
        <v>0.22916666666666666</v>
      </c>
      <c r="Z192" s="171">
        <v>0.25</v>
      </c>
      <c r="AA192" s="171">
        <v>0.27083333333333331</v>
      </c>
      <c r="AB192" s="171">
        <v>0.29166666666666669</v>
      </c>
      <c r="AC192" s="171">
        <v>0.3125</v>
      </c>
      <c r="AD192" s="172">
        <v>0.33333333333333331</v>
      </c>
      <c r="AE192" s="172">
        <v>0.375</v>
      </c>
      <c r="AF192" s="172">
        <v>0.41666666666666702</v>
      </c>
      <c r="AG192" s="172">
        <v>0.45833333333333298</v>
      </c>
      <c r="AH192" s="172">
        <v>0.5</v>
      </c>
      <c r="AI192" s="172">
        <v>0.54166666666666696</v>
      </c>
      <c r="AJ192" s="172">
        <v>0.58333333333333304</v>
      </c>
      <c r="AK192" s="172">
        <v>0.625</v>
      </c>
      <c r="AL192" s="172">
        <v>0.66666666666666696</v>
      </c>
      <c r="AM192" s="172">
        <v>0.70833333333333304</v>
      </c>
      <c r="AN192" s="172">
        <v>0.72916666666666663</v>
      </c>
      <c r="AO192" s="172">
        <v>0.75</v>
      </c>
      <c r="AP192" s="172">
        <v>0.77083333333333337</v>
      </c>
      <c r="AQ192" s="172">
        <v>0.79166666666666663</v>
      </c>
      <c r="AR192" s="172">
        <v>0.8125</v>
      </c>
      <c r="AS192" s="171">
        <v>0.83333333333333337</v>
      </c>
      <c r="AT192" s="171">
        <v>0.85416666666666663</v>
      </c>
      <c r="AU192" s="171">
        <v>0.875</v>
      </c>
      <c r="AV192" s="171">
        <v>0.91666666666666696</v>
      </c>
      <c r="AW192" s="171">
        <v>0.95833333333333304</v>
      </c>
      <c r="AX192" s="171">
        <v>1</v>
      </c>
    </row>
    <row r="193" spans="1:50" x14ac:dyDescent="0.25">
      <c r="A193" s="166" t="s">
        <v>193</v>
      </c>
      <c r="B193" s="16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 t="s">
        <v>194</v>
      </c>
      <c r="T193" s="173">
        <f t="shared" ref="T193:AX193" si="37">B65</f>
        <v>153.54</v>
      </c>
      <c r="U193" s="173">
        <f t="shared" si="37"/>
        <v>153.54</v>
      </c>
      <c r="V193" s="173">
        <f t="shared" si="37"/>
        <v>153.54</v>
      </c>
      <c r="W193" s="173">
        <f t="shared" si="37"/>
        <v>153.54</v>
      </c>
      <c r="X193" s="173">
        <f t="shared" si="37"/>
        <v>153.54</v>
      </c>
      <c r="Y193" s="173">
        <f t="shared" si="37"/>
        <v>153.54</v>
      </c>
      <c r="Z193" s="173">
        <f t="shared" si="37"/>
        <v>153.54</v>
      </c>
      <c r="AA193" s="173">
        <f t="shared" si="37"/>
        <v>153.54</v>
      </c>
      <c r="AB193" s="173">
        <f t="shared" si="37"/>
        <v>153.54</v>
      </c>
      <c r="AC193" s="173">
        <f t="shared" si="37"/>
        <v>153.54</v>
      </c>
      <c r="AD193" s="173">
        <f t="shared" si="37"/>
        <v>153.54</v>
      </c>
      <c r="AE193" s="173">
        <f t="shared" si="37"/>
        <v>153.54</v>
      </c>
      <c r="AF193" s="173">
        <f t="shared" si="37"/>
        <v>153.54</v>
      </c>
      <c r="AG193" s="173">
        <f t="shared" si="37"/>
        <v>153.54</v>
      </c>
      <c r="AH193" s="173">
        <f t="shared" si="37"/>
        <v>153.54</v>
      </c>
      <c r="AI193" s="173">
        <f t="shared" si="37"/>
        <v>153.54</v>
      </c>
      <c r="AJ193" s="173">
        <f t="shared" si="37"/>
        <v>153.54</v>
      </c>
      <c r="AK193" s="173">
        <f t="shared" si="37"/>
        <v>153.54</v>
      </c>
      <c r="AL193" s="173">
        <f t="shared" si="37"/>
        <v>153.54</v>
      </c>
      <c r="AM193" s="173">
        <f t="shared" si="37"/>
        <v>153.54</v>
      </c>
      <c r="AN193" s="173">
        <f t="shared" si="37"/>
        <v>153.54</v>
      </c>
      <c r="AO193" s="173">
        <f t="shared" si="37"/>
        <v>153.54</v>
      </c>
      <c r="AP193" s="173">
        <f t="shared" si="37"/>
        <v>153.54</v>
      </c>
      <c r="AQ193" s="173">
        <f t="shared" si="37"/>
        <v>153.54</v>
      </c>
      <c r="AR193" s="173">
        <f t="shared" si="37"/>
        <v>153.54</v>
      </c>
      <c r="AS193" s="173">
        <f t="shared" si="37"/>
        <v>153.54</v>
      </c>
      <c r="AT193" s="173">
        <f t="shared" si="37"/>
        <v>153.54</v>
      </c>
      <c r="AU193" s="173">
        <f t="shared" si="37"/>
        <v>153.54</v>
      </c>
      <c r="AV193" s="173">
        <f t="shared" si="37"/>
        <v>153.54</v>
      </c>
      <c r="AW193" s="173">
        <f t="shared" si="37"/>
        <v>153.54</v>
      </c>
      <c r="AX193" s="173">
        <f t="shared" si="37"/>
        <v>153.54</v>
      </c>
    </row>
    <row r="194" spans="1:50" x14ac:dyDescent="0.25">
      <c r="A194" s="166" t="s">
        <v>195</v>
      </c>
      <c r="B194" s="167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</row>
    <row r="195" spans="1:50" x14ac:dyDescent="0.25">
      <c r="A195" s="166" t="s">
        <v>196</v>
      </c>
      <c r="B195" s="16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</row>
    <row r="196" spans="1:50" x14ac:dyDescent="0.25">
      <c r="A196" s="166" t="s">
        <v>197</v>
      </c>
      <c r="B196" s="167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</row>
    <row r="197" spans="1:50" x14ac:dyDescent="0.25">
      <c r="A197" s="166" t="s">
        <v>198</v>
      </c>
      <c r="B197" s="174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</row>
    <row r="198" spans="1:50" x14ac:dyDescent="0.25">
      <c r="A198" s="166" t="s">
        <v>199</v>
      </c>
      <c r="B198" s="167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</row>
    <row r="199" spans="1:50" x14ac:dyDescent="0.25"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</row>
    <row r="200" spans="1:50" x14ac:dyDescent="0.25"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</row>
    <row r="201" spans="1:50" x14ac:dyDescent="0.25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</row>
    <row r="202" spans="1:50" x14ac:dyDescent="0.25"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</row>
    <row r="203" spans="1:50" x14ac:dyDescent="0.25"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</row>
    <row r="204" spans="1:50" x14ac:dyDescent="0.25"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</row>
    <row r="205" spans="1:50" x14ac:dyDescent="0.25"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</row>
    <row r="206" spans="1:50" x14ac:dyDescent="0.25"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</row>
    <row r="207" spans="1:50" x14ac:dyDescent="0.25"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</row>
    <row r="208" spans="1:50" x14ac:dyDescent="0.25"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</row>
    <row r="209" spans="1:34" x14ac:dyDescent="0.25"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</row>
    <row r="210" spans="1:34" x14ac:dyDescent="0.25"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</row>
    <row r="211" spans="1:34" x14ac:dyDescent="0.25"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</row>
    <row r="212" spans="1:34" x14ac:dyDescent="0.25"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</row>
    <row r="213" spans="1:34" x14ac:dyDescent="0.25"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</row>
    <row r="214" spans="1:34" x14ac:dyDescent="0.25">
      <c r="A214" s="175" t="s">
        <v>184</v>
      </c>
      <c r="B214" s="176">
        <f t="shared" ref="B214:AF214" si="38">B178</f>
        <v>0.64</v>
      </c>
      <c r="C214" s="176">
        <f t="shared" si="38"/>
        <v>0.64</v>
      </c>
      <c r="D214" s="176">
        <f t="shared" si="38"/>
        <v>0.64</v>
      </c>
      <c r="E214" s="176">
        <f t="shared" si="38"/>
        <v>0.64</v>
      </c>
      <c r="F214" s="176">
        <f t="shared" si="38"/>
        <v>0.64</v>
      </c>
      <c r="G214" s="176">
        <f t="shared" si="38"/>
        <v>0.64</v>
      </c>
      <c r="H214" s="176">
        <f t="shared" si="38"/>
        <v>0.64</v>
      </c>
      <c r="I214" s="176">
        <f t="shared" si="38"/>
        <v>0.64</v>
      </c>
      <c r="J214" s="176">
        <f t="shared" si="38"/>
        <v>0.64</v>
      </c>
      <c r="K214" s="176">
        <f t="shared" si="38"/>
        <v>0.64</v>
      </c>
      <c r="L214" s="176">
        <f t="shared" si="38"/>
        <v>0.64</v>
      </c>
      <c r="M214" s="176">
        <f t="shared" si="38"/>
        <v>0.64</v>
      </c>
      <c r="N214" s="176">
        <f t="shared" si="38"/>
        <v>0.64</v>
      </c>
      <c r="O214" s="176">
        <f t="shared" si="38"/>
        <v>0.64</v>
      </c>
      <c r="P214" s="176">
        <f t="shared" si="38"/>
        <v>0.64</v>
      </c>
      <c r="Q214" s="176">
        <f t="shared" si="38"/>
        <v>0.64</v>
      </c>
      <c r="R214" s="176">
        <f t="shared" si="38"/>
        <v>0.64</v>
      </c>
      <c r="S214" s="176">
        <f t="shared" si="38"/>
        <v>0.64</v>
      </c>
      <c r="T214" s="176">
        <f t="shared" si="38"/>
        <v>0.64</v>
      </c>
      <c r="U214" s="176">
        <f t="shared" si="38"/>
        <v>0.64</v>
      </c>
      <c r="V214" s="176">
        <f t="shared" si="38"/>
        <v>0.64</v>
      </c>
      <c r="W214" s="176">
        <f t="shared" si="38"/>
        <v>0.64</v>
      </c>
      <c r="X214" s="176">
        <f t="shared" si="38"/>
        <v>0.64</v>
      </c>
      <c r="Y214" s="176">
        <f t="shared" si="38"/>
        <v>0.64</v>
      </c>
      <c r="Z214" s="176">
        <f t="shared" si="38"/>
        <v>0.64</v>
      </c>
      <c r="AA214" s="176">
        <f t="shared" si="38"/>
        <v>0.64</v>
      </c>
      <c r="AB214" s="176">
        <f t="shared" si="38"/>
        <v>0.64</v>
      </c>
      <c r="AC214" s="176">
        <f t="shared" si="38"/>
        <v>0.64</v>
      </c>
      <c r="AD214" s="176">
        <f t="shared" si="38"/>
        <v>0.64</v>
      </c>
      <c r="AE214" s="176">
        <f t="shared" si="38"/>
        <v>0.64</v>
      </c>
      <c r="AF214" s="176">
        <f t="shared" si="38"/>
        <v>0.64</v>
      </c>
      <c r="AG214" s="46"/>
      <c r="AH214" s="46"/>
    </row>
    <row r="215" spans="1:34" x14ac:dyDescent="0.25">
      <c r="A215" s="120" t="str">
        <f>A182</f>
        <v>KGA</v>
      </c>
      <c r="B215" s="120" t="str">
        <f>IF(B182&lt;100,"",B182-520)</f>
        <v/>
      </c>
      <c r="C215" s="120" t="str">
        <f t="shared" ref="C215:AF215" si="39">IF(C182&lt;100,"",C182-520)</f>
        <v/>
      </c>
      <c r="D215" s="120" t="str">
        <f t="shared" si="39"/>
        <v/>
      </c>
      <c r="E215" s="120" t="str">
        <f t="shared" si="39"/>
        <v/>
      </c>
      <c r="F215" s="120" t="str">
        <f t="shared" si="39"/>
        <v/>
      </c>
      <c r="G215" s="120" t="str">
        <f t="shared" si="39"/>
        <v/>
      </c>
      <c r="H215" s="120" t="str">
        <f t="shared" si="39"/>
        <v/>
      </c>
      <c r="I215" s="120" t="str">
        <f t="shared" si="39"/>
        <v/>
      </c>
      <c r="J215" s="120" t="str">
        <f t="shared" si="39"/>
        <v/>
      </c>
      <c r="K215" s="120" t="str">
        <f t="shared" si="39"/>
        <v/>
      </c>
      <c r="L215" s="120" t="str">
        <f t="shared" si="39"/>
        <v/>
      </c>
      <c r="M215" s="120" t="str">
        <f t="shared" si="39"/>
        <v/>
      </c>
      <c r="N215" s="120" t="str">
        <f t="shared" si="39"/>
        <v/>
      </c>
      <c r="O215" s="120" t="str">
        <f t="shared" si="39"/>
        <v/>
      </c>
      <c r="P215" s="120" t="str">
        <f t="shared" si="39"/>
        <v/>
      </c>
      <c r="Q215" s="120" t="str">
        <f t="shared" si="39"/>
        <v/>
      </c>
      <c r="R215" s="120" t="str">
        <f t="shared" si="39"/>
        <v/>
      </c>
      <c r="S215" s="120" t="str">
        <f t="shared" si="39"/>
        <v/>
      </c>
      <c r="T215" s="120" t="str">
        <f t="shared" si="39"/>
        <v/>
      </c>
      <c r="U215" s="120" t="str">
        <f t="shared" si="39"/>
        <v/>
      </c>
      <c r="V215" s="120" t="str">
        <f t="shared" si="39"/>
        <v/>
      </c>
      <c r="W215" s="120" t="str">
        <f t="shared" si="39"/>
        <v/>
      </c>
      <c r="X215" s="120" t="str">
        <f t="shared" si="39"/>
        <v/>
      </c>
      <c r="Y215" s="120" t="str">
        <f t="shared" si="39"/>
        <v/>
      </c>
      <c r="Z215" s="120" t="str">
        <f t="shared" si="39"/>
        <v/>
      </c>
      <c r="AA215" s="120" t="str">
        <f t="shared" si="39"/>
        <v/>
      </c>
      <c r="AB215" s="120" t="str">
        <f t="shared" si="39"/>
        <v/>
      </c>
      <c r="AC215" s="120" t="str">
        <f t="shared" si="39"/>
        <v/>
      </c>
      <c r="AD215" s="120" t="str">
        <f t="shared" si="39"/>
        <v/>
      </c>
      <c r="AE215" s="120" t="str">
        <f t="shared" si="39"/>
        <v/>
      </c>
      <c r="AF215" s="120" t="str">
        <f t="shared" si="39"/>
        <v/>
      </c>
      <c r="AG215" s="46"/>
      <c r="AH215" s="46"/>
    </row>
    <row r="216" spans="1:34" x14ac:dyDescent="0.25">
      <c r="A216" s="120" t="str">
        <f>A183</f>
        <v>MMRS</v>
      </c>
      <c r="B216" s="120" t="str">
        <f t="shared" ref="B216:AF216" si="40">IF(B183&lt;100,"",B183-620)</f>
        <v/>
      </c>
      <c r="C216" s="120" t="str">
        <f t="shared" si="40"/>
        <v/>
      </c>
      <c r="D216" s="120" t="str">
        <f t="shared" si="40"/>
        <v/>
      </c>
      <c r="E216" s="120" t="str">
        <f t="shared" si="40"/>
        <v/>
      </c>
      <c r="F216" s="120" t="str">
        <f t="shared" si="40"/>
        <v/>
      </c>
      <c r="G216" s="120" t="str">
        <f t="shared" si="40"/>
        <v/>
      </c>
      <c r="H216" s="120" t="str">
        <f t="shared" si="40"/>
        <v/>
      </c>
      <c r="I216" s="120" t="str">
        <f t="shared" si="40"/>
        <v/>
      </c>
      <c r="J216" s="120" t="str">
        <f t="shared" si="40"/>
        <v/>
      </c>
      <c r="K216" s="120" t="str">
        <f t="shared" si="40"/>
        <v/>
      </c>
      <c r="L216" s="120" t="str">
        <f t="shared" si="40"/>
        <v/>
      </c>
      <c r="M216" s="120" t="str">
        <f t="shared" si="40"/>
        <v/>
      </c>
      <c r="N216" s="120" t="str">
        <f t="shared" si="40"/>
        <v/>
      </c>
      <c r="O216" s="120" t="str">
        <f t="shared" si="40"/>
        <v/>
      </c>
      <c r="P216" s="120" t="str">
        <f t="shared" si="40"/>
        <v/>
      </c>
      <c r="Q216" s="120" t="str">
        <f t="shared" si="40"/>
        <v/>
      </c>
      <c r="R216" s="120" t="str">
        <f t="shared" si="40"/>
        <v/>
      </c>
      <c r="S216" s="120" t="str">
        <f t="shared" si="40"/>
        <v/>
      </c>
      <c r="T216" s="120" t="str">
        <f t="shared" si="40"/>
        <v/>
      </c>
      <c r="U216" s="120" t="str">
        <f t="shared" si="40"/>
        <v/>
      </c>
      <c r="V216" s="120" t="str">
        <f t="shared" si="40"/>
        <v/>
      </c>
      <c r="W216" s="120" t="str">
        <f t="shared" si="40"/>
        <v/>
      </c>
      <c r="X216" s="120" t="str">
        <f t="shared" si="40"/>
        <v/>
      </c>
      <c r="Y216" s="120" t="str">
        <f t="shared" si="40"/>
        <v/>
      </c>
      <c r="Z216" s="120" t="str">
        <f t="shared" si="40"/>
        <v/>
      </c>
      <c r="AA216" s="120" t="str">
        <f t="shared" si="40"/>
        <v/>
      </c>
      <c r="AB216" s="120" t="str">
        <f t="shared" si="40"/>
        <v/>
      </c>
      <c r="AC216" s="120" t="str">
        <f t="shared" si="40"/>
        <v/>
      </c>
      <c r="AD216" s="120" t="str">
        <f t="shared" si="40"/>
        <v/>
      </c>
      <c r="AE216" s="120" t="str">
        <f t="shared" si="40"/>
        <v/>
      </c>
      <c r="AF216" s="120" t="str">
        <f t="shared" si="40"/>
        <v/>
      </c>
      <c r="AG216" s="46"/>
      <c r="AH216" s="46"/>
    </row>
    <row r="217" spans="1:34" x14ac:dyDescent="0.25">
      <c r="A217" s="120" t="str">
        <f>A184</f>
        <v>MRS</v>
      </c>
      <c r="B217" s="120" t="str">
        <f t="shared" ref="B217:AF217" si="41">IF(B184&lt;100,"",B184-330)</f>
        <v/>
      </c>
      <c r="C217" s="120" t="str">
        <f t="shared" si="41"/>
        <v/>
      </c>
      <c r="D217" s="120" t="str">
        <f t="shared" si="41"/>
        <v/>
      </c>
      <c r="E217" s="120" t="str">
        <f t="shared" si="41"/>
        <v/>
      </c>
      <c r="F217" s="120" t="str">
        <f t="shared" si="41"/>
        <v/>
      </c>
      <c r="G217" s="120" t="str">
        <f t="shared" si="41"/>
        <v/>
      </c>
      <c r="H217" s="120" t="str">
        <f t="shared" si="41"/>
        <v/>
      </c>
      <c r="I217" s="120" t="str">
        <f t="shared" si="41"/>
        <v/>
      </c>
      <c r="J217" s="120" t="str">
        <f t="shared" si="41"/>
        <v/>
      </c>
      <c r="K217" s="120" t="str">
        <f t="shared" si="41"/>
        <v/>
      </c>
      <c r="L217" s="120" t="str">
        <f t="shared" si="41"/>
        <v/>
      </c>
      <c r="M217" s="120" t="str">
        <f t="shared" si="41"/>
        <v/>
      </c>
      <c r="N217" s="120" t="str">
        <f t="shared" si="41"/>
        <v/>
      </c>
      <c r="O217" s="120" t="str">
        <f t="shared" si="41"/>
        <v/>
      </c>
      <c r="P217" s="120" t="str">
        <f t="shared" si="41"/>
        <v/>
      </c>
      <c r="Q217" s="120" t="str">
        <f t="shared" si="41"/>
        <v/>
      </c>
      <c r="R217" s="120" t="str">
        <f t="shared" si="41"/>
        <v/>
      </c>
      <c r="S217" s="120" t="str">
        <f t="shared" si="41"/>
        <v/>
      </c>
      <c r="T217" s="120" t="str">
        <f t="shared" si="41"/>
        <v/>
      </c>
      <c r="U217" s="120" t="str">
        <f t="shared" si="41"/>
        <v/>
      </c>
      <c r="V217" s="120" t="str">
        <f t="shared" si="41"/>
        <v/>
      </c>
      <c r="W217" s="120" t="str">
        <f t="shared" si="41"/>
        <v/>
      </c>
      <c r="X217" s="120" t="str">
        <f t="shared" si="41"/>
        <v/>
      </c>
      <c r="Y217" s="120" t="str">
        <f t="shared" si="41"/>
        <v/>
      </c>
      <c r="Z217" s="120" t="str">
        <f t="shared" si="41"/>
        <v/>
      </c>
      <c r="AA217" s="120" t="str">
        <f t="shared" si="41"/>
        <v/>
      </c>
      <c r="AB217" s="120" t="str">
        <f t="shared" si="41"/>
        <v/>
      </c>
      <c r="AC217" s="120" t="str">
        <f t="shared" si="41"/>
        <v/>
      </c>
      <c r="AD217" s="120" t="str">
        <f t="shared" si="41"/>
        <v/>
      </c>
      <c r="AE217" s="120" t="str">
        <f t="shared" si="41"/>
        <v/>
      </c>
      <c r="AF217" s="120" t="str">
        <f t="shared" si="41"/>
        <v/>
      </c>
      <c r="AG217" s="46"/>
      <c r="AH217" s="46"/>
    </row>
    <row r="218" spans="1:34" x14ac:dyDescent="0.25">
      <c r="A218" s="120" t="str">
        <f>A185</f>
        <v>KL 1</v>
      </c>
      <c r="B218" s="120" t="str">
        <f>IF(B185&lt;100,"",B185-1500)</f>
        <v/>
      </c>
      <c r="C218" s="120" t="str">
        <f t="shared" ref="C218:AF218" si="42">IF(C185&lt;100,"",C185-1500)</f>
        <v/>
      </c>
      <c r="D218" s="120" t="str">
        <f t="shared" si="42"/>
        <v/>
      </c>
      <c r="E218" s="120" t="str">
        <f t="shared" si="42"/>
        <v/>
      </c>
      <c r="F218" s="120" t="str">
        <f t="shared" si="42"/>
        <v/>
      </c>
      <c r="G218" s="120" t="str">
        <f t="shared" si="42"/>
        <v/>
      </c>
      <c r="H218" s="120" t="str">
        <f t="shared" si="42"/>
        <v/>
      </c>
      <c r="I218" s="120" t="str">
        <f t="shared" si="42"/>
        <v/>
      </c>
      <c r="J218" s="120" t="str">
        <f t="shared" si="42"/>
        <v/>
      </c>
      <c r="K218" s="120" t="str">
        <f t="shared" si="42"/>
        <v/>
      </c>
      <c r="L218" s="120" t="str">
        <f t="shared" si="42"/>
        <v/>
      </c>
      <c r="M218" s="120" t="str">
        <f t="shared" si="42"/>
        <v/>
      </c>
      <c r="N218" s="120" t="str">
        <f t="shared" si="42"/>
        <v/>
      </c>
      <c r="O218" s="120" t="str">
        <f t="shared" si="42"/>
        <v/>
      </c>
      <c r="P218" s="120" t="str">
        <f t="shared" si="42"/>
        <v/>
      </c>
      <c r="Q218" s="120" t="str">
        <f t="shared" si="42"/>
        <v/>
      </c>
      <c r="R218" s="120" t="str">
        <f t="shared" si="42"/>
        <v/>
      </c>
      <c r="S218" s="120" t="str">
        <f t="shared" si="42"/>
        <v/>
      </c>
      <c r="T218" s="120" t="str">
        <f t="shared" si="42"/>
        <v/>
      </c>
      <c r="U218" s="120" t="str">
        <f t="shared" si="42"/>
        <v/>
      </c>
      <c r="V218" s="120" t="str">
        <f t="shared" si="42"/>
        <v/>
      </c>
      <c r="W218" s="120" t="str">
        <f t="shared" si="42"/>
        <v/>
      </c>
      <c r="X218" s="120" t="str">
        <f t="shared" si="42"/>
        <v/>
      </c>
      <c r="Y218" s="120" t="str">
        <f t="shared" si="42"/>
        <v/>
      </c>
      <c r="Z218" s="120" t="str">
        <f t="shared" si="42"/>
        <v/>
      </c>
      <c r="AA218" s="120" t="str">
        <f t="shared" si="42"/>
        <v/>
      </c>
      <c r="AB218" s="120" t="str">
        <f t="shared" si="42"/>
        <v/>
      </c>
      <c r="AC218" s="120" t="str">
        <f t="shared" si="42"/>
        <v/>
      </c>
      <c r="AD218" s="120" t="str">
        <f t="shared" si="42"/>
        <v/>
      </c>
      <c r="AE218" s="120" t="str">
        <f t="shared" si="42"/>
        <v/>
      </c>
      <c r="AF218" s="120" t="str">
        <f t="shared" si="42"/>
        <v/>
      </c>
      <c r="AG218" s="46"/>
      <c r="AH218" s="46"/>
    </row>
    <row r="219" spans="1:34" x14ac:dyDescent="0.25"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</row>
    <row r="220" spans="1:34" x14ac:dyDescent="0.25"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</row>
    <row r="221" spans="1:34" x14ac:dyDescent="0.25"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</row>
    <row r="222" spans="1:34" x14ac:dyDescent="0.25"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</row>
    <row r="223" spans="1:34" x14ac:dyDescent="0.25"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</row>
    <row r="224" spans="1:34" x14ac:dyDescent="0.25"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</row>
    <row r="225" spans="2:32" x14ac:dyDescent="0.25"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0" priority="129">
      <formula>S$9&gt;=20/24</formula>
    </cfRule>
    <cfRule type="expression" dxfId="189" priority="130">
      <formula>AND(S$9&gt;=14/24,S$9&lt;20/24)</formula>
    </cfRule>
    <cfRule type="expression" dxfId="188" priority="131">
      <formula>AND(S$9&gt;=8/24,S$9&lt;14/24)</formula>
    </cfRule>
    <cfRule type="expression" dxfId="187" priority="132">
      <formula>S$9&lt;8/24</formula>
    </cfRule>
  </conditionalFormatting>
  <conditionalFormatting sqref="B8:AF10 AA70:AF70 B70:Q70 L32:Z33 L31:Q31 B47:AF47 B71:AF71 B48:K52 B72:Q72 C173:AF179 M36 N35:Q36 L29:Q29 M37:Q39 L34:Q34 L51:Q58 L49:T50 V35:W35 S34:W34 X34:Z35 B73:Z79 AA72:AF79 L44:AF46 AA48:AF51 B53:B58 R11:T11 B59:AF69 U11:Z12">
    <cfRule type="expression" dxfId="186" priority="125">
      <formula>B$9&gt;=20/24</formula>
    </cfRule>
    <cfRule type="expression" dxfId="185" priority="126">
      <formula>AND(B$9&gt;=14/24,B$9&lt;20/24)</formula>
    </cfRule>
    <cfRule type="expression" dxfId="184" priority="127">
      <formula>AND(B$9&gt;=8/24,B$9&lt;14/24)</formula>
    </cfRule>
    <cfRule type="expression" dxfId="183" priority="128">
      <formula>B$9&lt;8/24</formula>
    </cfRule>
  </conditionalFormatting>
  <conditionalFormatting sqref="B171:AF171">
    <cfRule type="expression" dxfId="182" priority="121">
      <formula>B$9&gt;=20/24</formula>
    </cfRule>
    <cfRule type="expression" dxfId="181" priority="122">
      <formula>AND(B$9&gt;=14/24,B$9&lt;20/24)</formula>
    </cfRule>
    <cfRule type="expression" dxfId="180" priority="123">
      <formula>AND(B$9&gt;=8/24,B$9&lt;14/24)</formula>
    </cfRule>
    <cfRule type="expression" dxfId="179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78" priority="116">
      <formula>L$9&gt;=20/24</formula>
    </cfRule>
    <cfRule type="expression" dxfId="177" priority="117">
      <formula>AND(L$9&gt;=14/24,L$9&lt;20/24)</formula>
    </cfRule>
    <cfRule type="expression" dxfId="176" priority="118">
      <formula>AND(L$9&gt;=8/24,L$9&lt;14/24)</formula>
    </cfRule>
    <cfRule type="expression" dxfId="175" priority="119">
      <formula>L$9&lt;8/24</formula>
    </cfRule>
  </conditionalFormatting>
  <conditionalFormatting sqref="L35:M35">
    <cfRule type="expression" dxfId="174" priority="112">
      <formula>L$9&gt;=20/24</formula>
    </cfRule>
    <cfRule type="expression" dxfId="173" priority="113">
      <formula>AND(L$9&gt;=14/24,L$9&lt;20/24)</formula>
    </cfRule>
    <cfRule type="expression" dxfId="172" priority="114">
      <formula>AND(L$9&gt;=8/24,L$9&lt;14/24)</formula>
    </cfRule>
    <cfRule type="expression" dxfId="171" priority="115">
      <formula>L$9&lt;8/24</formula>
    </cfRule>
  </conditionalFormatting>
  <conditionalFormatting sqref="U13:Z13">
    <cfRule type="expression" dxfId="170" priority="108">
      <formula>U$9&gt;=20/24</formula>
    </cfRule>
    <cfRule type="expression" dxfId="169" priority="109">
      <formula>AND(U$9&gt;=14/24,U$9&lt;20/24)</formula>
    </cfRule>
    <cfRule type="expression" dxfId="168" priority="110">
      <formula>AND(U$9&gt;=8/24,U$9&lt;14/24)</formula>
    </cfRule>
    <cfRule type="expression" dxfId="167" priority="111">
      <formula>U$9&lt;8/24</formula>
    </cfRule>
  </conditionalFormatting>
  <conditionalFormatting sqref="R31:Z31">
    <cfRule type="expression" dxfId="166" priority="104">
      <formula>R$9&gt;=20/24</formula>
    </cfRule>
    <cfRule type="expression" dxfId="165" priority="105">
      <formula>AND(R$9&gt;=14/24,R$9&lt;20/24)</formula>
    </cfRule>
    <cfRule type="expression" dxfId="164" priority="106">
      <formula>AND(R$9&gt;=8/24,R$9&lt;14/24)</formula>
    </cfRule>
    <cfRule type="expression" dxfId="163" priority="107">
      <formula>R$9&lt;8/24</formula>
    </cfRule>
  </conditionalFormatting>
  <conditionalFormatting sqref="R48:Z48">
    <cfRule type="expression" dxfId="162" priority="100">
      <formula>R$9&gt;=20/24</formula>
    </cfRule>
    <cfRule type="expression" dxfId="161" priority="101">
      <formula>AND(R$9&gt;=14/24,R$9&lt;20/24)</formula>
    </cfRule>
    <cfRule type="expression" dxfId="160" priority="102">
      <formula>AND(R$9&gt;=8/24,R$9&lt;14/24)</formula>
    </cfRule>
    <cfRule type="expression" dxfId="159" priority="103">
      <formula>R$9&lt;8/24</formula>
    </cfRule>
  </conditionalFormatting>
  <conditionalFormatting sqref="R70:Z70">
    <cfRule type="expression" dxfId="158" priority="96">
      <formula>R$9&gt;=20/24</formula>
    </cfRule>
    <cfRule type="expression" dxfId="157" priority="97">
      <formula>AND(R$9&gt;=14/24,R$9&lt;20/24)</formula>
    </cfRule>
    <cfRule type="expression" dxfId="156" priority="98">
      <formula>AND(R$9&gt;=8/24,R$9&lt;14/24)</formula>
    </cfRule>
    <cfRule type="expression" dxfId="155" priority="99">
      <formula>R$9&lt;8/24</formula>
    </cfRule>
  </conditionalFormatting>
  <conditionalFormatting sqref="R72:Z72">
    <cfRule type="expression" dxfId="154" priority="92">
      <formula>R$9&gt;=20/24</formula>
    </cfRule>
    <cfRule type="expression" dxfId="153" priority="93">
      <formula>AND(R$9&gt;=14/24,R$9&lt;20/24)</formula>
    </cfRule>
    <cfRule type="expression" dxfId="152" priority="94">
      <formula>AND(R$9&gt;=8/24,R$9&lt;14/24)</formula>
    </cfRule>
    <cfRule type="expression" dxfId="151" priority="95">
      <formula>R$9&lt;8/24</formula>
    </cfRule>
  </conditionalFormatting>
  <conditionalFormatting sqref="L11:Q27 R22:T26">
    <cfRule type="expression" dxfId="150" priority="88">
      <formula>L$9&gt;=20/24</formula>
    </cfRule>
    <cfRule type="expression" dxfId="149" priority="89">
      <formula>AND(L$9&gt;=14/24,L$9&lt;20/24)</formula>
    </cfRule>
    <cfRule type="expression" dxfId="148" priority="90">
      <formula>AND(L$9&gt;=8/24,L$9&lt;14/24)</formula>
    </cfRule>
    <cfRule type="expression" dxfId="147" priority="91">
      <formula>L$9&lt;8/24</formula>
    </cfRule>
  </conditionalFormatting>
  <conditionalFormatting sqref="L40:Q40">
    <cfRule type="expression" dxfId="146" priority="84">
      <formula>L$9&gt;=20/24</formula>
    </cfRule>
    <cfRule type="expression" dxfId="145" priority="85">
      <formula>AND(L$9&gt;=14/24,L$9&lt;20/24)</formula>
    </cfRule>
    <cfRule type="expression" dxfId="144" priority="86">
      <formula>AND(L$9&gt;=8/24,L$9&lt;14/24)</formula>
    </cfRule>
    <cfRule type="expression" dxfId="143" priority="87">
      <formula>L$9&lt;8/24</formula>
    </cfRule>
  </conditionalFormatting>
  <conditionalFormatting sqref="L41:Q41">
    <cfRule type="expression" dxfId="142" priority="80">
      <formula>L$9&gt;=20/24</formula>
    </cfRule>
    <cfRule type="expression" dxfId="141" priority="81">
      <formula>AND(L$9&gt;=14/24,L$9&lt;20/24)</formula>
    </cfRule>
    <cfRule type="expression" dxfId="140" priority="82">
      <formula>AND(L$9&gt;=8/24,L$9&lt;14/24)</formula>
    </cfRule>
    <cfRule type="expression" dxfId="139" priority="83">
      <formula>L$9&lt;8/24</formula>
    </cfRule>
  </conditionalFormatting>
  <conditionalFormatting sqref="L36:L39">
    <cfRule type="expression" dxfId="138" priority="76">
      <formula>L$9&gt;=20/24</formula>
    </cfRule>
    <cfRule type="expression" dxfId="137" priority="77">
      <formula>AND(L$9&gt;=14/24,L$9&lt;20/24)</formula>
    </cfRule>
    <cfRule type="expression" dxfId="136" priority="78">
      <formula>AND(L$9&gt;=8/24,L$9&lt;14/24)</formula>
    </cfRule>
    <cfRule type="expression" dxfId="135" priority="79">
      <formula>L$9&lt;8/24</formula>
    </cfRule>
  </conditionalFormatting>
  <conditionalFormatting sqref="R29:AD29">
    <cfRule type="expression" dxfId="134" priority="72">
      <formula>R$9&gt;=20/24</formula>
    </cfRule>
    <cfRule type="expression" dxfId="133" priority="73">
      <formula>AND(R$9&gt;=14/24,R$9&lt;20/24)</formula>
    </cfRule>
    <cfRule type="expression" dxfId="132" priority="74">
      <formula>AND(R$9&gt;=8/24,R$9&lt;14/24)</formula>
    </cfRule>
    <cfRule type="expression" dxfId="131" priority="75">
      <formula>R$9&lt;8/24</formula>
    </cfRule>
  </conditionalFormatting>
  <conditionalFormatting sqref="R12:T27 U14:Z27 AA16:AF27">
    <cfRule type="expression" dxfId="130" priority="68">
      <formula>R$9&gt;=20/24</formula>
    </cfRule>
    <cfRule type="expression" dxfId="129" priority="69">
      <formula>AND(R$9&gt;=14/24,R$9&lt;20/24)</formula>
    </cfRule>
    <cfRule type="expression" dxfId="128" priority="70">
      <formula>AND(R$9&gt;=8/24,R$9&lt;14/24)</formula>
    </cfRule>
    <cfRule type="expression" dxfId="127" priority="71">
      <formula>R$9&lt;8/24</formula>
    </cfRule>
  </conditionalFormatting>
  <conditionalFormatting sqref="R34:R39 S35:U39 V36:Z39">
    <cfRule type="expression" dxfId="126" priority="64">
      <formula>R$9&gt;=20/24</formula>
    </cfRule>
    <cfRule type="expression" dxfId="125" priority="65">
      <formula>AND(R$9&gt;=14/24,R$9&lt;20/24)</formula>
    </cfRule>
    <cfRule type="expression" dxfId="124" priority="66">
      <formula>AND(R$9&gt;=8/24,R$9&lt;14/24)</formula>
    </cfRule>
    <cfRule type="expression" dxfId="123" priority="67">
      <formula>R$9&lt;8/24</formula>
    </cfRule>
  </conditionalFormatting>
  <conditionalFormatting sqref="R40:Z40">
    <cfRule type="expression" dxfId="122" priority="60">
      <formula>R$9&gt;=20/24</formula>
    </cfRule>
    <cfRule type="expression" dxfId="121" priority="61">
      <formula>AND(R$9&gt;=14/24,R$9&lt;20/24)</formula>
    </cfRule>
    <cfRule type="expression" dxfId="120" priority="62">
      <formula>AND(R$9&gt;=8/24,R$9&lt;14/24)</formula>
    </cfRule>
    <cfRule type="expression" dxfId="119" priority="63">
      <formula>R$9&lt;8/24</formula>
    </cfRule>
  </conditionalFormatting>
  <conditionalFormatting sqref="R41:Z41">
    <cfRule type="expression" dxfId="118" priority="56">
      <formula>R$9&gt;=20/24</formula>
    </cfRule>
    <cfRule type="expression" dxfId="117" priority="57">
      <formula>AND(R$9&gt;=14/24,R$9&lt;20/24)</formula>
    </cfRule>
    <cfRule type="expression" dxfId="116" priority="58">
      <formula>AND(R$9&gt;=8/24,R$9&lt;14/24)</formula>
    </cfRule>
    <cfRule type="expression" dxfId="115" priority="59">
      <formula>R$9&lt;8/24</formula>
    </cfRule>
  </conditionalFormatting>
  <conditionalFormatting sqref="R51:Z58 AA52:AF58">
    <cfRule type="expression" dxfId="114" priority="52">
      <formula>R$9&gt;=20/24</formula>
    </cfRule>
    <cfRule type="expression" dxfId="113" priority="53">
      <formula>AND(R$9&gt;=14/24,R$9&lt;20/24)</formula>
    </cfRule>
    <cfRule type="expression" dxfId="112" priority="54">
      <formula>AND(R$9&gt;=8/24,R$9&lt;14/24)</formula>
    </cfRule>
    <cfRule type="expression" dxfId="111" priority="55">
      <formula>R$9&lt;8/24</formula>
    </cfRule>
  </conditionalFormatting>
  <conditionalFormatting sqref="AA83:AF86">
    <cfRule type="expression" dxfId="110" priority="48">
      <formula>AA$9&gt;=20/24</formula>
    </cfRule>
    <cfRule type="expression" dxfId="109" priority="49">
      <formula>AND(AA$9&gt;=14/24,AA$9&lt;20/24)</formula>
    </cfRule>
    <cfRule type="expression" dxfId="108" priority="50">
      <formula>AND(AA$9&gt;=8/24,AA$9&lt;14/24)</formula>
    </cfRule>
    <cfRule type="expression" dxfId="107" priority="51">
      <formula>AA$9&lt;8/24</formula>
    </cfRule>
  </conditionalFormatting>
  <conditionalFormatting sqref="C53:K58">
    <cfRule type="expression" dxfId="106" priority="44">
      <formula>C$9&gt;=20/24</formula>
    </cfRule>
    <cfRule type="expression" dxfId="105" priority="45">
      <formula>AND(C$9&gt;=14/24,C$9&lt;20/24)</formula>
    </cfRule>
    <cfRule type="expression" dxfId="104" priority="46">
      <formula>AND(C$9&gt;=8/24,C$9&lt;14/24)</formula>
    </cfRule>
    <cfRule type="expression" dxfId="103" priority="47">
      <formula>C$9&lt;8/24</formula>
    </cfRule>
  </conditionalFormatting>
  <conditionalFormatting sqref="B83:K86">
    <cfRule type="expression" dxfId="102" priority="40">
      <formula>B$9&gt;=20/24</formula>
    </cfRule>
    <cfRule type="expression" dxfId="101" priority="41">
      <formula>AND(B$9&gt;=14/24,B$9&lt;20/24)</formula>
    </cfRule>
    <cfRule type="expression" dxfId="100" priority="42">
      <formula>AND(B$9&gt;=8/24,B$9&lt;14/24)</formula>
    </cfRule>
    <cfRule type="expression" dxfId="99" priority="43">
      <formula>B$9&lt;8/24</formula>
    </cfRule>
  </conditionalFormatting>
  <conditionalFormatting sqref="L83:Q86">
    <cfRule type="expression" dxfId="98" priority="36">
      <formula>L$9&gt;=20/24</formula>
    </cfRule>
    <cfRule type="expression" dxfId="97" priority="37">
      <formula>AND(L$9&gt;=14/24,L$9&lt;20/24)</formula>
    </cfRule>
    <cfRule type="expression" dxfId="96" priority="38">
      <formula>AND(L$9&gt;=8/24,L$9&lt;14/24)</formula>
    </cfRule>
    <cfRule type="expression" dxfId="95" priority="39">
      <formula>L$9&lt;8/24</formula>
    </cfRule>
  </conditionalFormatting>
  <conditionalFormatting sqref="R83:Z86">
    <cfRule type="expression" dxfId="94" priority="32">
      <formula>R$9&gt;=20/24</formula>
    </cfRule>
    <cfRule type="expression" dxfId="93" priority="33">
      <formula>AND(R$9&gt;=14/24,R$9&lt;20/24)</formula>
    </cfRule>
    <cfRule type="expression" dxfId="92" priority="34">
      <formula>AND(R$9&gt;=8/24,R$9&lt;14/24)</formula>
    </cfRule>
    <cfRule type="expression" dxfId="91" priority="35">
      <formula>R$9&lt;8/24</formula>
    </cfRule>
  </conditionalFormatting>
  <conditionalFormatting sqref="AG42 B11:AF47">
    <cfRule type="expression" dxfId="90" priority="31">
      <formula>B11&gt;$AG11</formula>
    </cfRule>
  </conditionalFormatting>
  <conditionalFormatting sqref="T192:AX192">
    <cfRule type="expression" dxfId="89" priority="27">
      <formula>T$9&gt;=20/24</formula>
    </cfRule>
    <cfRule type="expression" dxfId="88" priority="28">
      <formula>AND(T$9&gt;=14/24,T$9&lt;20/24)</formula>
    </cfRule>
    <cfRule type="expression" dxfId="87" priority="29">
      <formula>AND(T$9&gt;=8/24,T$9&lt;14/24)</formula>
    </cfRule>
    <cfRule type="expression" dxfId="86" priority="30">
      <formula>T$9&lt;8/24</formula>
    </cfRule>
  </conditionalFormatting>
  <conditionalFormatting sqref="A11:A86 A88:A180">
    <cfRule type="expression" dxfId="85" priority="26">
      <formula>$AH11=0</formula>
    </cfRule>
  </conditionalFormatting>
  <conditionalFormatting sqref="AA87:AF87">
    <cfRule type="expression" dxfId="84" priority="22">
      <formula>AA$9&gt;=20/24</formula>
    </cfRule>
    <cfRule type="expression" dxfId="83" priority="23">
      <formula>AND(AA$9&gt;=14/24,AA$9&lt;20/24)</formula>
    </cfRule>
    <cfRule type="expression" dxfId="82" priority="24">
      <formula>AND(AA$9&gt;=8/24,AA$9&lt;14/24)</formula>
    </cfRule>
    <cfRule type="expression" dxfId="81" priority="25">
      <formula>AA$9&lt;8/24</formula>
    </cfRule>
  </conditionalFormatting>
  <conditionalFormatting sqref="B87:K87">
    <cfRule type="expression" dxfId="80" priority="18">
      <formula>B$9&gt;=20/24</formula>
    </cfRule>
    <cfRule type="expression" dxfId="79" priority="19">
      <formula>AND(B$9&gt;=14/24,B$9&lt;20/24)</formula>
    </cfRule>
    <cfRule type="expression" dxfId="78" priority="20">
      <formula>AND(B$9&gt;=8/24,B$9&lt;14/24)</formula>
    </cfRule>
    <cfRule type="expression" dxfId="77" priority="21">
      <formula>B$9&lt;8/24</formula>
    </cfRule>
  </conditionalFormatting>
  <conditionalFormatting sqref="L87:Q87">
    <cfRule type="expression" dxfId="76" priority="14">
      <formula>L$9&gt;=20/24</formula>
    </cfRule>
    <cfRule type="expression" dxfId="75" priority="15">
      <formula>AND(L$9&gt;=14/24,L$9&lt;20/24)</formula>
    </cfRule>
    <cfRule type="expression" dxfId="74" priority="16">
      <formula>AND(L$9&gt;=8/24,L$9&lt;14/24)</formula>
    </cfRule>
    <cfRule type="expression" dxfId="73" priority="17">
      <formula>L$9&lt;8/24</formula>
    </cfRule>
  </conditionalFormatting>
  <conditionalFormatting sqref="R87:Z87">
    <cfRule type="expression" dxfId="72" priority="10">
      <formula>R$9&gt;=20/24</formula>
    </cfRule>
    <cfRule type="expression" dxfId="71" priority="11">
      <formula>AND(R$9&gt;=14/24,R$9&lt;20/24)</formula>
    </cfRule>
    <cfRule type="expression" dxfId="70" priority="12">
      <formula>AND(R$9&gt;=8/24,R$9&lt;14/24)</formula>
    </cfRule>
    <cfRule type="expression" dxfId="69" priority="13">
      <formula>R$9&lt;8/24</formula>
    </cfRule>
  </conditionalFormatting>
  <conditionalFormatting sqref="A87">
    <cfRule type="expression" dxfId="68" priority="9">
      <formula>$AH87=0</formula>
    </cfRule>
  </conditionalFormatting>
  <conditionalFormatting sqref="B28:AF28">
    <cfRule type="expression" dxfId="67" priority="5">
      <formula>B$9&gt;=20/24</formula>
    </cfRule>
    <cfRule type="expression" dxfId="66" priority="6">
      <formula>AND(B$9&gt;=14/24,B$9&lt;20/24)</formula>
    </cfRule>
    <cfRule type="expression" dxfId="65" priority="7">
      <formula>AND(B$9&gt;=8/24,B$9&lt;14/24)</formula>
    </cfRule>
    <cfRule type="expression" dxfId="64" priority="8">
      <formula>B$9&lt;8/24</formula>
    </cfRule>
  </conditionalFormatting>
  <conditionalFormatting sqref="R28:AA28">
    <cfRule type="expression" dxfId="63" priority="1">
      <formula>R$9&gt;=20/24</formula>
    </cfRule>
    <cfRule type="expression" dxfId="62" priority="2">
      <formula>AND(R$9&gt;=14/24,R$9&lt;20/24)</formula>
    </cfRule>
    <cfRule type="expression" dxfId="61" priority="3">
      <formula>AND(R$9&gt;=8/24,R$9&lt;14/24)</formula>
    </cfRule>
    <cfRule type="expression" dxfId="60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opLeftCell="B1" workbookViewId="0">
      <selection activeCell="L16" sqref="L16"/>
    </sheetView>
  </sheetViews>
  <sheetFormatPr defaultRowHeight="15" x14ac:dyDescent="0.25"/>
  <cols>
    <col min="2" max="2" width="10.140625" customWidth="1"/>
    <col min="3" max="3" width="13.7109375" bestFit="1" customWidth="1"/>
    <col min="4" max="4" width="10.85546875" customWidth="1"/>
    <col min="5" max="5" width="13.28515625" bestFit="1" customWidth="1"/>
    <col min="6" max="6" width="8" bestFit="1" customWidth="1"/>
    <col min="9" max="9" width="30" bestFit="1" customWidth="1"/>
    <col min="10" max="10" width="13" customWidth="1"/>
    <col min="11" max="11" width="26.5703125" customWidth="1"/>
  </cols>
  <sheetData>
    <row r="1" spans="1:15" x14ac:dyDescent="0.25">
      <c r="A1" t="s">
        <v>198</v>
      </c>
      <c r="B1" s="55" t="s">
        <v>38</v>
      </c>
      <c r="C1" s="58" t="s">
        <v>39</v>
      </c>
      <c r="D1" s="58" t="s">
        <v>40</v>
      </c>
      <c r="E1" s="58" t="s">
        <v>41</v>
      </c>
      <c r="F1" s="58" t="s">
        <v>42</v>
      </c>
      <c r="G1" s="184" t="s">
        <v>201</v>
      </c>
    </row>
    <row r="8" spans="1:15" x14ac:dyDescent="0.25">
      <c r="O8">
        <v>21.2</v>
      </c>
    </row>
    <row r="9" spans="1:15" x14ac:dyDescent="0.25">
      <c r="O9">
        <v>18</v>
      </c>
    </row>
    <row r="10" spans="1:15" x14ac:dyDescent="0.25">
      <c r="O10">
        <v>18</v>
      </c>
    </row>
    <row r="11" spans="1:15" x14ac:dyDescent="0.25">
      <c r="O11">
        <v>62.2</v>
      </c>
    </row>
    <row r="12" spans="1:15" x14ac:dyDescent="0.25">
      <c r="O12">
        <v>10.4</v>
      </c>
    </row>
    <row r="13" spans="1:15" x14ac:dyDescent="0.25">
      <c r="O13">
        <v>10.7</v>
      </c>
    </row>
    <row r="15" spans="1:15" x14ac:dyDescent="0.25">
      <c r="O15">
        <f>O11+O12+O13-O8-O9-O10</f>
        <v>26.100000000000009</v>
      </c>
    </row>
    <row r="16" spans="1:15" ht="15.75" thickBot="1" x14ac:dyDescent="0.3"/>
    <row r="17" spans="9:14" ht="15.75" customHeight="1" thickTop="1" thickBot="1" x14ac:dyDescent="0.3">
      <c r="I17" s="232" t="s">
        <v>209</v>
      </c>
      <c r="K17" s="55" t="s">
        <v>55</v>
      </c>
    </row>
    <row r="18" spans="9:14" x14ac:dyDescent="0.25">
      <c r="I18" s="47" t="s">
        <v>18</v>
      </c>
      <c r="K18" s="58" t="s">
        <v>56</v>
      </c>
    </row>
    <row r="19" spans="9:14" x14ac:dyDescent="0.25">
      <c r="I19" s="55" t="s">
        <v>19</v>
      </c>
      <c r="K19" s="58" t="s">
        <v>57</v>
      </c>
    </row>
    <row r="20" spans="9:14" x14ac:dyDescent="0.25">
      <c r="I20" s="58" t="s">
        <v>20</v>
      </c>
      <c r="K20" s="58" t="s">
        <v>58</v>
      </c>
    </row>
    <row r="21" spans="9:14" x14ac:dyDescent="0.25">
      <c r="I21" s="58" t="s">
        <v>21</v>
      </c>
      <c r="K21" s="58" t="s">
        <v>59</v>
      </c>
    </row>
    <row r="22" spans="9:14" x14ac:dyDescent="0.25">
      <c r="I22" s="58" t="s">
        <v>22</v>
      </c>
      <c r="K22" s="58" t="s">
        <v>60</v>
      </c>
    </row>
    <row r="23" spans="9:14" x14ac:dyDescent="0.25">
      <c r="I23" s="58" t="s">
        <v>23</v>
      </c>
      <c r="K23" s="58" t="s">
        <v>61</v>
      </c>
    </row>
    <row r="24" spans="9:14" x14ac:dyDescent="0.25">
      <c r="I24" s="58" t="s">
        <v>24</v>
      </c>
      <c r="K24" s="58" t="s">
        <v>62</v>
      </c>
    </row>
    <row r="25" spans="9:14" x14ac:dyDescent="0.25">
      <c r="I25" s="58" t="s">
        <v>25</v>
      </c>
      <c r="K25" s="58" t="s">
        <v>63</v>
      </c>
    </row>
    <row r="26" spans="9:14" x14ac:dyDescent="0.25">
      <c r="I26" s="58" t="s">
        <v>26</v>
      </c>
      <c r="K26" s="84" t="s">
        <v>64</v>
      </c>
    </row>
    <row r="27" spans="9:14" ht="15.75" thickBot="1" x14ac:dyDescent="0.3">
      <c r="I27" s="58" t="s">
        <v>27</v>
      </c>
      <c r="K27" s="84" t="s">
        <v>65</v>
      </c>
    </row>
    <row r="28" spans="9:14" ht="15.75" thickBot="1" x14ac:dyDescent="0.3">
      <c r="I28" s="58" t="s">
        <v>28</v>
      </c>
      <c r="K28" s="68" t="s">
        <v>66</v>
      </c>
    </row>
    <row r="29" spans="9:14" x14ac:dyDescent="0.25">
      <c r="I29" s="58" t="s">
        <v>29</v>
      </c>
      <c r="K29" s="55" t="s">
        <v>67</v>
      </c>
    </row>
    <row r="30" spans="9:14" x14ac:dyDescent="0.25">
      <c r="I30" s="58" t="s">
        <v>30</v>
      </c>
      <c r="K30" s="58" t="s">
        <v>68</v>
      </c>
      <c r="N30" s="31"/>
    </row>
    <row r="31" spans="9:14" ht="15.75" thickBot="1" x14ac:dyDescent="0.3">
      <c r="I31" s="58" t="s">
        <v>31</v>
      </c>
      <c r="K31" s="84" t="s">
        <v>69</v>
      </c>
    </row>
    <row r="32" spans="9:14" ht="15.75" thickBot="1" x14ac:dyDescent="0.3">
      <c r="I32" s="58" t="s">
        <v>32</v>
      </c>
      <c r="K32" s="68" t="s">
        <v>70</v>
      </c>
    </row>
    <row r="33" spans="9:11" ht="15.75" thickBot="1" x14ac:dyDescent="0.3">
      <c r="I33" s="58" t="s">
        <v>33</v>
      </c>
      <c r="K33" s="88" t="s">
        <v>71</v>
      </c>
    </row>
    <row r="34" spans="9:11" ht="15.75" thickBot="1" x14ac:dyDescent="0.3">
      <c r="I34" s="58" t="s">
        <v>34</v>
      </c>
      <c r="K34" s="90" t="s">
        <v>72</v>
      </c>
    </row>
    <row r="35" spans="9:11" x14ac:dyDescent="0.25">
      <c r="I35" s="65" t="s">
        <v>35</v>
      </c>
      <c r="K35" s="55" t="s">
        <v>73</v>
      </c>
    </row>
    <row r="36" spans="9:11" ht="15.75" thickBot="1" x14ac:dyDescent="0.3">
      <c r="I36" s="66" t="s">
        <v>36</v>
      </c>
      <c r="K36" s="58" t="s">
        <v>74</v>
      </c>
    </row>
    <row r="37" spans="9:11" ht="15.75" thickBot="1" x14ac:dyDescent="0.3">
      <c r="I37" s="68" t="s">
        <v>37</v>
      </c>
      <c r="K37" s="84" t="s">
        <v>75</v>
      </c>
    </row>
    <row r="38" spans="9:11" x14ac:dyDescent="0.25">
      <c r="I38" s="55" t="s">
        <v>38</v>
      </c>
      <c r="K38" s="84" t="s">
        <v>76</v>
      </c>
    </row>
    <row r="39" spans="9:11" ht="15.75" thickBot="1" x14ac:dyDescent="0.3">
      <c r="I39" s="58" t="s">
        <v>39</v>
      </c>
      <c r="K39" s="84" t="s">
        <v>77</v>
      </c>
    </row>
    <row r="40" spans="9:11" ht="15.75" thickBot="1" x14ac:dyDescent="0.3">
      <c r="I40" s="58" t="s">
        <v>40</v>
      </c>
      <c r="K40" s="90" t="s">
        <v>78</v>
      </c>
    </row>
    <row r="41" spans="9:11" x14ac:dyDescent="0.25">
      <c r="I41" s="58" t="s">
        <v>41</v>
      </c>
      <c r="K41" s="93" t="s">
        <v>79</v>
      </c>
    </row>
    <row r="42" spans="9:11" x14ac:dyDescent="0.25">
      <c r="I42" s="58" t="s">
        <v>42</v>
      </c>
      <c r="K42" s="98" t="s">
        <v>80</v>
      </c>
    </row>
    <row r="43" spans="9:11" x14ac:dyDescent="0.25">
      <c r="I43" s="58" t="s">
        <v>43</v>
      </c>
      <c r="K43" s="98" t="s">
        <v>81</v>
      </c>
    </row>
    <row r="44" spans="9:11" x14ac:dyDescent="0.25">
      <c r="I44" s="58" t="s">
        <v>44</v>
      </c>
      <c r="K44" s="98" t="s">
        <v>82</v>
      </c>
    </row>
    <row r="45" spans="9:11" x14ac:dyDescent="0.25">
      <c r="I45" s="58" t="s">
        <v>45</v>
      </c>
      <c r="K45" s="102" t="s">
        <v>83</v>
      </c>
    </row>
    <row r="46" spans="9:11" x14ac:dyDescent="0.25">
      <c r="I46" s="72" t="s">
        <v>46</v>
      </c>
      <c r="K46" s="102" t="s">
        <v>84</v>
      </c>
    </row>
    <row r="47" spans="9:11" x14ac:dyDescent="0.25">
      <c r="I47" s="58" t="s">
        <v>47</v>
      </c>
      <c r="K47" s="98" t="s">
        <v>85</v>
      </c>
    </row>
    <row r="48" spans="9:11" x14ac:dyDescent="0.25">
      <c r="I48" s="58" t="s">
        <v>48</v>
      </c>
      <c r="K48" s="98" t="s">
        <v>86</v>
      </c>
    </row>
    <row r="49" spans="9:11" ht="15.75" thickBot="1" x14ac:dyDescent="0.3">
      <c r="I49" s="65" t="s">
        <v>49</v>
      </c>
      <c r="K49" s="109" t="s">
        <v>87</v>
      </c>
    </row>
    <row r="50" spans="9:11" ht="15.75" thickBot="1" x14ac:dyDescent="0.3">
      <c r="I50" s="68" t="s">
        <v>50</v>
      </c>
      <c r="K50" s="112"/>
    </row>
    <row r="51" spans="9:11" ht="15.75" thickBot="1" x14ac:dyDescent="0.3">
      <c r="I51" s="55" t="s">
        <v>51</v>
      </c>
      <c r="K51" s="114" t="s">
        <v>88</v>
      </c>
    </row>
    <row r="52" spans="9:11" x14ac:dyDescent="0.25">
      <c r="I52" s="58" t="s">
        <v>52</v>
      </c>
      <c r="K52" s="117" t="s">
        <v>89</v>
      </c>
    </row>
    <row r="53" spans="9:11" ht="15.75" thickBot="1" x14ac:dyDescent="0.3">
      <c r="I53" s="72" t="s">
        <v>53</v>
      </c>
      <c r="K53" s="122" t="s">
        <v>90</v>
      </c>
    </row>
    <row r="54" spans="9:11" ht="15.75" thickBot="1" x14ac:dyDescent="0.3">
      <c r="I54" s="68" t="s">
        <v>54</v>
      </c>
      <c r="K54" s="122" t="s">
        <v>91</v>
      </c>
    </row>
    <row r="55" spans="9:11" x14ac:dyDescent="0.25">
      <c r="K55" s="124" t="s">
        <v>92</v>
      </c>
    </row>
    <row r="56" spans="9:11" x14ac:dyDescent="0.25">
      <c r="K56" s="124" t="s">
        <v>93</v>
      </c>
    </row>
  </sheetData>
  <conditionalFormatting sqref="B1:G1">
    <cfRule type="expression" dxfId="59" priority="5">
      <formula>$AI1=0</formula>
    </cfRule>
  </conditionalFormatting>
  <conditionalFormatting sqref="K17:K56">
    <cfRule type="expression" dxfId="58" priority="1">
      <formula>$AH55=0</formula>
    </cfRule>
  </conditionalFormatting>
  <conditionalFormatting sqref="I18:I54">
    <cfRule type="expression" dxfId="57" priority="2">
      <formula>$AH18=0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4"/>
  <sheetViews>
    <sheetView workbookViewId="0">
      <selection activeCell="I5" sqref="I5"/>
    </sheetView>
  </sheetViews>
  <sheetFormatPr defaultRowHeight="15" x14ac:dyDescent="0.25"/>
  <cols>
    <col min="1" max="1" width="13.7109375" customWidth="1"/>
  </cols>
  <sheetData>
    <row r="1" spans="1:17" ht="16.5" thickTop="1" thickBot="1" x14ac:dyDescent="0.3">
      <c r="A1" s="41"/>
      <c r="B1" s="325" t="s">
        <v>13</v>
      </c>
      <c r="C1" s="326"/>
      <c r="D1" s="326"/>
      <c r="E1" s="326"/>
      <c r="F1" s="326"/>
      <c r="G1" s="326"/>
      <c r="H1" s="326"/>
      <c r="I1" s="326"/>
      <c r="J1" s="326"/>
      <c r="K1" s="327"/>
      <c r="L1" s="328" t="s">
        <v>14</v>
      </c>
      <c r="M1" s="329"/>
      <c r="N1" s="329"/>
      <c r="O1" s="329"/>
      <c r="P1" s="329"/>
      <c r="Q1" s="329"/>
    </row>
    <row r="2" spans="1:17" ht="15.75" customHeight="1" thickTop="1" x14ac:dyDescent="0.25">
      <c r="A2" s="320" t="s">
        <v>207</v>
      </c>
      <c r="B2" s="322">
        <v>4.1666666666666664E-2</v>
      </c>
      <c r="C2" s="322">
        <v>8.3333333333333301E-2</v>
      </c>
      <c r="D2" s="322">
        <v>0.125</v>
      </c>
      <c r="E2" s="322">
        <v>0.16666666666666699</v>
      </c>
      <c r="F2" s="322">
        <v>0.20833333333333301</v>
      </c>
      <c r="G2" s="322">
        <v>0.22916666666666666</v>
      </c>
      <c r="H2" s="322">
        <v>0.25</v>
      </c>
      <c r="I2" s="322">
        <v>0.27083333333333331</v>
      </c>
      <c r="J2" s="322">
        <v>0.29166666666666669</v>
      </c>
      <c r="K2" s="322">
        <v>0.3125</v>
      </c>
      <c r="L2" s="330">
        <v>0.33333333333333331</v>
      </c>
      <c r="M2" s="330">
        <v>0.375</v>
      </c>
      <c r="N2" s="330">
        <v>0.41666666666666702</v>
      </c>
      <c r="O2" s="330">
        <v>0.45833333333333298</v>
      </c>
      <c r="P2" s="330">
        <v>0.5</v>
      </c>
      <c r="Q2" s="330">
        <v>0.54166666666666696</v>
      </c>
    </row>
    <row r="3" spans="1:17" ht="15.75" thickBot="1" x14ac:dyDescent="0.3">
      <c r="A3" s="335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</row>
    <row r="4" spans="1:17" s="243" customFormat="1" ht="15.75" thickBot="1" x14ac:dyDescent="0.3">
      <c r="A4" s="233" t="s">
        <v>37</v>
      </c>
      <c r="B4" s="267">
        <v>478.5</v>
      </c>
      <c r="C4" s="267">
        <v>478.5</v>
      </c>
      <c r="D4" s="267">
        <v>475.5</v>
      </c>
      <c r="E4" s="267">
        <v>480.3</v>
      </c>
      <c r="F4" s="267">
        <v>481.6</v>
      </c>
      <c r="G4" s="267">
        <v>482.7</v>
      </c>
      <c r="H4" s="267">
        <v>491</v>
      </c>
      <c r="I4" s="267">
        <v>493.6</v>
      </c>
      <c r="J4" s="267">
        <v>493.7</v>
      </c>
      <c r="K4" s="267">
        <v>494.1</v>
      </c>
      <c r="L4" s="267">
        <v>495.8</v>
      </c>
      <c r="M4" s="267">
        <v>463.9</v>
      </c>
      <c r="N4" s="267">
        <v>463.8</v>
      </c>
      <c r="O4" s="267">
        <v>486.8</v>
      </c>
      <c r="P4" s="267">
        <v>486</v>
      </c>
      <c r="Q4" s="267">
        <v>486</v>
      </c>
    </row>
    <row r="5" spans="1:17" x14ac:dyDescent="0.25">
      <c r="A5" s="55" t="s">
        <v>38</v>
      </c>
      <c r="B5" s="48">
        <v>142</v>
      </c>
      <c r="C5" s="48">
        <v>142.80000000000001</v>
      </c>
      <c r="D5" s="48">
        <v>142.6</v>
      </c>
      <c r="E5" s="48">
        <v>142.6</v>
      </c>
      <c r="F5" s="48">
        <v>130</v>
      </c>
      <c r="G5" s="48">
        <v>130</v>
      </c>
      <c r="H5" s="48">
        <v>128.9</v>
      </c>
      <c r="I5" s="48">
        <v>137.4</v>
      </c>
      <c r="J5" s="48">
        <v>128.5</v>
      </c>
      <c r="K5" s="48">
        <v>142</v>
      </c>
      <c r="L5" s="49">
        <v>141.5</v>
      </c>
      <c r="M5" s="49">
        <v>142</v>
      </c>
      <c r="N5" s="49">
        <v>130</v>
      </c>
      <c r="O5" s="49">
        <v>132.4</v>
      </c>
      <c r="P5" s="49">
        <v>132.21</v>
      </c>
      <c r="Q5" s="49">
        <v>131.69999999999999</v>
      </c>
    </row>
    <row r="6" spans="1:17" x14ac:dyDescent="0.25">
      <c r="A6" s="58" t="s">
        <v>39</v>
      </c>
      <c r="B6" s="56">
        <v>70</v>
      </c>
      <c r="C6" s="56">
        <v>70.5</v>
      </c>
      <c r="D6" s="56">
        <v>71.3</v>
      </c>
      <c r="E6" s="56">
        <v>70.3</v>
      </c>
      <c r="F6" s="56">
        <v>69.7</v>
      </c>
      <c r="G6" s="56">
        <v>70.2</v>
      </c>
      <c r="H6" s="56">
        <v>70.599999999999994</v>
      </c>
      <c r="I6" s="56">
        <v>72.400000000000006</v>
      </c>
      <c r="J6" s="56">
        <v>70.900000000000006</v>
      </c>
      <c r="K6" s="56">
        <v>70.400000000000006</v>
      </c>
      <c r="L6" s="70">
        <v>70.400000000000006</v>
      </c>
      <c r="M6" s="70">
        <v>58</v>
      </c>
      <c r="N6" s="70">
        <v>58.9</v>
      </c>
      <c r="O6" s="70">
        <v>60.7</v>
      </c>
      <c r="P6" s="70">
        <v>61.3</v>
      </c>
      <c r="Q6" s="70">
        <v>62</v>
      </c>
    </row>
    <row r="7" spans="1:17" x14ac:dyDescent="0.25">
      <c r="A7" s="58" t="s">
        <v>40</v>
      </c>
      <c r="B7" s="56">
        <v>40</v>
      </c>
      <c r="C7" s="56">
        <v>39</v>
      </c>
      <c r="D7" s="56">
        <v>39</v>
      </c>
      <c r="E7" s="56">
        <v>38.6</v>
      </c>
      <c r="F7" s="56">
        <v>33</v>
      </c>
      <c r="G7" s="56">
        <v>38</v>
      </c>
      <c r="H7" s="56">
        <v>32.6</v>
      </c>
      <c r="I7" s="56">
        <v>39.6</v>
      </c>
      <c r="J7" s="56">
        <v>39.1</v>
      </c>
      <c r="K7" s="56">
        <v>39.9</v>
      </c>
      <c r="L7" s="70">
        <v>38.6</v>
      </c>
      <c r="M7" s="70">
        <v>39.5</v>
      </c>
      <c r="N7" s="70">
        <v>21.1</v>
      </c>
      <c r="O7" s="70">
        <v>23.5</v>
      </c>
      <c r="P7" s="70">
        <v>22.1</v>
      </c>
      <c r="Q7" s="70">
        <v>22.3</v>
      </c>
    </row>
    <row r="8" spans="1:17" x14ac:dyDescent="0.25">
      <c r="A8" s="58" t="s">
        <v>41</v>
      </c>
      <c r="B8" s="56">
        <v>28.5</v>
      </c>
      <c r="C8" s="56">
        <v>28.5</v>
      </c>
      <c r="D8" s="56">
        <v>28.5</v>
      </c>
      <c r="E8" s="56">
        <v>28.5</v>
      </c>
      <c r="F8" s="56">
        <v>28.7</v>
      </c>
      <c r="G8" s="56">
        <v>28.7</v>
      </c>
      <c r="H8" s="56">
        <v>28.5</v>
      </c>
      <c r="I8" s="56">
        <v>28.7</v>
      </c>
      <c r="J8" s="56">
        <v>28.5</v>
      </c>
      <c r="K8" s="56">
        <v>28.5</v>
      </c>
      <c r="L8" s="70">
        <v>28.2</v>
      </c>
      <c r="M8" s="70">
        <v>28.5</v>
      </c>
      <c r="N8" s="70">
        <v>29</v>
      </c>
      <c r="O8" s="70">
        <v>0</v>
      </c>
      <c r="P8" s="70">
        <v>0</v>
      </c>
      <c r="Q8" s="70">
        <v>0</v>
      </c>
    </row>
    <row r="9" spans="1:17" x14ac:dyDescent="0.25">
      <c r="A9" s="58" t="s">
        <v>42</v>
      </c>
      <c r="B9" s="56">
        <v>29.6</v>
      </c>
      <c r="C9" s="56">
        <v>29.6</v>
      </c>
      <c r="D9" s="56">
        <v>29.7</v>
      </c>
      <c r="E9" s="56">
        <v>29.7</v>
      </c>
      <c r="F9" s="56">
        <v>29.7</v>
      </c>
      <c r="G9" s="56">
        <v>30</v>
      </c>
      <c r="H9" s="56">
        <v>30</v>
      </c>
      <c r="I9" s="56">
        <v>26.6</v>
      </c>
      <c r="J9" s="56">
        <v>30.1</v>
      </c>
      <c r="K9" s="56">
        <v>29.6</v>
      </c>
      <c r="L9" s="49">
        <v>29.3</v>
      </c>
      <c r="M9" s="49">
        <v>30</v>
      </c>
      <c r="N9" s="49">
        <v>30</v>
      </c>
      <c r="O9" s="49">
        <v>29.8</v>
      </c>
      <c r="P9" s="49">
        <v>29.8</v>
      </c>
      <c r="Q9" s="49">
        <v>29.6</v>
      </c>
    </row>
    <row r="10" spans="1:17" x14ac:dyDescent="0.25">
      <c r="A10" s="58" t="s">
        <v>43</v>
      </c>
      <c r="B10" s="56">
        <v>15.6</v>
      </c>
      <c r="C10" s="71">
        <v>15.6</v>
      </c>
      <c r="D10" s="71">
        <v>15.5</v>
      </c>
      <c r="E10" s="71">
        <v>15.6</v>
      </c>
      <c r="F10" s="71">
        <v>15.6</v>
      </c>
      <c r="G10" s="71">
        <v>15.6</v>
      </c>
      <c r="H10" s="71">
        <v>15.6</v>
      </c>
      <c r="I10" s="71">
        <v>15.6</v>
      </c>
      <c r="J10" s="71">
        <v>15.9</v>
      </c>
      <c r="K10" s="71">
        <v>15.2</v>
      </c>
      <c r="L10" s="49">
        <v>15.2</v>
      </c>
      <c r="M10" s="49">
        <v>15.2</v>
      </c>
      <c r="N10" s="49">
        <v>16.600000000000001</v>
      </c>
      <c r="O10" s="49">
        <v>16.7</v>
      </c>
      <c r="P10" s="49">
        <v>16.899999999999999</v>
      </c>
      <c r="Q10" s="49">
        <v>16.8</v>
      </c>
    </row>
    <row r="11" spans="1:17" x14ac:dyDescent="0.25">
      <c r="A11" s="58" t="s">
        <v>44</v>
      </c>
      <c r="B11" s="56">
        <v>2.1</v>
      </c>
      <c r="C11" s="56">
        <v>2.1</v>
      </c>
      <c r="D11" s="56">
        <v>2.1</v>
      </c>
      <c r="E11" s="56">
        <v>2.1</v>
      </c>
      <c r="F11" s="56">
        <v>2.1</v>
      </c>
      <c r="G11" s="56">
        <v>2.1</v>
      </c>
      <c r="H11" s="56">
        <v>2.1</v>
      </c>
      <c r="I11" s="56">
        <v>2.1</v>
      </c>
      <c r="J11" s="56">
        <v>2.1</v>
      </c>
      <c r="K11" s="56">
        <v>2.1</v>
      </c>
      <c r="L11" s="49">
        <v>2.2000000000000002</v>
      </c>
      <c r="M11" s="49">
        <v>2.1</v>
      </c>
      <c r="N11" s="49">
        <v>2.1</v>
      </c>
      <c r="O11" s="49">
        <v>2.1</v>
      </c>
      <c r="P11" s="49">
        <v>2.2000000000000002</v>
      </c>
      <c r="Q11" s="49">
        <v>2.2000000000000002</v>
      </c>
    </row>
    <row r="12" spans="1:17" x14ac:dyDescent="0.25">
      <c r="A12" s="58" t="s">
        <v>45</v>
      </c>
      <c r="B12" s="56">
        <v>10</v>
      </c>
      <c r="C12" s="56">
        <v>10</v>
      </c>
      <c r="D12" s="56">
        <v>10</v>
      </c>
      <c r="E12" s="56">
        <v>10</v>
      </c>
      <c r="F12" s="56">
        <v>10</v>
      </c>
      <c r="G12" s="56">
        <v>10</v>
      </c>
      <c r="H12" s="56">
        <v>10</v>
      </c>
      <c r="I12" s="56">
        <v>10</v>
      </c>
      <c r="J12" s="56">
        <v>10</v>
      </c>
      <c r="K12" s="56">
        <v>10</v>
      </c>
      <c r="L12" s="56">
        <v>10</v>
      </c>
      <c r="M12" s="49">
        <v>10</v>
      </c>
      <c r="N12" s="49">
        <v>10</v>
      </c>
      <c r="O12" s="49">
        <v>10</v>
      </c>
      <c r="P12" s="49">
        <v>10</v>
      </c>
      <c r="Q12" s="49">
        <v>10</v>
      </c>
    </row>
    <row r="13" spans="1:17" x14ac:dyDescent="0.25">
      <c r="A13" s="72" t="s">
        <v>46</v>
      </c>
      <c r="B13" s="56">
        <v>10</v>
      </c>
      <c r="C13" s="56">
        <v>10</v>
      </c>
      <c r="D13" s="56">
        <v>10</v>
      </c>
      <c r="E13" s="56">
        <v>11</v>
      </c>
      <c r="F13" s="56">
        <v>11</v>
      </c>
      <c r="G13" s="56">
        <v>11</v>
      </c>
      <c r="H13" s="56">
        <v>11</v>
      </c>
      <c r="I13" s="56">
        <v>11</v>
      </c>
      <c r="J13" s="56">
        <v>11</v>
      </c>
      <c r="K13" s="56">
        <v>11</v>
      </c>
      <c r="L13" s="49">
        <v>11</v>
      </c>
      <c r="M13" s="49">
        <v>10</v>
      </c>
      <c r="N13" s="49">
        <v>10</v>
      </c>
      <c r="O13" s="49">
        <v>10</v>
      </c>
      <c r="P13" s="49">
        <v>10</v>
      </c>
      <c r="Q13" s="49">
        <v>10</v>
      </c>
    </row>
    <row r="14" spans="1:17" x14ac:dyDescent="0.25">
      <c r="A14" s="58" t="s">
        <v>47</v>
      </c>
      <c r="B14" s="56">
        <v>9.3000000000000007</v>
      </c>
      <c r="C14" s="56">
        <v>9.3000000000000007</v>
      </c>
      <c r="D14" s="56">
        <v>9.3000000000000007</v>
      </c>
      <c r="E14" s="56">
        <v>9.1999999999999993</v>
      </c>
      <c r="F14" s="56">
        <v>9.1999999999999993</v>
      </c>
      <c r="G14" s="56">
        <v>9.3000000000000007</v>
      </c>
      <c r="H14" s="56">
        <v>9.1</v>
      </c>
      <c r="I14" s="56">
        <v>8.6999999999999993</v>
      </c>
      <c r="J14" s="56">
        <v>9</v>
      </c>
      <c r="K14" s="56">
        <v>9</v>
      </c>
      <c r="L14" s="56">
        <v>9</v>
      </c>
      <c r="M14" s="49">
        <v>9.1</v>
      </c>
      <c r="N14" s="49">
        <v>9.1</v>
      </c>
      <c r="O14" s="49">
        <v>7.2</v>
      </c>
      <c r="P14" s="49">
        <v>7.2</v>
      </c>
      <c r="Q14" s="49">
        <v>7.2</v>
      </c>
    </row>
    <row r="15" spans="1:17" x14ac:dyDescent="0.25">
      <c r="A15" s="58" t="s">
        <v>48</v>
      </c>
      <c r="B15" s="56">
        <v>5</v>
      </c>
      <c r="C15" s="56">
        <v>5</v>
      </c>
      <c r="D15" s="56">
        <v>5</v>
      </c>
      <c r="E15" s="56">
        <v>5</v>
      </c>
      <c r="F15" s="56">
        <v>5</v>
      </c>
      <c r="G15" s="56">
        <v>5</v>
      </c>
      <c r="H15" s="56">
        <v>4</v>
      </c>
      <c r="I15" s="56">
        <v>4</v>
      </c>
      <c r="J15" s="56">
        <v>4</v>
      </c>
      <c r="K15" s="56">
        <v>4</v>
      </c>
      <c r="L15" s="56">
        <v>4</v>
      </c>
      <c r="M15" s="49">
        <v>5</v>
      </c>
      <c r="N15" s="49">
        <v>5</v>
      </c>
      <c r="O15" s="49">
        <v>5</v>
      </c>
      <c r="P15" s="49">
        <v>5</v>
      </c>
      <c r="Q15" s="49">
        <v>5</v>
      </c>
    </row>
    <row r="16" spans="1:17" ht="15.75" thickBot="1" x14ac:dyDescent="0.3">
      <c r="A16" s="65" t="s">
        <v>49</v>
      </c>
      <c r="B16" s="73">
        <v>3.54</v>
      </c>
      <c r="C16" s="73">
        <v>3.54</v>
      </c>
      <c r="D16" s="73">
        <v>3.54</v>
      </c>
      <c r="E16" s="73">
        <v>3.54</v>
      </c>
      <c r="F16" s="73">
        <v>3.54</v>
      </c>
      <c r="G16" s="73">
        <v>3.54</v>
      </c>
      <c r="H16" s="73">
        <v>3.54</v>
      </c>
      <c r="I16" s="73">
        <v>3.54</v>
      </c>
      <c r="J16" s="73">
        <v>3.54</v>
      </c>
      <c r="K16" s="73">
        <v>3.54</v>
      </c>
      <c r="L16" s="73">
        <v>3.54</v>
      </c>
      <c r="M16" s="73">
        <v>3.54</v>
      </c>
      <c r="N16" s="73">
        <v>3.54</v>
      </c>
      <c r="O16" s="73">
        <v>3.54</v>
      </c>
      <c r="P16" s="73">
        <v>3.54</v>
      </c>
      <c r="Q16" s="73">
        <v>3.54</v>
      </c>
    </row>
    <row r="17" spans="1:17" ht="15.75" thickBot="1" x14ac:dyDescent="0.3">
      <c r="A17" s="68" t="s">
        <v>50</v>
      </c>
      <c r="B17" s="69">
        <v>365.6400000000001</v>
      </c>
      <c r="C17" s="69">
        <v>365.94000000000011</v>
      </c>
      <c r="D17" s="69">
        <v>366.54</v>
      </c>
      <c r="E17" s="69">
        <v>366.14000000000004</v>
      </c>
      <c r="F17" s="69">
        <v>347.54</v>
      </c>
      <c r="G17" s="69">
        <v>353.44000000000005</v>
      </c>
      <c r="H17" s="69">
        <v>345.94000000000011</v>
      </c>
      <c r="I17" s="69">
        <v>359.6400000000001</v>
      </c>
      <c r="J17" s="69">
        <v>352.64000000000004</v>
      </c>
      <c r="K17" s="69">
        <v>365.24000000000007</v>
      </c>
      <c r="L17" s="69">
        <v>362.94</v>
      </c>
      <c r="M17" s="69">
        <v>352.94000000000005</v>
      </c>
      <c r="N17" s="69">
        <v>325.34000000000009</v>
      </c>
      <c r="O17" s="69">
        <v>300.94000000000005</v>
      </c>
      <c r="P17" s="69">
        <v>300.25</v>
      </c>
      <c r="Q17" s="69">
        <v>300.33999999999997</v>
      </c>
    </row>
    <row r="18" spans="1:17" x14ac:dyDescent="0.25">
      <c r="A18" s="55" t="s">
        <v>51</v>
      </c>
      <c r="B18" s="56">
        <v>50</v>
      </c>
      <c r="C18" s="56">
        <v>30</v>
      </c>
      <c r="D18" s="56">
        <v>29.4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75">
        <v>30</v>
      </c>
      <c r="M18" s="75">
        <v>0</v>
      </c>
      <c r="N18" s="75">
        <v>0</v>
      </c>
      <c r="O18" s="75">
        <v>0</v>
      </c>
      <c r="P18" s="49">
        <v>0</v>
      </c>
      <c r="Q18" s="49">
        <v>0</v>
      </c>
    </row>
    <row r="19" spans="1:17" x14ac:dyDescent="0.25">
      <c r="A19" s="58" t="s">
        <v>52</v>
      </c>
      <c r="B19" s="56">
        <v>20</v>
      </c>
      <c r="C19" s="56">
        <v>15</v>
      </c>
      <c r="D19" s="56">
        <v>14.6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75">
        <v>16</v>
      </c>
      <c r="M19" s="75">
        <v>0</v>
      </c>
      <c r="N19" s="75">
        <v>0</v>
      </c>
      <c r="O19" s="75">
        <v>0</v>
      </c>
      <c r="P19" s="70">
        <v>0</v>
      </c>
      <c r="Q19" s="70">
        <v>0</v>
      </c>
    </row>
    <row r="20" spans="1:17" ht="15.75" thickBot="1" x14ac:dyDescent="0.3">
      <c r="A20" s="72" t="s">
        <v>53</v>
      </c>
      <c r="B20" s="71">
        <v>7</v>
      </c>
      <c r="C20" s="71">
        <v>6</v>
      </c>
      <c r="D20" s="71">
        <v>5.3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6">
        <v>5.9</v>
      </c>
      <c r="M20" s="76">
        <v>0</v>
      </c>
      <c r="N20" s="76">
        <v>0</v>
      </c>
      <c r="O20" s="76">
        <v>0</v>
      </c>
      <c r="P20" s="77">
        <v>0</v>
      </c>
      <c r="Q20" s="77">
        <v>0</v>
      </c>
    </row>
    <row r="21" spans="1:17" ht="15.75" thickBot="1" x14ac:dyDescent="0.3">
      <c r="A21" s="68" t="s">
        <v>54</v>
      </c>
      <c r="B21" s="69">
        <v>77</v>
      </c>
      <c r="C21" s="69">
        <v>51</v>
      </c>
      <c r="D21" s="69">
        <v>49.3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51.9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</row>
    <row r="22" spans="1:17" x14ac:dyDescent="0.25">
      <c r="A22" s="55" t="s">
        <v>55</v>
      </c>
      <c r="B22" s="49">
        <v>50</v>
      </c>
      <c r="C22" s="49">
        <v>44.5</v>
      </c>
      <c r="D22" s="49">
        <v>41.58</v>
      </c>
      <c r="E22" s="49">
        <v>40.799999999999997</v>
      </c>
      <c r="F22" s="49">
        <v>39</v>
      </c>
      <c r="G22" s="49">
        <v>35</v>
      </c>
      <c r="H22" s="49">
        <v>31.5</v>
      </c>
      <c r="I22" s="49">
        <v>27.7</v>
      </c>
      <c r="J22" s="49">
        <v>27.5</v>
      </c>
      <c r="K22" s="49">
        <v>27.7</v>
      </c>
      <c r="L22" s="49">
        <v>29</v>
      </c>
      <c r="M22" s="49">
        <v>41.8</v>
      </c>
      <c r="N22" s="49">
        <v>35</v>
      </c>
      <c r="O22" s="49">
        <v>35.4</v>
      </c>
      <c r="P22" s="49">
        <v>39.68</v>
      </c>
      <c r="Q22" s="49">
        <v>38</v>
      </c>
    </row>
    <row r="23" spans="1:17" x14ac:dyDescent="0.25">
      <c r="A23" s="58" t="s">
        <v>56</v>
      </c>
      <c r="B23" s="70">
        <v>0</v>
      </c>
      <c r="C23" s="70">
        <v>0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</row>
    <row r="24" spans="1:17" x14ac:dyDescent="0.25">
      <c r="A24" s="58" t="s">
        <v>57</v>
      </c>
      <c r="B24" s="70">
        <v>75</v>
      </c>
      <c r="C24" s="70">
        <v>80</v>
      </c>
      <c r="D24" s="70">
        <v>75</v>
      </c>
      <c r="E24" s="70">
        <v>92</v>
      </c>
      <c r="F24" s="70">
        <v>75</v>
      </c>
      <c r="G24" s="49">
        <v>66</v>
      </c>
      <c r="H24" s="49">
        <v>66</v>
      </c>
      <c r="I24" s="49">
        <v>81</v>
      </c>
      <c r="J24" s="49">
        <v>100</v>
      </c>
      <c r="K24" s="49">
        <v>90</v>
      </c>
      <c r="L24" s="70">
        <v>120</v>
      </c>
      <c r="M24" s="70">
        <v>142</v>
      </c>
      <c r="N24" s="70">
        <v>116</v>
      </c>
      <c r="O24" s="70">
        <v>80</v>
      </c>
      <c r="P24" s="70">
        <v>65</v>
      </c>
      <c r="Q24" s="70">
        <v>105</v>
      </c>
    </row>
    <row r="25" spans="1:17" x14ac:dyDescent="0.25">
      <c r="A25" s="58" t="s">
        <v>58</v>
      </c>
      <c r="B25" s="82">
        <v>0</v>
      </c>
      <c r="C25" s="82">
        <v>0</v>
      </c>
      <c r="D25" s="82">
        <v>0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70">
        <v>0</v>
      </c>
      <c r="M25" s="82">
        <v>0</v>
      </c>
      <c r="N25" s="82">
        <v>0</v>
      </c>
      <c r="O25" s="82">
        <v>0</v>
      </c>
      <c r="P25" s="70">
        <v>0</v>
      </c>
      <c r="Q25" s="70">
        <v>0</v>
      </c>
    </row>
    <row r="26" spans="1:17" x14ac:dyDescent="0.25">
      <c r="A26" s="58" t="s">
        <v>59</v>
      </c>
      <c r="B26" s="82">
        <v>0</v>
      </c>
      <c r="C26" s="82">
        <v>0</v>
      </c>
      <c r="D26" s="82">
        <v>0</v>
      </c>
      <c r="E26" s="82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>
        <v>0</v>
      </c>
      <c r="L26" s="49">
        <v>0</v>
      </c>
      <c r="M26" s="82">
        <v>0</v>
      </c>
      <c r="N26" s="82">
        <v>0</v>
      </c>
      <c r="O26" s="82">
        <v>0</v>
      </c>
      <c r="P26" s="49">
        <v>0</v>
      </c>
      <c r="Q26" s="49">
        <v>0</v>
      </c>
    </row>
    <row r="27" spans="1:17" x14ac:dyDescent="0.25">
      <c r="A27" s="58" t="s">
        <v>60</v>
      </c>
      <c r="B27" s="82">
        <v>0</v>
      </c>
      <c r="C27" s="82">
        <v>0</v>
      </c>
      <c r="D27" s="70">
        <v>0</v>
      </c>
      <c r="E27" s="70">
        <v>0</v>
      </c>
      <c r="F27" s="70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83">
        <v>0</v>
      </c>
    </row>
    <row r="28" spans="1:17" x14ac:dyDescent="0.25">
      <c r="A28" s="58" t="s">
        <v>61</v>
      </c>
      <c r="B28" s="82">
        <v>0</v>
      </c>
      <c r="C28" s="82">
        <v>0</v>
      </c>
      <c r="D28" s="70">
        <v>0</v>
      </c>
      <c r="E28" s="70">
        <v>0</v>
      </c>
      <c r="F28" s="70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3">
        <v>0</v>
      </c>
      <c r="M28" s="82">
        <v>0</v>
      </c>
      <c r="N28" s="82">
        <v>0</v>
      </c>
      <c r="O28" s="82">
        <v>0</v>
      </c>
      <c r="P28" s="83">
        <v>0</v>
      </c>
      <c r="Q28" s="83">
        <v>0</v>
      </c>
    </row>
    <row r="29" spans="1:17" x14ac:dyDescent="0.25">
      <c r="A29" s="58" t="s">
        <v>62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</row>
    <row r="30" spans="1:17" x14ac:dyDescent="0.25">
      <c r="A30" s="58" t="s">
        <v>63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</row>
    <row r="31" spans="1:17" x14ac:dyDescent="0.25">
      <c r="A31" s="84" t="s">
        <v>64</v>
      </c>
      <c r="B31" s="82">
        <v>0</v>
      </c>
      <c r="C31" s="82">
        <v>0</v>
      </c>
      <c r="D31" s="70">
        <v>0</v>
      </c>
      <c r="E31" s="70">
        <v>0</v>
      </c>
      <c r="F31" s="70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5">
        <v>0</v>
      </c>
      <c r="Q31" s="85">
        <v>0</v>
      </c>
    </row>
    <row r="32" spans="1:17" ht="15.75" thickBot="1" x14ac:dyDescent="0.3">
      <c r="A32" s="84" t="s">
        <v>65</v>
      </c>
      <c r="B32" s="82">
        <v>0</v>
      </c>
      <c r="C32" s="82">
        <v>0</v>
      </c>
      <c r="D32" s="70">
        <v>0</v>
      </c>
      <c r="E32" s="70">
        <v>0</v>
      </c>
      <c r="F32" s="70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5">
        <v>0</v>
      </c>
      <c r="Q32" s="85">
        <v>0</v>
      </c>
    </row>
    <row r="33" spans="1:17" ht="15.75" thickBot="1" x14ac:dyDescent="0.3">
      <c r="A33" s="68" t="s">
        <v>66</v>
      </c>
      <c r="B33" s="69">
        <v>125</v>
      </c>
      <c r="C33" s="69">
        <v>124.5</v>
      </c>
      <c r="D33" s="69">
        <v>116.58</v>
      </c>
      <c r="E33" s="69">
        <v>132.80000000000001</v>
      </c>
      <c r="F33" s="69">
        <v>114</v>
      </c>
      <c r="G33" s="69">
        <v>101</v>
      </c>
      <c r="H33" s="69">
        <v>97.5</v>
      </c>
      <c r="I33" s="69">
        <v>108.7</v>
      </c>
      <c r="J33" s="69">
        <v>127.5</v>
      </c>
      <c r="K33" s="69">
        <v>117.7</v>
      </c>
      <c r="L33" s="69">
        <v>149</v>
      </c>
      <c r="M33" s="69">
        <v>183.8</v>
      </c>
      <c r="N33" s="69">
        <v>151</v>
      </c>
      <c r="O33" s="69">
        <v>115.4</v>
      </c>
      <c r="P33" s="69">
        <v>104.68</v>
      </c>
      <c r="Q33" s="69">
        <v>143</v>
      </c>
    </row>
    <row r="34" spans="1:17" ht="15.75" thickBot="1" x14ac:dyDescent="0.3"/>
    <row r="35" spans="1:17" ht="15.75" thickBot="1" x14ac:dyDescent="0.3">
      <c r="A35" s="189" t="s">
        <v>206</v>
      </c>
      <c r="B35" s="190">
        <v>1046.1400000000001</v>
      </c>
      <c r="C35" s="190">
        <v>1019.94</v>
      </c>
      <c r="D35" s="190">
        <v>1007.9200000000001</v>
      </c>
      <c r="E35" s="190">
        <v>979.24</v>
      </c>
      <c r="F35" s="190">
        <v>943.1400000000001</v>
      </c>
      <c r="G35" s="190">
        <v>937.1400000000001</v>
      </c>
      <c r="H35" s="190">
        <v>934.44</v>
      </c>
      <c r="I35" s="190">
        <v>961.94</v>
      </c>
      <c r="J35" s="190">
        <v>973.84</v>
      </c>
      <c r="K35" s="190">
        <v>977.04000000000008</v>
      </c>
      <c r="L35" s="190">
        <v>1059.6400000000001</v>
      </c>
      <c r="M35" s="190">
        <v>1000.64</v>
      </c>
      <c r="N35" s="190">
        <v>940.1400000000001</v>
      </c>
      <c r="O35" s="190">
        <v>903.1400000000001</v>
      </c>
      <c r="P35" s="190">
        <v>890.93000000000006</v>
      </c>
      <c r="Q35" s="190">
        <v>929.33999999999992</v>
      </c>
    </row>
    <row r="36" spans="1:17" ht="16.5" thickTop="1" thickBot="1" x14ac:dyDescent="0.3">
      <c r="A36" s="41"/>
      <c r="B36" s="328" t="s">
        <v>15</v>
      </c>
      <c r="C36" s="329"/>
      <c r="D36" s="329"/>
      <c r="E36" s="329"/>
      <c r="F36" s="329"/>
      <c r="G36" s="329"/>
      <c r="H36" s="329"/>
      <c r="I36" s="329"/>
      <c r="J36" s="329"/>
      <c r="K36" s="317" t="s">
        <v>16</v>
      </c>
      <c r="L36" s="318"/>
      <c r="M36" s="318"/>
      <c r="N36" s="318"/>
      <c r="O36" s="318"/>
      <c r="P36" s="319"/>
    </row>
    <row r="37" spans="1:17" ht="15.75" customHeight="1" thickTop="1" x14ac:dyDescent="0.25">
      <c r="A37" s="320" t="s">
        <v>207</v>
      </c>
      <c r="B37" s="330">
        <v>0.58333333333333304</v>
      </c>
      <c r="C37" s="330">
        <v>0.625</v>
      </c>
      <c r="D37" s="330">
        <v>0.66666666666666696</v>
      </c>
      <c r="E37" s="330">
        <v>0.70833333333333304</v>
      </c>
      <c r="F37" s="330">
        <v>0.72916666666666663</v>
      </c>
      <c r="G37" s="330">
        <v>0.75</v>
      </c>
      <c r="H37" s="330">
        <v>0.77083333333333337</v>
      </c>
      <c r="I37" s="330">
        <v>0.79166666666666663</v>
      </c>
      <c r="J37" s="330">
        <v>0.8125</v>
      </c>
      <c r="K37" s="322">
        <v>0.83333333333333337</v>
      </c>
      <c r="L37" s="322">
        <v>0.85416666666666663</v>
      </c>
      <c r="M37" s="322">
        <v>0.875</v>
      </c>
      <c r="N37" s="322">
        <v>0.91666666666666696</v>
      </c>
      <c r="O37" s="322">
        <v>0.95833333333333304</v>
      </c>
      <c r="P37" s="322">
        <v>1</v>
      </c>
    </row>
    <row r="38" spans="1:17" ht="15.75" thickBot="1" x14ac:dyDescent="0.3">
      <c r="A38" s="335"/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323"/>
      <c r="N38" s="323"/>
      <c r="O38" s="323"/>
      <c r="P38" s="323"/>
    </row>
    <row r="39" spans="1:17" ht="15.75" thickBot="1" x14ac:dyDescent="0.3">
      <c r="A39" s="268" t="s">
        <v>37</v>
      </c>
      <c r="B39" s="269">
        <v>486.5</v>
      </c>
      <c r="C39" s="269">
        <v>480.5</v>
      </c>
      <c r="D39" s="269">
        <v>479.4</v>
      </c>
      <c r="E39" s="269">
        <v>478.90000000000003</v>
      </c>
      <c r="F39" s="269">
        <v>478</v>
      </c>
      <c r="G39" s="269">
        <v>478.9</v>
      </c>
      <c r="H39" s="269">
        <v>479.7</v>
      </c>
      <c r="I39" s="269">
        <v>478.79999999999995</v>
      </c>
      <c r="J39" s="269">
        <v>479.5</v>
      </c>
      <c r="K39" s="269">
        <v>482.2</v>
      </c>
      <c r="L39" s="269">
        <v>481.5</v>
      </c>
      <c r="M39" s="269">
        <v>481.6</v>
      </c>
      <c r="N39" s="269">
        <v>478.6</v>
      </c>
      <c r="O39" s="269">
        <v>475.9</v>
      </c>
      <c r="P39" s="269">
        <v>475.8</v>
      </c>
    </row>
    <row r="40" spans="1:17" x14ac:dyDescent="0.25">
      <c r="A40" s="55" t="s">
        <v>38</v>
      </c>
      <c r="B40" s="49">
        <v>131.69999999999999</v>
      </c>
      <c r="C40" s="49">
        <v>141.1</v>
      </c>
      <c r="D40" s="49">
        <v>141.30000000000001</v>
      </c>
      <c r="E40" s="49">
        <v>118.4</v>
      </c>
      <c r="F40" s="49">
        <v>141.4</v>
      </c>
      <c r="G40" s="49">
        <v>141.4</v>
      </c>
      <c r="H40" s="49">
        <v>141.6</v>
      </c>
      <c r="I40" s="49">
        <v>141.1</v>
      </c>
      <c r="J40" s="49">
        <v>141.80000000000001</v>
      </c>
      <c r="K40" s="48">
        <v>141.9</v>
      </c>
      <c r="L40" s="48">
        <v>142.19999999999999</v>
      </c>
      <c r="M40" s="48">
        <v>142</v>
      </c>
      <c r="N40" s="48">
        <v>142.4</v>
      </c>
      <c r="O40" s="48">
        <v>142.6</v>
      </c>
      <c r="P40" s="48">
        <v>143.1</v>
      </c>
    </row>
    <row r="41" spans="1:17" x14ac:dyDescent="0.25">
      <c r="A41" s="58" t="s">
        <v>39</v>
      </c>
      <c r="B41" s="70">
        <v>61</v>
      </c>
      <c r="C41" s="70">
        <v>69.7</v>
      </c>
      <c r="D41" s="70">
        <v>70.099999999999994</v>
      </c>
      <c r="E41" s="70">
        <v>72.099999999999994</v>
      </c>
      <c r="F41" s="70">
        <v>70</v>
      </c>
      <c r="G41" s="70">
        <v>58.9</v>
      </c>
      <c r="H41" s="70">
        <v>59.4</v>
      </c>
      <c r="I41" s="70">
        <v>60.5</v>
      </c>
      <c r="J41" s="70">
        <v>70</v>
      </c>
      <c r="K41" s="56">
        <v>69.599999999999994</v>
      </c>
      <c r="L41" s="56">
        <v>69.400000000000006</v>
      </c>
      <c r="M41" s="56">
        <v>70</v>
      </c>
      <c r="N41" s="56">
        <v>69.5</v>
      </c>
      <c r="O41" s="56">
        <v>70.400000000000006</v>
      </c>
      <c r="P41" s="56">
        <v>72</v>
      </c>
    </row>
    <row r="42" spans="1:17" x14ac:dyDescent="0.25">
      <c r="A42" s="58" t="s">
        <v>40</v>
      </c>
      <c r="B42" s="70">
        <v>21</v>
      </c>
      <c r="C42" s="70">
        <v>39.1</v>
      </c>
      <c r="D42" s="70">
        <v>21.7</v>
      </c>
      <c r="E42" s="70">
        <v>22.6</v>
      </c>
      <c r="F42" s="70">
        <v>39</v>
      </c>
      <c r="G42" s="70">
        <v>39.200000000000003</v>
      </c>
      <c r="H42" s="70">
        <v>39.6</v>
      </c>
      <c r="I42" s="70">
        <v>39.4</v>
      </c>
      <c r="J42" s="70">
        <v>39.700000000000003</v>
      </c>
      <c r="K42" s="56">
        <v>39</v>
      </c>
      <c r="L42" s="56">
        <v>39</v>
      </c>
      <c r="M42" s="56">
        <v>39</v>
      </c>
      <c r="N42" s="56">
        <v>36.200000000000003</v>
      </c>
      <c r="O42" s="56">
        <v>37.200000000000003</v>
      </c>
      <c r="P42" s="56">
        <v>39.6</v>
      </c>
    </row>
    <row r="43" spans="1:17" x14ac:dyDescent="0.25">
      <c r="A43" s="58" t="s">
        <v>41</v>
      </c>
      <c r="B43" s="70">
        <v>0</v>
      </c>
      <c r="C43" s="70">
        <v>0</v>
      </c>
      <c r="D43" s="70">
        <v>0</v>
      </c>
      <c r="E43" s="70">
        <v>0</v>
      </c>
      <c r="F43" s="70">
        <v>0</v>
      </c>
      <c r="G43" s="70">
        <v>28.2</v>
      </c>
      <c r="H43" s="70">
        <v>28.2</v>
      </c>
      <c r="I43" s="70">
        <v>28.2</v>
      </c>
      <c r="J43" s="70">
        <v>28.2</v>
      </c>
      <c r="K43" s="56">
        <v>28.2</v>
      </c>
      <c r="L43" s="56">
        <v>28.5</v>
      </c>
      <c r="M43" s="56">
        <v>28.5</v>
      </c>
      <c r="N43" s="56">
        <v>28.5</v>
      </c>
      <c r="O43" s="56">
        <v>28.5</v>
      </c>
      <c r="P43" s="56">
        <v>28.5</v>
      </c>
    </row>
    <row r="44" spans="1:17" x14ac:dyDescent="0.25">
      <c r="A44" s="58" t="s">
        <v>42</v>
      </c>
      <c r="B44" s="49">
        <v>29</v>
      </c>
      <c r="C44" s="49">
        <v>30</v>
      </c>
      <c r="D44" s="49">
        <v>29.7</v>
      </c>
      <c r="E44" s="49">
        <v>29.8</v>
      </c>
      <c r="F44" s="70">
        <v>29.8</v>
      </c>
      <c r="G44" s="70">
        <v>29.8</v>
      </c>
      <c r="H44" s="70">
        <v>29.9</v>
      </c>
      <c r="I44" s="70">
        <v>30</v>
      </c>
      <c r="J44" s="70">
        <v>30</v>
      </c>
      <c r="K44" s="56">
        <v>29.9</v>
      </c>
      <c r="L44" s="56">
        <v>29.8</v>
      </c>
      <c r="M44" s="56">
        <v>29.8</v>
      </c>
      <c r="N44" s="56">
        <v>29.9</v>
      </c>
      <c r="O44" s="56">
        <v>29.9</v>
      </c>
      <c r="P44" s="56">
        <v>29.6</v>
      </c>
    </row>
    <row r="45" spans="1:17" x14ac:dyDescent="0.25">
      <c r="A45" s="58" t="s">
        <v>43</v>
      </c>
      <c r="B45" s="49">
        <v>15.3</v>
      </c>
      <c r="C45" s="49">
        <v>15.4</v>
      </c>
      <c r="D45" s="49">
        <v>16.100000000000001</v>
      </c>
      <c r="E45" s="49">
        <v>16.100000000000001</v>
      </c>
      <c r="F45" s="49">
        <v>15.9</v>
      </c>
      <c r="G45" s="49">
        <v>15.8</v>
      </c>
      <c r="H45" s="49">
        <v>15.9</v>
      </c>
      <c r="I45" s="49">
        <v>15.7</v>
      </c>
      <c r="J45" s="49">
        <v>15.6</v>
      </c>
      <c r="K45" s="56">
        <v>15.6</v>
      </c>
      <c r="L45" s="56">
        <v>15.6</v>
      </c>
      <c r="M45" s="56">
        <v>15.6</v>
      </c>
      <c r="N45" s="56">
        <v>15.6</v>
      </c>
      <c r="O45" s="56">
        <v>15.5</v>
      </c>
      <c r="P45" s="56">
        <v>15.6</v>
      </c>
    </row>
    <row r="46" spans="1:17" x14ac:dyDescent="0.25">
      <c r="A46" s="58" t="s">
        <v>44</v>
      </c>
      <c r="B46" s="49">
        <v>2.1</v>
      </c>
      <c r="C46" s="49">
        <v>2.1</v>
      </c>
      <c r="D46" s="49">
        <v>2.1</v>
      </c>
      <c r="E46" s="49">
        <v>2.1</v>
      </c>
      <c r="F46" s="49">
        <v>2.1</v>
      </c>
      <c r="G46" s="49">
        <v>2.1</v>
      </c>
      <c r="H46" s="49">
        <v>2.1</v>
      </c>
      <c r="I46" s="49">
        <v>2.1</v>
      </c>
      <c r="J46" s="49">
        <v>2.1</v>
      </c>
      <c r="K46" s="56">
        <v>2.1</v>
      </c>
      <c r="L46" s="56">
        <v>2.1</v>
      </c>
      <c r="M46" s="56">
        <v>2.1</v>
      </c>
      <c r="N46" s="56">
        <v>2.1</v>
      </c>
      <c r="O46" s="56">
        <v>2.1</v>
      </c>
      <c r="P46" s="56">
        <v>2.1</v>
      </c>
    </row>
    <row r="47" spans="1:17" x14ac:dyDescent="0.25">
      <c r="A47" s="58" t="s">
        <v>45</v>
      </c>
      <c r="B47" s="49">
        <v>10</v>
      </c>
      <c r="C47" s="49">
        <v>10</v>
      </c>
      <c r="D47" s="49">
        <v>10</v>
      </c>
      <c r="E47" s="49">
        <v>10</v>
      </c>
      <c r="F47" s="49">
        <v>10</v>
      </c>
      <c r="G47" s="49">
        <v>10</v>
      </c>
      <c r="H47" s="49">
        <v>10</v>
      </c>
      <c r="I47" s="49">
        <v>10</v>
      </c>
      <c r="J47" s="49">
        <v>10</v>
      </c>
      <c r="K47" s="56">
        <v>10</v>
      </c>
      <c r="L47" s="56">
        <v>10</v>
      </c>
      <c r="M47" s="56">
        <v>10</v>
      </c>
      <c r="N47" s="56">
        <v>10</v>
      </c>
      <c r="O47" s="56">
        <v>10</v>
      </c>
      <c r="P47" s="56">
        <v>10</v>
      </c>
    </row>
    <row r="48" spans="1:17" x14ac:dyDescent="0.25">
      <c r="A48" s="72" t="s">
        <v>46</v>
      </c>
      <c r="B48" s="49">
        <v>0</v>
      </c>
      <c r="C48" s="49">
        <v>0</v>
      </c>
      <c r="D48" s="49">
        <v>13.5</v>
      </c>
      <c r="E48" s="49">
        <v>13.5</v>
      </c>
      <c r="F48" s="49">
        <v>13.5</v>
      </c>
      <c r="G48" s="49">
        <v>13.5</v>
      </c>
      <c r="H48" s="49">
        <v>13.5</v>
      </c>
      <c r="I48" s="49">
        <v>13.5</v>
      </c>
      <c r="J48" s="49">
        <v>13.5</v>
      </c>
      <c r="K48" s="56">
        <v>13.5</v>
      </c>
      <c r="L48" s="56">
        <v>12</v>
      </c>
      <c r="M48" s="56">
        <v>12</v>
      </c>
      <c r="N48" s="56">
        <v>12</v>
      </c>
      <c r="O48" s="56">
        <v>10</v>
      </c>
      <c r="P48" s="56">
        <v>10</v>
      </c>
    </row>
    <row r="49" spans="1:16" x14ac:dyDescent="0.25">
      <c r="A49" s="58" t="s">
        <v>47</v>
      </c>
      <c r="B49" s="49">
        <v>7.2</v>
      </c>
      <c r="C49" s="49">
        <v>7.2</v>
      </c>
      <c r="D49" s="49">
        <v>9.3000000000000007</v>
      </c>
      <c r="E49" s="49">
        <v>9.3000000000000007</v>
      </c>
      <c r="F49" s="49">
        <v>9.3000000000000007</v>
      </c>
      <c r="G49" s="49">
        <v>9.4</v>
      </c>
      <c r="H49" s="49">
        <v>9.3000000000000007</v>
      </c>
      <c r="I49" s="49">
        <v>9.3000000000000007</v>
      </c>
      <c r="J49" s="49">
        <v>9.3000000000000007</v>
      </c>
      <c r="K49" s="56">
        <v>9.3000000000000007</v>
      </c>
      <c r="L49" s="56">
        <v>9.3000000000000007</v>
      </c>
      <c r="M49" s="56">
        <v>9.3000000000000007</v>
      </c>
      <c r="N49" s="56">
        <v>9.3000000000000007</v>
      </c>
      <c r="O49" s="56">
        <v>9.3000000000000007</v>
      </c>
      <c r="P49" s="56">
        <v>9.3000000000000007</v>
      </c>
    </row>
    <row r="50" spans="1:16" x14ac:dyDescent="0.25">
      <c r="A50" s="58" t="s">
        <v>48</v>
      </c>
      <c r="B50" s="49">
        <v>5</v>
      </c>
      <c r="C50" s="49">
        <v>5</v>
      </c>
      <c r="D50" s="49">
        <v>5</v>
      </c>
      <c r="E50" s="49">
        <v>5</v>
      </c>
      <c r="F50" s="49">
        <v>5</v>
      </c>
      <c r="G50" s="49">
        <v>5</v>
      </c>
      <c r="H50" s="49">
        <v>5</v>
      </c>
      <c r="I50" s="49">
        <v>5</v>
      </c>
      <c r="J50" s="49">
        <v>5</v>
      </c>
      <c r="K50" s="56">
        <v>5</v>
      </c>
      <c r="L50" s="56">
        <v>5</v>
      </c>
      <c r="M50" s="56">
        <v>5</v>
      </c>
      <c r="N50" s="56">
        <v>5</v>
      </c>
      <c r="O50" s="56">
        <v>5</v>
      </c>
      <c r="P50" s="56">
        <v>5</v>
      </c>
    </row>
    <row r="51" spans="1:16" ht="15.75" thickBot="1" x14ac:dyDescent="0.3">
      <c r="A51" s="65" t="s">
        <v>49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</row>
    <row r="52" spans="1:16" ht="15.75" thickBot="1" x14ac:dyDescent="0.3">
      <c r="A52" s="68" t="s">
        <v>50</v>
      </c>
      <c r="B52" s="69">
        <v>285.84000000000003</v>
      </c>
      <c r="C52" s="69">
        <v>323.14</v>
      </c>
      <c r="D52" s="69">
        <v>322.34000000000009</v>
      </c>
      <c r="E52" s="69">
        <v>302.44000000000005</v>
      </c>
      <c r="F52" s="69">
        <v>339.54</v>
      </c>
      <c r="G52" s="69">
        <v>356.84000000000003</v>
      </c>
      <c r="H52" s="69">
        <v>358.04</v>
      </c>
      <c r="I52" s="69">
        <v>358.34000000000003</v>
      </c>
      <c r="J52" s="69">
        <v>368.74000000000007</v>
      </c>
      <c r="K52" s="69">
        <v>367.64000000000004</v>
      </c>
      <c r="L52" s="69">
        <v>366.44000000000011</v>
      </c>
      <c r="M52" s="69">
        <v>366.84000000000009</v>
      </c>
      <c r="N52" s="69">
        <v>364.04000000000008</v>
      </c>
      <c r="O52" s="69">
        <v>364.04</v>
      </c>
      <c r="P52" s="69">
        <v>368.34000000000009</v>
      </c>
    </row>
    <row r="53" spans="1:16" x14ac:dyDescent="0.25">
      <c r="A53" s="55" t="s">
        <v>51</v>
      </c>
      <c r="B53" s="49">
        <v>0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29.8</v>
      </c>
      <c r="K53" s="49">
        <v>59.2</v>
      </c>
      <c r="L53" s="49">
        <v>30.5</v>
      </c>
      <c r="M53" s="49">
        <v>30.5</v>
      </c>
      <c r="N53" s="49">
        <v>30.1</v>
      </c>
      <c r="O53" s="49">
        <v>13</v>
      </c>
      <c r="P53" s="49">
        <v>30.4</v>
      </c>
    </row>
    <row r="54" spans="1:16" x14ac:dyDescent="0.25">
      <c r="A54" s="58" t="s">
        <v>52</v>
      </c>
      <c r="B54" s="49">
        <v>0</v>
      </c>
      <c r="C54" s="49">
        <v>0</v>
      </c>
      <c r="D54" s="49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15.2</v>
      </c>
      <c r="K54" s="70">
        <v>29.6</v>
      </c>
      <c r="L54" s="70">
        <v>16</v>
      </c>
      <c r="M54" s="70">
        <v>15.6</v>
      </c>
      <c r="N54" s="70">
        <v>15.9</v>
      </c>
      <c r="O54" s="70">
        <v>6.5</v>
      </c>
      <c r="P54" s="70">
        <v>16</v>
      </c>
    </row>
    <row r="55" spans="1:16" ht="15.75" thickBot="1" x14ac:dyDescent="0.3">
      <c r="A55" s="72" t="s">
        <v>53</v>
      </c>
      <c r="B55" s="49">
        <v>0</v>
      </c>
      <c r="C55" s="49">
        <v>0</v>
      </c>
      <c r="D55" s="49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5.6</v>
      </c>
      <c r="K55" s="77">
        <v>10.8</v>
      </c>
      <c r="L55" s="77">
        <v>5.8</v>
      </c>
      <c r="M55" s="77">
        <v>5.8</v>
      </c>
      <c r="N55" s="77">
        <v>5.8</v>
      </c>
      <c r="O55" s="77">
        <v>2.4</v>
      </c>
      <c r="P55" s="77">
        <v>5.8</v>
      </c>
    </row>
    <row r="56" spans="1:16" ht="15.75" thickBot="1" x14ac:dyDescent="0.3">
      <c r="A56" s="68" t="s">
        <v>54</v>
      </c>
      <c r="B56" s="69">
        <v>0</v>
      </c>
      <c r="C56" s="69">
        <v>0</v>
      </c>
      <c r="D56" s="69">
        <v>0</v>
      </c>
      <c r="E56" s="69">
        <v>0</v>
      </c>
      <c r="F56" s="69">
        <v>0</v>
      </c>
      <c r="G56" s="69">
        <v>0</v>
      </c>
      <c r="H56" s="69">
        <v>0</v>
      </c>
      <c r="I56" s="69">
        <v>0</v>
      </c>
      <c r="J56" s="69">
        <v>50.6</v>
      </c>
      <c r="K56" s="69">
        <v>99.600000000000009</v>
      </c>
      <c r="L56" s="69">
        <v>52.3</v>
      </c>
      <c r="M56" s="69">
        <v>51.9</v>
      </c>
      <c r="N56" s="69">
        <v>51.8</v>
      </c>
      <c r="O56" s="69">
        <v>21.9</v>
      </c>
      <c r="P56" s="69">
        <v>52.199999999999996</v>
      </c>
    </row>
    <row r="57" spans="1:16" x14ac:dyDescent="0.25">
      <c r="A57" s="55" t="s">
        <v>55</v>
      </c>
      <c r="B57" s="49">
        <v>46</v>
      </c>
      <c r="C57" s="49">
        <v>43.4</v>
      </c>
      <c r="D57" s="49">
        <v>40.299999999999997</v>
      </c>
      <c r="E57" s="49">
        <v>31.02</v>
      </c>
      <c r="F57" s="49">
        <v>33.75</v>
      </c>
      <c r="G57" s="49">
        <v>33.4</v>
      </c>
      <c r="H57" s="49">
        <v>34.93</v>
      </c>
      <c r="I57" s="49">
        <v>33.1</v>
      </c>
      <c r="J57" s="49">
        <v>45</v>
      </c>
      <c r="K57" s="49">
        <v>63.5</v>
      </c>
      <c r="L57" s="49">
        <v>68.599999999999994</v>
      </c>
      <c r="M57" s="49">
        <v>72</v>
      </c>
      <c r="N57" s="49">
        <v>70.45</v>
      </c>
      <c r="O57" s="49">
        <v>64.900000000000006</v>
      </c>
      <c r="P57" s="49">
        <v>62</v>
      </c>
    </row>
    <row r="58" spans="1:16" x14ac:dyDescent="0.25">
      <c r="A58" s="58" t="s">
        <v>56</v>
      </c>
      <c r="B58" s="49">
        <v>0</v>
      </c>
      <c r="C58" s="49">
        <v>0</v>
      </c>
      <c r="D58" s="4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</row>
    <row r="59" spans="1:16" x14ac:dyDescent="0.25">
      <c r="A59" s="58" t="s">
        <v>57</v>
      </c>
      <c r="B59" s="70">
        <v>140</v>
      </c>
      <c r="C59" s="70">
        <v>158.6</v>
      </c>
      <c r="D59" s="70">
        <v>113.8</v>
      </c>
      <c r="E59" s="80">
        <v>106.2</v>
      </c>
      <c r="F59" s="80">
        <v>85.6</v>
      </c>
      <c r="G59" s="80">
        <v>81.7</v>
      </c>
      <c r="H59" s="80">
        <v>92.6</v>
      </c>
      <c r="I59" s="80">
        <v>163.6</v>
      </c>
      <c r="J59" s="80">
        <v>217.3</v>
      </c>
      <c r="K59" s="70">
        <v>192.3</v>
      </c>
      <c r="L59" s="70">
        <v>222</v>
      </c>
      <c r="M59" s="70">
        <v>220</v>
      </c>
      <c r="N59" s="70">
        <v>151</v>
      </c>
      <c r="O59" s="70">
        <v>138</v>
      </c>
      <c r="P59" s="70">
        <v>115</v>
      </c>
    </row>
    <row r="60" spans="1:16" x14ac:dyDescent="0.25">
      <c r="A60" s="58" t="s">
        <v>58</v>
      </c>
      <c r="B60" s="70">
        <v>0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82">
        <v>0</v>
      </c>
      <c r="L60" s="82">
        <v>0</v>
      </c>
      <c r="M60" s="82">
        <v>0</v>
      </c>
      <c r="N60" s="82">
        <v>0</v>
      </c>
      <c r="O60" s="82">
        <v>0</v>
      </c>
      <c r="P60" s="82">
        <v>0</v>
      </c>
    </row>
    <row r="61" spans="1:16" x14ac:dyDescent="0.25">
      <c r="A61" s="58" t="s">
        <v>59</v>
      </c>
      <c r="B61" s="49">
        <v>0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49">
        <v>0</v>
      </c>
      <c r="N61" s="49">
        <v>0</v>
      </c>
      <c r="O61" s="82">
        <v>0</v>
      </c>
      <c r="P61" s="82">
        <v>0</v>
      </c>
    </row>
    <row r="62" spans="1:16" x14ac:dyDescent="0.25">
      <c r="A62" s="58" t="s">
        <v>60</v>
      </c>
      <c r="B62" s="83"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49">
        <v>0</v>
      </c>
      <c r="L62" s="49">
        <v>0</v>
      </c>
      <c r="M62" s="49">
        <v>0</v>
      </c>
      <c r="N62" s="49">
        <v>0</v>
      </c>
      <c r="O62" s="82">
        <v>0</v>
      </c>
      <c r="P62" s="82">
        <v>0</v>
      </c>
    </row>
    <row r="63" spans="1:16" x14ac:dyDescent="0.25">
      <c r="A63" s="58" t="s">
        <v>61</v>
      </c>
      <c r="B63" s="83">
        <v>0</v>
      </c>
      <c r="C63" s="83">
        <v>0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49">
        <v>0</v>
      </c>
      <c r="L63" s="49">
        <v>0</v>
      </c>
      <c r="M63" s="49">
        <v>0</v>
      </c>
      <c r="N63" s="49">
        <v>0</v>
      </c>
      <c r="O63" s="82">
        <v>0</v>
      </c>
      <c r="P63" s="82">
        <v>0</v>
      </c>
    </row>
    <row r="64" spans="1:16" x14ac:dyDescent="0.25">
      <c r="A64" s="58" t="s">
        <v>62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49">
        <v>0</v>
      </c>
      <c r="L64" s="49">
        <v>0</v>
      </c>
      <c r="M64" s="49">
        <v>0</v>
      </c>
      <c r="N64" s="49">
        <v>0</v>
      </c>
      <c r="O64" s="82">
        <v>0</v>
      </c>
      <c r="P64" s="82">
        <v>0</v>
      </c>
    </row>
    <row r="65" spans="1:16" x14ac:dyDescent="0.25">
      <c r="A65" s="58" t="s">
        <v>63</v>
      </c>
      <c r="B65" s="82">
        <v>0</v>
      </c>
      <c r="C65" s="82">
        <v>0</v>
      </c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49">
        <v>0</v>
      </c>
      <c r="L65" s="49">
        <v>0</v>
      </c>
      <c r="M65" s="49">
        <v>0</v>
      </c>
      <c r="N65" s="49">
        <v>0</v>
      </c>
      <c r="O65" s="82">
        <v>0</v>
      </c>
      <c r="P65" s="82">
        <v>0</v>
      </c>
    </row>
    <row r="66" spans="1:16" x14ac:dyDescent="0.25">
      <c r="A66" s="84" t="s">
        <v>64</v>
      </c>
      <c r="B66" s="85">
        <v>0</v>
      </c>
      <c r="C66" s="85">
        <v>0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49">
        <v>0</v>
      </c>
      <c r="L66" s="49">
        <v>0</v>
      </c>
      <c r="M66" s="49">
        <v>0</v>
      </c>
      <c r="N66" s="49">
        <v>0</v>
      </c>
      <c r="O66" s="82">
        <v>0</v>
      </c>
      <c r="P66" s="82">
        <v>0</v>
      </c>
    </row>
    <row r="67" spans="1:16" ht="15.75" thickBot="1" x14ac:dyDescent="0.3">
      <c r="A67" s="84" t="s">
        <v>65</v>
      </c>
      <c r="B67" s="85">
        <v>0</v>
      </c>
      <c r="C67" s="85">
        <v>0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49">
        <v>0</v>
      </c>
      <c r="L67" s="49">
        <v>0</v>
      </c>
      <c r="M67" s="49">
        <v>0</v>
      </c>
      <c r="N67" s="49">
        <v>0</v>
      </c>
      <c r="O67" s="82">
        <v>0</v>
      </c>
      <c r="P67" s="82">
        <v>0</v>
      </c>
    </row>
    <row r="68" spans="1:16" ht="15.75" thickBot="1" x14ac:dyDescent="0.3">
      <c r="A68" s="68" t="s">
        <v>66</v>
      </c>
      <c r="B68" s="69">
        <v>186</v>
      </c>
      <c r="C68" s="69">
        <v>202</v>
      </c>
      <c r="D68" s="69">
        <v>154.1</v>
      </c>
      <c r="E68" s="69">
        <v>137.22</v>
      </c>
      <c r="F68" s="69">
        <v>119.35</v>
      </c>
      <c r="G68" s="69">
        <v>115.1</v>
      </c>
      <c r="H68" s="69">
        <v>127.53</v>
      </c>
      <c r="I68" s="69">
        <v>196.7</v>
      </c>
      <c r="J68" s="69">
        <v>262.3</v>
      </c>
      <c r="K68" s="69">
        <v>255.8</v>
      </c>
      <c r="L68" s="69">
        <v>290.60000000000002</v>
      </c>
      <c r="M68" s="69">
        <v>292</v>
      </c>
      <c r="N68" s="69">
        <v>221.45</v>
      </c>
      <c r="O68" s="69">
        <v>202.9</v>
      </c>
      <c r="P68" s="69">
        <v>177</v>
      </c>
    </row>
    <row r="69" spans="1:16" ht="15.75" thickBot="1" x14ac:dyDescent="0.3"/>
    <row r="70" spans="1:16" ht="15.75" thickBot="1" x14ac:dyDescent="0.3">
      <c r="A70" s="189" t="s">
        <v>206</v>
      </c>
      <c r="B70" s="190">
        <v>958.34</v>
      </c>
      <c r="C70" s="190">
        <v>1005.64</v>
      </c>
      <c r="D70" s="190">
        <v>955.84</v>
      </c>
      <c r="E70" s="190">
        <v>918.56000000000017</v>
      </c>
      <c r="F70" s="190">
        <v>936.89</v>
      </c>
      <c r="G70" s="190">
        <v>950.84</v>
      </c>
      <c r="H70" s="190">
        <v>965.27</v>
      </c>
      <c r="I70" s="190">
        <v>1033.8399999999999</v>
      </c>
      <c r="J70" s="190">
        <v>1161.1400000000001</v>
      </c>
      <c r="K70" s="190">
        <v>1205.24</v>
      </c>
      <c r="L70" s="190">
        <v>1190.8400000000001</v>
      </c>
      <c r="M70" s="190">
        <v>1192.3400000000001</v>
      </c>
      <c r="N70" s="190">
        <v>1115.8900000000001</v>
      </c>
      <c r="O70" s="190">
        <v>1064.74</v>
      </c>
      <c r="P70" s="191">
        <v>1073.3400000000001</v>
      </c>
    </row>
    <row r="74" spans="1:16" ht="15.75" customHeight="1" x14ac:dyDescent="0.25"/>
  </sheetData>
  <mergeCells count="37">
    <mergeCell ref="A37:A38"/>
    <mergeCell ref="A2:A3"/>
    <mergeCell ref="B2:B3"/>
    <mergeCell ref="C2:C3"/>
    <mergeCell ref="D2:D3"/>
    <mergeCell ref="B37:B38"/>
    <mergeCell ref="C37:C38"/>
    <mergeCell ref="D37:D38"/>
    <mergeCell ref="B1:K1"/>
    <mergeCell ref="L1:Q1"/>
    <mergeCell ref="B36:J36"/>
    <mergeCell ref="K36:P36"/>
    <mergeCell ref="F2:F3"/>
    <mergeCell ref="G2:G3"/>
    <mergeCell ref="H2:H3"/>
    <mergeCell ref="I2:I3"/>
    <mergeCell ref="J2:J3"/>
    <mergeCell ref="K2:K3"/>
    <mergeCell ref="Q2:Q3"/>
    <mergeCell ref="M2:M3"/>
    <mergeCell ref="N2:N3"/>
    <mergeCell ref="O2:O3"/>
    <mergeCell ref="P2:P3"/>
    <mergeCell ref="E2:E3"/>
    <mergeCell ref="L2:L3"/>
    <mergeCell ref="E37:E38"/>
    <mergeCell ref="F37:F38"/>
    <mergeCell ref="G37:G38"/>
    <mergeCell ref="O37:O38"/>
    <mergeCell ref="H37:H38"/>
    <mergeCell ref="P37:P38"/>
    <mergeCell ref="I37:I38"/>
    <mergeCell ref="J37:J38"/>
    <mergeCell ref="K37:K38"/>
    <mergeCell ref="L37:L38"/>
    <mergeCell ref="M37:M38"/>
    <mergeCell ref="N37:N38"/>
  </mergeCells>
  <conditionalFormatting sqref="B1:K4 B22:K24 L18:L20 D25:K25 B25:C32 D26:F26 G26:K32 L23:L32 M1:Q4 B33:Q33 M18:Q32">
    <cfRule type="expression" dxfId="56" priority="67">
      <formula>B$23&gt;=20/24</formula>
    </cfRule>
    <cfRule type="expression" dxfId="55" priority="68">
      <formula>AND(B$23&gt;=14/24,B$23&lt;20/24)</formula>
    </cfRule>
    <cfRule type="expression" dxfId="54" priority="69">
      <formula>AND(B$23&gt;=8/24,B$23&lt;14/24)</formula>
    </cfRule>
    <cfRule type="expression" dxfId="53" priority="70">
      <formula>B$23&lt;8/24</formula>
    </cfRule>
  </conditionalFormatting>
  <conditionalFormatting sqref="A18:A33 A35">
    <cfRule type="expression" dxfId="52" priority="84">
      <formula>$AH5=0</formula>
    </cfRule>
  </conditionalFormatting>
  <conditionalFormatting sqref="M18:Q21">
    <cfRule type="expression" dxfId="51" priority="93">
      <formula>M18&gt;$AG5</formula>
    </cfRule>
  </conditionalFormatting>
  <conditionalFormatting sqref="L1:L4">
    <cfRule type="expression" dxfId="50" priority="393">
      <formula>#REF!&gt;=20/24</formula>
    </cfRule>
    <cfRule type="expression" dxfId="49" priority="394">
      <formula>AND(#REF!&gt;=14/24,#REF!&lt;20/24)</formula>
    </cfRule>
    <cfRule type="expression" dxfId="48" priority="395">
      <formula>AND(#REF!&gt;=8/24,#REF!&lt;14/24)</formula>
    </cfRule>
    <cfRule type="expression" dxfId="47" priority="396">
      <formula>#REF!&lt;8/24</formula>
    </cfRule>
  </conditionalFormatting>
  <conditionalFormatting sqref="B21:L21">
    <cfRule type="expression" dxfId="46" priority="63">
      <formula>B$23&gt;=20/24</formula>
    </cfRule>
    <cfRule type="expression" dxfId="45" priority="64">
      <formula>AND(B$23&gt;=14/24,B$23&lt;20/24)</formula>
    </cfRule>
    <cfRule type="expression" dxfId="44" priority="65">
      <formula>AND(B$23&gt;=8/24,B$23&lt;14/24)</formula>
    </cfRule>
    <cfRule type="expression" dxfId="43" priority="66">
      <formula>B$23&lt;8/24</formula>
    </cfRule>
  </conditionalFormatting>
  <conditionalFormatting sqref="L22">
    <cfRule type="expression" dxfId="42" priority="59">
      <formula>L$23&gt;=20/24</formula>
    </cfRule>
    <cfRule type="expression" dxfId="41" priority="60">
      <formula>AND(L$23&gt;=14/24,L$23&lt;20/24)</formula>
    </cfRule>
    <cfRule type="expression" dxfId="40" priority="61">
      <formula>AND(L$23&gt;=8/24,L$23&lt;14/24)</formula>
    </cfRule>
    <cfRule type="expression" dxfId="39" priority="62">
      <formula>L$23&lt;8/24</formula>
    </cfRule>
  </conditionalFormatting>
  <conditionalFormatting sqref="D27:F32">
    <cfRule type="expression" dxfId="38" priority="55">
      <formula>D$23&gt;=20/24</formula>
    </cfRule>
    <cfRule type="expression" dxfId="37" priority="56">
      <formula>AND(D$23&gt;=14/24,D$23&lt;20/24)</formula>
    </cfRule>
    <cfRule type="expression" dxfId="36" priority="57">
      <formula>AND(D$23&gt;=8/24,D$23&lt;14/24)</formula>
    </cfRule>
    <cfRule type="expression" dxfId="35" priority="58">
      <formula>D$23&lt;8/24</formula>
    </cfRule>
  </conditionalFormatting>
  <conditionalFormatting sqref="B18:L21">
    <cfRule type="expression" dxfId="34" priority="54">
      <formula>B18&gt;$AG5</formula>
    </cfRule>
  </conditionalFormatting>
  <conditionalFormatting sqref="B36:P38 B58:D59 O61:P67 B68:P68 B53:P56 K57:P60 B57:J57">
    <cfRule type="expression" dxfId="33" priority="401">
      <formula>B$58&gt;=20/24</formula>
    </cfRule>
    <cfRule type="expression" dxfId="32" priority="402">
      <formula>AND(B$58&gt;=14/24,B$58&lt;20/24)</formula>
    </cfRule>
    <cfRule type="expression" dxfId="31" priority="403">
      <formula>AND(B$58&gt;=8/24,B$58&lt;14/24)</formula>
    </cfRule>
    <cfRule type="expression" dxfId="30" priority="404">
      <formula>B$58&lt;8/24</formula>
    </cfRule>
  </conditionalFormatting>
  <conditionalFormatting sqref="B36 K36">
    <cfRule type="expression" dxfId="29" priority="433">
      <formula>C$58&gt;=20/24</formula>
    </cfRule>
    <cfRule type="expression" dxfId="28" priority="434">
      <formula>AND(C$58&gt;=14/24,C$58&lt;20/24)</formula>
    </cfRule>
    <cfRule type="expression" dxfId="27" priority="435">
      <formula>AND(C$58&gt;=8/24,C$58&lt;14/24)</formula>
    </cfRule>
    <cfRule type="expression" dxfId="26" priority="436">
      <formula>C$58&lt;8/24</formula>
    </cfRule>
  </conditionalFormatting>
  <conditionalFormatting sqref="B53:P56">
    <cfRule type="expression" dxfId="25" priority="442">
      <formula>B53&gt;$AG5</formula>
    </cfRule>
  </conditionalFormatting>
  <conditionalFormatting sqref="B60:J67 K61:N67">
    <cfRule type="expression" dxfId="24" priority="451">
      <formula>B$58&lt;8/24</formula>
    </cfRule>
    <cfRule type="expression" dxfId="23" priority="452">
      <formula>B$58&gt;=20/24</formula>
    </cfRule>
    <cfRule type="expression" dxfId="22" priority="453">
      <formula>AND(B$58&gt;=8/24,B$58&lt;14/24)</formula>
    </cfRule>
    <cfRule type="expression" dxfId="21" priority="454">
      <formula>AND(B$58&gt;=14/24,B$58&lt;20/24)</formula>
    </cfRule>
  </conditionalFormatting>
  <conditionalFormatting sqref="A53:A68 A70">
    <cfRule type="expression" dxfId="20" priority="9">
      <formula>$AH39=0</formula>
    </cfRule>
  </conditionalFormatting>
  <conditionalFormatting sqref="B39:K39 M39:P39">
    <cfRule type="expression" dxfId="19" priority="1">
      <formula>B$23&gt;=20/24</formula>
    </cfRule>
    <cfRule type="expression" dxfId="18" priority="2">
      <formula>AND(B$23&gt;=14/24,B$23&lt;20/24)</formula>
    </cfRule>
    <cfRule type="expression" dxfId="17" priority="3">
      <formula>AND(B$23&gt;=8/24,B$23&lt;14/24)</formula>
    </cfRule>
    <cfRule type="expression" dxfId="16" priority="4">
      <formula>B$23&lt;8/24</formula>
    </cfRule>
  </conditionalFormatting>
  <conditionalFormatting sqref="L39">
    <cfRule type="expression" dxfId="15" priority="5">
      <formula>#REF!&gt;=20/24</formula>
    </cfRule>
    <cfRule type="expression" dxfId="14" priority="6">
      <formula>AND(#REF!&gt;=14/24,#REF!&lt;20/24)</formula>
    </cfRule>
    <cfRule type="expression" dxfId="13" priority="7">
      <formula>AND(#REF!&gt;=8/24,#REF!&lt;14/24)</formula>
    </cfRule>
    <cfRule type="expression" dxfId="12" priority="8">
      <formula>#REF!&lt;8/24</formula>
    </cfRule>
  </conditionalFormatting>
  <pageMargins left="0.2" right="0.21" top="0.75" bottom="0.75" header="0.3" footer="0.3"/>
  <pageSetup scale="86" fitToHeight="0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" id="{3A78D460-CBD7-4502-9AA6-303F45C2A4D3}">
            <xm:f>'27'!R$9&gt;=20/24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" id="{BB276A83-7D99-4998-9390-60BCFE6B559B}">
            <xm:f>AND('27'!R$9&gt;=14/24,'27'!R$9&lt;20/24)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2" id="{10A1030D-FBE6-45FC-9EDD-0B31F750B322}">
            <xm:f>AND('27'!R$9&gt;=8/24,'27'!R$9&lt;14/24)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3" id="{EC20EE67-C69F-4BE6-9D23-A30C0382385A}">
            <xm:f>'27'!R$9&lt;8/24</xm:f>
            <x14:dxf>
              <fill>
                <patternFill>
                  <bgColor rgb="FFFFFF66"/>
                </patternFill>
              </fill>
            </x14:dxf>
          </x14:cfRule>
          <xm:sqref>F44:G44 C43:G43 H43:J44 B40:J42 B49:J50 B43:B48 C44:E48 F45:J48</xm:sqref>
        </x14:conditionalFormatting>
        <x14:conditionalFormatting xmlns:xm="http://schemas.microsoft.com/office/excel/2006/main">
          <x14:cfRule type="expression" priority="17" id="{CC3A33C1-7C8B-4B9B-AA7B-92F6D5AD7101}">
            <xm:f>'27'!B4&gt;'27'!$AG4</xm:f>
            <x14:dxf>
              <fill>
                <patternFill>
                  <bgColor rgb="FFFF0000"/>
                </patternFill>
              </fill>
            </x14:dxf>
          </x14:cfRule>
          <xm:sqref>B5:Q17</xm:sqref>
        </x14:conditionalFormatting>
        <x14:conditionalFormatting xmlns:xm="http://schemas.microsoft.com/office/excel/2006/main">
          <x14:cfRule type="expression" priority="459" id="{3A78D460-CBD7-4502-9AA6-303F45C2A4D3}">
            <xm:f>'27'!L$9&gt;=20/24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0" id="{BB276A83-7D99-4998-9390-60BCFE6B559B}">
            <xm:f>AND('27'!L$9&gt;=14/24,'27'!L$9&lt;20/24)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1" id="{10A1030D-FBE6-45FC-9EDD-0B31F750B322}">
            <xm:f>AND('27'!L$9&gt;=8/24,'27'!L$9&lt;14/24)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62" id="{EC20EE67-C69F-4BE6-9D23-A30C0382385A}">
            <xm:f>'27'!L$9&lt;8/24</xm:f>
            <x14:dxf>
              <fill>
                <patternFill>
                  <bgColor rgb="FFFFFF66"/>
                </patternFill>
              </fill>
            </x14:dxf>
          </x14:cfRule>
          <xm:sqref>M10 N9:Q10 M11:Q13 L9:M9 L5:Q8 L14:Q15 L10:L13</xm:sqref>
        </x14:conditionalFormatting>
        <x14:conditionalFormatting xmlns:xm="http://schemas.microsoft.com/office/excel/2006/main">
          <x14:cfRule type="expression" priority="520" id="{CC3A33C1-7C8B-4B9B-AA7B-92F6D5AD7101}">
            <xm:f>'27'!R4&gt;'27'!$AG4</xm:f>
            <x14:dxf>
              <fill>
                <patternFill>
                  <bgColor rgb="FFFF0000"/>
                </patternFill>
              </fill>
            </x14:dxf>
          </x14:cfRule>
          <xm:sqref>B40:P52</xm:sqref>
        </x14:conditionalFormatting>
        <x14:conditionalFormatting xmlns:xm="http://schemas.microsoft.com/office/excel/2006/main">
          <x14:cfRule type="expression" priority="522" id="{2325FE5A-6751-4449-AA03-86675A2D7342}">
            <xm:f>'27'!$AH38=0</xm:f>
            <x14:dxf>
              <fill>
                <patternFill>
                  <bgColor rgb="FF51E2F1"/>
                </patternFill>
              </fill>
            </x14:dxf>
          </x14:cfRule>
          <xm:sqref>A40:A52</xm:sqref>
        </x14:conditionalFormatting>
        <x14:conditionalFormatting xmlns:xm="http://schemas.microsoft.com/office/excel/2006/main">
          <x14:cfRule type="expression" priority="584" id="{2325FE5A-6751-4449-AA03-86675A2D7342}">
            <xm:f>'27'!$AH4=0</xm:f>
            <x14:dxf>
              <fill>
                <patternFill>
                  <bgColor rgb="FF51E2F1"/>
                </patternFill>
              </fill>
            </x14:dxf>
          </x14:cfRule>
          <xm:sqref>A5:A17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sample</vt:lpstr>
      <vt:lpstr>Spill Energy</vt:lpstr>
      <vt:lpstr>IEX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Data Server</cp:lastModifiedBy>
  <cp:lastPrinted>2021-06-20T04:58:03Z</cp:lastPrinted>
  <dcterms:created xsi:type="dcterms:W3CDTF">2021-05-14T18:17:46Z</dcterms:created>
  <dcterms:modified xsi:type="dcterms:W3CDTF">2021-06-20T14:32:00Z</dcterms:modified>
</cp:coreProperties>
</file>